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/>
  <c r="D238" i="14"/>
  <c r="D239" i="14"/>
  <c r="D237" i="14"/>
  <c r="D230" i="14"/>
  <c r="D229" i="14"/>
  <c r="D226" i="14"/>
  <c r="D227" i="14"/>
  <c r="D223" i="14"/>
  <c r="D204" i="14"/>
  <c r="D269" i="14"/>
  <c r="D203" i="14"/>
  <c r="D283" i="14"/>
  <c r="D198" i="14"/>
  <c r="D290" i="14"/>
  <c r="D191" i="14"/>
  <c r="D264" i="14"/>
  <c r="D280" i="14"/>
  <c r="D189" i="14"/>
  <c r="D278" i="14"/>
  <c r="D188" i="14"/>
  <c r="D214" i="14"/>
  <c r="D180" i="14"/>
  <c r="D179" i="14"/>
  <c r="D171" i="14"/>
  <c r="D172" i="14"/>
  <c r="D173" i="14"/>
  <c r="D170" i="14"/>
  <c r="D165" i="14"/>
  <c r="D164" i="14"/>
  <c r="D158" i="14"/>
  <c r="D159" i="14"/>
  <c r="D155" i="14"/>
  <c r="D145" i="14"/>
  <c r="D144" i="14"/>
  <c r="D137" i="14"/>
  <c r="D207" i="14"/>
  <c r="D208" i="14"/>
  <c r="D136" i="14"/>
  <c r="D135" i="14"/>
  <c r="D130" i="14"/>
  <c r="D129" i="14"/>
  <c r="D123" i="14"/>
  <c r="D124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68" i="14"/>
  <c r="D59" i="14"/>
  <c r="D60" i="14"/>
  <c r="D61" i="14"/>
  <c r="D58" i="14"/>
  <c r="D53" i="14"/>
  <c r="D52" i="14"/>
  <c r="D47" i="14"/>
  <c r="D48" i="14"/>
  <c r="D90" i="14"/>
  <c r="D44" i="14"/>
  <c r="D36" i="14"/>
  <c r="D35" i="14"/>
  <c r="D30" i="14"/>
  <c r="D31" i="14"/>
  <c r="D32" i="14"/>
  <c r="D29" i="14"/>
  <c r="D24" i="14"/>
  <c r="D23" i="14"/>
  <c r="D21" i="14"/>
  <c r="D20" i="14"/>
  <c r="D17" i="14"/>
  <c r="C102" i="19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2" i="19"/>
  <c r="D83" i="19"/>
  <c r="C83" i="19"/>
  <c r="E76" i="19"/>
  <c r="D76" i="19"/>
  <c r="C76" i="19"/>
  <c r="E75" i="19"/>
  <c r="E77" i="19"/>
  <c r="D75" i="19"/>
  <c r="D101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34" i="19"/>
  <c r="E28" i="19"/>
  <c r="D28" i="19"/>
  <c r="C28" i="19"/>
  <c r="E27" i="19"/>
  <c r="D27" i="19"/>
  <c r="C27" i="19"/>
  <c r="E23" i="19"/>
  <c r="E54" i="19"/>
  <c r="C23" i="19"/>
  <c r="C46" i="19"/>
  <c r="E22" i="19"/>
  <c r="E53" i="19"/>
  <c r="E21" i="19"/>
  <c r="D21" i="19"/>
  <c r="C21" i="19"/>
  <c r="E12" i="19"/>
  <c r="E33" i="19"/>
  <c r="D12" i="19"/>
  <c r="D33" i="19"/>
  <c r="C12" i="19"/>
  <c r="C34" i="19"/>
  <c r="C22" i="19"/>
  <c r="D21" i="18"/>
  <c r="C21" i="18"/>
  <c r="E21" i="18"/>
  <c r="F21" i="18"/>
  <c r="D19" i="18"/>
  <c r="C19" i="18"/>
  <c r="E19" i="18"/>
  <c r="F19" i="18"/>
  <c r="E17" i="18"/>
  <c r="F17" i="18"/>
  <c r="E15" i="18"/>
  <c r="F15" i="18"/>
  <c r="D45" i="17"/>
  <c r="C45" i="17"/>
  <c r="D44" i="17"/>
  <c r="C44" i="17"/>
  <c r="D43" i="17"/>
  <c r="D46" i="17"/>
  <c r="C43" i="17"/>
  <c r="C46" i="17"/>
  <c r="C39" i="17"/>
  <c r="D36" i="17"/>
  <c r="D40" i="17"/>
  <c r="C36" i="17"/>
  <c r="C40" i="17"/>
  <c r="F35" i="17"/>
  <c r="E35" i="17"/>
  <c r="F34" i="17"/>
  <c r="E34" i="17"/>
  <c r="F33" i="17"/>
  <c r="E33" i="17"/>
  <c r="E36" i="17"/>
  <c r="F30" i="17"/>
  <c r="E30" i="17"/>
  <c r="F29" i="17"/>
  <c r="E29" i="17"/>
  <c r="F28" i="17"/>
  <c r="E28" i="17"/>
  <c r="F27" i="17"/>
  <c r="E27" i="17"/>
  <c r="D25" i="17"/>
  <c r="D39" i="17"/>
  <c r="C25" i="17"/>
  <c r="F24" i="17"/>
  <c r="E24" i="17"/>
  <c r="F23" i="17"/>
  <c r="E23" i="17"/>
  <c r="F22" i="17"/>
  <c r="E22" i="17"/>
  <c r="E25" i="17"/>
  <c r="F25" i="17"/>
  <c r="D19" i="17"/>
  <c r="D20" i="17"/>
  <c r="E20" i="17"/>
  <c r="C19" i="17"/>
  <c r="C20" i="17"/>
  <c r="E18" i="17"/>
  <c r="F18" i="17"/>
  <c r="D16" i="17"/>
  <c r="C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60" i="16"/>
  <c r="C59" i="16"/>
  <c r="C49" i="16"/>
  <c r="C48" i="16"/>
  <c r="C64" i="16"/>
  <c r="C65" i="16"/>
  <c r="C114" i="16"/>
  <c r="C116" i="16"/>
  <c r="C119" i="16"/>
  <c r="C123" i="16"/>
  <c r="C36" i="16"/>
  <c r="C32" i="16"/>
  <c r="C33" i="16"/>
  <c r="C21" i="16"/>
  <c r="E328" i="15"/>
  <c r="E325" i="15"/>
  <c r="D324" i="15"/>
  <c r="D326" i="15"/>
  <c r="E324" i="15"/>
  <c r="C324" i="15"/>
  <c r="C326" i="15"/>
  <c r="C330" i="15"/>
  <c r="E318" i="15"/>
  <c r="E315" i="15"/>
  <c r="D314" i="15"/>
  <c r="D316" i="15"/>
  <c r="D320" i="15"/>
  <c r="C314" i="15"/>
  <c r="E314" i="15"/>
  <c r="E308" i="15"/>
  <c r="E305" i="15"/>
  <c r="D301" i="15"/>
  <c r="C301" i="15"/>
  <c r="D293" i="15"/>
  <c r="C293" i="15"/>
  <c r="E293" i="15"/>
  <c r="D292" i="15"/>
  <c r="E292" i="15"/>
  <c r="C292" i="15"/>
  <c r="D291" i="15"/>
  <c r="C291" i="15"/>
  <c r="E291" i="15"/>
  <c r="D290" i="15"/>
  <c r="E290" i="15"/>
  <c r="C290" i="15"/>
  <c r="D288" i="15"/>
  <c r="E288" i="15"/>
  <c r="C288" i="15"/>
  <c r="D287" i="15"/>
  <c r="C287" i="15"/>
  <c r="E287" i="15"/>
  <c r="D282" i="15"/>
  <c r="E282" i="15"/>
  <c r="C282" i="15"/>
  <c r="D281" i="15"/>
  <c r="C281" i="15"/>
  <c r="E281" i="15"/>
  <c r="D280" i="15"/>
  <c r="E280" i="15"/>
  <c r="C280" i="15"/>
  <c r="D279" i="15"/>
  <c r="E279" i="15"/>
  <c r="C279" i="15"/>
  <c r="D278" i="15"/>
  <c r="E278" i="15"/>
  <c r="C278" i="15"/>
  <c r="D277" i="15"/>
  <c r="C277" i="15"/>
  <c r="E277" i="15"/>
  <c r="D276" i="15"/>
  <c r="E276" i="15"/>
  <c r="C276" i="15"/>
  <c r="E270" i="15"/>
  <c r="D265" i="15"/>
  <c r="D302" i="15"/>
  <c r="E302" i="15"/>
  <c r="C265" i="15"/>
  <c r="C302" i="15"/>
  <c r="D262" i="15"/>
  <c r="E262" i="15"/>
  <c r="C262" i="15"/>
  <c r="C261" i="15"/>
  <c r="D251" i="15"/>
  <c r="C251" i="15"/>
  <c r="D233" i="15"/>
  <c r="C233" i="15"/>
  <c r="D232" i="15"/>
  <c r="C232" i="15"/>
  <c r="E232" i="15"/>
  <c r="D231" i="15"/>
  <c r="C231" i="15"/>
  <c r="D230" i="15"/>
  <c r="C230" i="15"/>
  <c r="E230" i="15"/>
  <c r="D228" i="15"/>
  <c r="C228" i="15"/>
  <c r="D227" i="15"/>
  <c r="E227" i="15"/>
  <c r="C227" i="15"/>
  <c r="D221" i="15"/>
  <c r="C221" i="15"/>
  <c r="D220" i="15"/>
  <c r="C220" i="15"/>
  <c r="C244" i="15"/>
  <c r="D219" i="15"/>
  <c r="D243" i="15"/>
  <c r="C219" i="15"/>
  <c r="C243" i="15"/>
  <c r="D218" i="15"/>
  <c r="D242" i="15"/>
  <c r="C218" i="15"/>
  <c r="D216" i="15"/>
  <c r="E216" i="15"/>
  <c r="C216" i="15"/>
  <c r="C240" i="15"/>
  <c r="D215" i="15"/>
  <c r="D239" i="15"/>
  <c r="C215" i="15"/>
  <c r="C210" i="15"/>
  <c r="E209" i="15"/>
  <c r="E208" i="15"/>
  <c r="E207" i="15"/>
  <c r="E206" i="15"/>
  <c r="D205" i="15"/>
  <c r="D229" i="15"/>
  <c r="E229" i="15"/>
  <c r="C205" i="15"/>
  <c r="C229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8" i="15"/>
  <c r="C188" i="15"/>
  <c r="C189" i="15"/>
  <c r="E186" i="15"/>
  <c r="E185" i="15"/>
  <c r="D179" i="15"/>
  <c r="C179" i="15"/>
  <c r="E179" i="15"/>
  <c r="D178" i="15"/>
  <c r="E178" i="15"/>
  <c r="C178" i="15"/>
  <c r="D177" i="15"/>
  <c r="C177" i="15"/>
  <c r="E177" i="15"/>
  <c r="D176" i="15"/>
  <c r="E176" i="15"/>
  <c r="C176" i="15"/>
  <c r="D174" i="15"/>
  <c r="E174" i="15"/>
  <c r="C174" i="15"/>
  <c r="D173" i="15"/>
  <c r="C173" i="15"/>
  <c r="E173" i="15"/>
  <c r="D167" i="15"/>
  <c r="E167" i="15"/>
  <c r="C167" i="15"/>
  <c r="D166" i="15"/>
  <c r="C166" i="15"/>
  <c r="E166" i="15"/>
  <c r="D165" i="15"/>
  <c r="E165" i="15"/>
  <c r="C165" i="15"/>
  <c r="D164" i="15"/>
  <c r="C164" i="15"/>
  <c r="E164" i="15"/>
  <c r="D162" i="15"/>
  <c r="C162" i="15"/>
  <c r="E162" i="15"/>
  <c r="D161" i="15"/>
  <c r="C161" i="15"/>
  <c r="E155" i="15"/>
  <c r="E154" i="15"/>
  <c r="E153" i="15"/>
  <c r="E152" i="15"/>
  <c r="D151" i="15"/>
  <c r="D156" i="15"/>
  <c r="C151" i="15"/>
  <c r="E151" i="15"/>
  <c r="E150" i="15"/>
  <c r="E149" i="15"/>
  <c r="C144" i="15"/>
  <c r="E143" i="15"/>
  <c r="E142" i="15"/>
  <c r="E141" i="15"/>
  <c r="E140" i="15"/>
  <c r="D139" i="15"/>
  <c r="D163" i="15"/>
  <c r="C139" i="15"/>
  <c r="C175" i="15"/>
  <c r="E138" i="15"/>
  <c r="E137" i="15"/>
  <c r="D75" i="15"/>
  <c r="C75" i="15"/>
  <c r="E75" i="15"/>
  <c r="D74" i="15"/>
  <c r="E74" i="15"/>
  <c r="C74" i="15"/>
  <c r="D73" i="15"/>
  <c r="C73" i="15"/>
  <c r="E73" i="15"/>
  <c r="D72" i="15"/>
  <c r="E72" i="15"/>
  <c r="C72" i="15"/>
  <c r="C71" i="15"/>
  <c r="D70" i="15"/>
  <c r="E70" i="15"/>
  <c r="C70" i="15"/>
  <c r="C76" i="15"/>
  <c r="D69" i="15"/>
  <c r="C69" i="15"/>
  <c r="C77" i="15"/>
  <c r="C65" i="15"/>
  <c r="C66" i="15"/>
  <c r="E64" i="15"/>
  <c r="E63" i="15"/>
  <c r="E62" i="15"/>
  <c r="E61" i="15"/>
  <c r="D60" i="15"/>
  <c r="C60" i="15"/>
  <c r="C289" i="15"/>
  <c r="E59" i="15"/>
  <c r="E58" i="15"/>
  <c r="D54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E40" i="15"/>
  <c r="C40" i="15"/>
  <c r="D39" i="15"/>
  <c r="C39" i="15"/>
  <c r="E39" i="15"/>
  <c r="D38" i="15"/>
  <c r="E38" i="15"/>
  <c r="C38" i="15"/>
  <c r="D37" i="15"/>
  <c r="E37" i="15"/>
  <c r="C37" i="15"/>
  <c r="C43" i="15"/>
  <c r="C259" i="15"/>
  <c r="C263" i="15"/>
  <c r="D36" i="15"/>
  <c r="E36" i="15"/>
  <c r="C36" i="15"/>
  <c r="C33" i="15"/>
  <c r="C295" i="15"/>
  <c r="D32" i="15"/>
  <c r="C32" i="15"/>
  <c r="C294" i="15"/>
  <c r="E31" i="15"/>
  <c r="E30" i="15"/>
  <c r="E29" i="15"/>
  <c r="E28" i="15"/>
  <c r="E27" i="15"/>
  <c r="E26" i="15"/>
  <c r="E25" i="15"/>
  <c r="D22" i="15"/>
  <c r="E22" i="15"/>
  <c r="E21" i="15"/>
  <c r="D21" i="15"/>
  <c r="D283" i="15"/>
  <c r="C21" i="15"/>
  <c r="C22" i="15"/>
  <c r="C284" i="15"/>
  <c r="E20" i="15"/>
  <c r="E19" i="15"/>
  <c r="E18" i="15"/>
  <c r="E17" i="15"/>
  <c r="E16" i="15"/>
  <c r="E15" i="15"/>
  <c r="E14" i="15"/>
  <c r="E335" i="14"/>
  <c r="F335" i="14"/>
  <c r="E334" i="14"/>
  <c r="F334" i="14"/>
  <c r="E333" i="14"/>
  <c r="F333" i="14"/>
  <c r="F332" i="14"/>
  <c r="E332" i="14"/>
  <c r="E331" i="14"/>
  <c r="F331" i="14"/>
  <c r="E330" i="14"/>
  <c r="F330" i="14"/>
  <c r="F329" i="14"/>
  <c r="E329" i="14"/>
  <c r="F316" i="14"/>
  <c r="E316" i="14"/>
  <c r="C311" i="14"/>
  <c r="E311" i="14"/>
  <c r="F308" i="14"/>
  <c r="E308" i="14"/>
  <c r="C307" i="14"/>
  <c r="E307" i="14"/>
  <c r="C299" i="14"/>
  <c r="C298" i="14"/>
  <c r="E298" i="14"/>
  <c r="F298" i="14"/>
  <c r="E297" i="14"/>
  <c r="C297" i="14"/>
  <c r="C296" i="14"/>
  <c r="E296" i="14"/>
  <c r="F296" i="14"/>
  <c r="C295" i="14"/>
  <c r="E295" i="14"/>
  <c r="F295" i="14"/>
  <c r="C294" i="14"/>
  <c r="E294" i="14"/>
  <c r="F294" i="14"/>
  <c r="C250" i="14"/>
  <c r="F249" i="14"/>
  <c r="E249" i="14"/>
  <c r="F248" i="14"/>
  <c r="E248" i="14"/>
  <c r="F245" i="14"/>
  <c r="E245" i="14"/>
  <c r="F244" i="14"/>
  <c r="E244" i="14"/>
  <c r="F243" i="14"/>
  <c r="E243" i="14"/>
  <c r="C238" i="14"/>
  <c r="E238" i="14"/>
  <c r="C237" i="14"/>
  <c r="E237" i="14"/>
  <c r="E234" i="14"/>
  <c r="F234" i="14"/>
  <c r="E233" i="14"/>
  <c r="F233" i="14"/>
  <c r="C230" i="14"/>
  <c r="E230" i="14"/>
  <c r="C229" i="14"/>
  <c r="E229" i="14"/>
  <c r="E228" i="14"/>
  <c r="F228" i="14"/>
  <c r="C226" i="14"/>
  <c r="E226" i="14"/>
  <c r="E225" i="14"/>
  <c r="F225" i="14"/>
  <c r="E224" i="14"/>
  <c r="F224" i="14"/>
  <c r="C223" i="14"/>
  <c r="E223" i="14"/>
  <c r="E222" i="14"/>
  <c r="F222" i="14"/>
  <c r="E221" i="14"/>
  <c r="F221" i="14"/>
  <c r="C204" i="14"/>
  <c r="E203" i="14"/>
  <c r="C203" i="14"/>
  <c r="C283" i="14"/>
  <c r="E283" i="14"/>
  <c r="C267" i="14"/>
  <c r="C198" i="14"/>
  <c r="C290" i="14"/>
  <c r="E198" i="14"/>
  <c r="F198" i="14"/>
  <c r="C191" i="14"/>
  <c r="C264" i="14"/>
  <c r="C189" i="14"/>
  <c r="C278" i="14"/>
  <c r="C188" i="14"/>
  <c r="C206" i="14"/>
  <c r="C180" i="14"/>
  <c r="E180" i="14"/>
  <c r="C179" i="14"/>
  <c r="E179" i="14"/>
  <c r="C171" i="14"/>
  <c r="E171" i="14"/>
  <c r="C170" i="14"/>
  <c r="E169" i="14"/>
  <c r="F169" i="14"/>
  <c r="E168" i="14"/>
  <c r="F168" i="14"/>
  <c r="C165" i="14"/>
  <c r="E165" i="14"/>
  <c r="C164" i="14"/>
  <c r="E164" i="14"/>
  <c r="E163" i="14"/>
  <c r="F163" i="14"/>
  <c r="C158" i="14"/>
  <c r="C159" i="14"/>
  <c r="E157" i="14"/>
  <c r="F157" i="14"/>
  <c r="E156" i="14"/>
  <c r="F156" i="14"/>
  <c r="C155" i="14"/>
  <c r="E155" i="14"/>
  <c r="E154" i="14"/>
  <c r="F154" i="14"/>
  <c r="E153" i="14"/>
  <c r="F153" i="14"/>
  <c r="C145" i="14"/>
  <c r="E145" i="14"/>
  <c r="C144" i="14"/>
  <c r="E144" i="14"/>
  <c r="C136" i="14"/>
  <c r="C137" i="14"/>
  <c r="C135" i="14"/>
  <c r="E135" i="14"/>
  <c r="F135" i="14"/>
  <c r="E134" i="14"/>
  <c r="F134" i="14"/>
  <c r="E133" i="14"/>
  <c r="F133" i="14"/>
  <c r="C130" i="14"/>
  <c r="E130" i="14"/>
  <c r="C129" i="14"/>
  <c r="E129" i="14"/>
  <c r="E128" i="14"/>
  <c r="F128" i="14"/>
  <c r="C124" i="14"/>
  <c r="C123" i="14"/>
  <c r="E123" i="14"/>
  <c r="F123" i="14"/>
  <c r="F122" i="14"/>
  <c r="E122" i="14"/>
  <c r="F121" i="14"/>
  <c r="E121" i="14"/>
  <c r="C120" i="14"/>
  <c r="E120" i="14"/>
  <c r="F120" i="14"/>
  <c r="E119" i="14"/>
  <c r="F119" i="14"/>
  <c r="E118" i="14"/>
  <c r="F118" i="14"/>
  <c r="C110" i="14"/>
  <c r="E110" i="14"/>
  <c r="F110" i="14"/>
  <c r="C109" i="14"/>
  <c r="C111" i="14"/>
  <c r="C101" i="14"/>
  <c r="E101" i="14"/>
  <c r="C100" i="14"/>
  <c r="E99" i="14"/>
  <c r="F99" i="14"/>
  <c r="E98" i="14"/>
  <c r="F98" i="14"/>
  <c r="C95" i="14"/>
  <c r="E95" i="14"/>
  <c r="F95" i="14"/>
  <c r="E94" i="14"/>
  <c r="C94" i="14"/>
  <c r="F93" i="14"/>
  <c r="E93" i="14"/>
  <c r="C88" i="14"/>
  <c r="C89" i="14"/>
  <c r="E87" i="14"/>
  <c r="F87" i="14"/>
  <c r="E86" i="14"/>
  <c r="F86" i="14"/>
  <c r="E85" i="14"/>
  <c r="C85" i="14"/>
  <c r="F85" i="14"/>
  <c r="E84" i="14"/>
  <c r="F84" i="14"/>
  <c r="E83" i="14"/>
  <c r="F83" i="14"/>
  <c r="C76" i="14"/>
  <c r="C77" i="14"/>
  <c r="E74" i="14"/>
  <c r="F74" i="14"/>
  <c r="E73" i="14"/>
  <c r="F73" i="14"/>
  <c r="C67" i="14"/>
  <c r="E67" i="14"/>
  <c r="F67" i="14"/>
  <c r="C66" i="14"/>
  <c r="C68" i="14"/>
  <c r="C59" i="14"/>
  <c r="E59" i="14"/>
  <c r="C58" i="14"/>
  <c r="E58" i="14"/>
  <c r="E57" i="14"/>
  <c r="F57" i="14"/>
  <c r="E56" i="14"/>
  <c r="F56" i="14"/>
  <c r="C53" i="14"/>
  <c r="E53" i="14"/>
  <c r="F53" i="14"/>
  <c r="C52" i="14"/>
  <c r="E51" i="14"/>
  <c r="F51" i="14"/>
  <c r="C47" i="14"/>
  <c r="E47" i="14"/>
  <c r="E46" i="14"/>
  <c r="F46" i="14"/>
  <c r="E45" i="14"/>
  <c r="F45" i="14"/>
  <c r="C44" i="14"/>
  <c r="E44" i="14"/>
  <c r="F44" i="14"/>
  <c r="F43" i="14"/>
  <c r="E43" i="14"/>
  <c r="F42" i="14"/>
  <c r="E42" i="14"/>
  <c r="E36" i="14"/>
  <c r="C36" i="14"/>
  <c r="C35" i="14"/>
  <c r="E35" i="14"/>
  <c r="C31" i="14"/>
  <c r="C32" i="14"/>
  <c r="E30" i="14"/>
  <c r="C30" i="14"/>
  <c r="C29" i="14"/>
  <c r="E28" i="14"/>
  <c r="F28" i="14"/>
  <c r="E27" i="14"/>
  <c r="F27" i="14"/>
  <c r="C24" i="14"/>
  <c r="E24" i="14"/>
  <c r="F24" i="14"/>
  <c r="C23" i="14"/>
  <c r="E23" i="14"/>
  <c r="E22" i="14"/>
  <c r="F22" i="14"/>
  <c r="C20" i="14"/>
  <c r="E19" i="14"/>
  <c r="F19" i="14"/>
  <c r="E18" i="14"/>
  <c r="F18" i="14"/>
  <c r="C17" i="14"/>
  <c r="E17" i="14"/>
  <c r="E16" i="14"/>
  <c r="F16" i="14"/>
  <c r="E15" i="14"/>
  <c r="F15" i="14"/>
  <c r="D25" i="13"/>
  <c r="C25" i="13"/>
  <c r="E24" i="13"/>
  <c r="F24" i="13"/>
  <c r="E23" i="13"/>
  <c r="F23" i="13"/>
  <c r="F22" i="13"/>
  <c r="E22" i="13"/>
  <c r="D19" i="13"/>
  <c r="E19" i="13"/>
  <c r="C19" i="13"/>
  <c r="F19" i="13"/>
  <c r="E18" i="13"/>
  <c r="F18" i="13"/>
  <c r="E17" i="13"/>
  <c r="F17" i="13"/>
  <c r="D14" i="13"/>
  <c r="C14" i="13"/>
  <c r="E13" i="13"/>
  <c r="F13" i="13"/>
  <c r="E12" i="13"/>
  <c r="F12" i="13"/>
  <c r="D99" i="12"/>
  <c r="E99" i="12"/>
  <c r="C99" i="12"/>
  <c r="F99" i="12"/>
  <c r="E98" i="12"/>
  <c r="F98" i="12"/>
  <c r="E97" i="12"/>
  <c r="F97" i="12"/>
  <c r="E96" i="12"/>
  <c r="F96" i="12"/>
  <c r="D92" i="12"/>
  <c r="C92" i="12"/>
  <c r="E91" i="12"/>
  <c r="F91" i="12"/>
  <c r="E90" i="12"/>
  <c r="F90" i="12"/>
  <c r="E89" i="12"/>
  <c r="F89" i="12"/>
  <c r="F88" i="12"/>
  <c r="E88" i="12"/>
  <c r="F87" i="12"/>
  <c r="E87" i="12"/>
  <c r="D84" i="12"/>
  <c r="E84" i="12"/>
  <c r="C84" i="12"/>
  <c r="F84" i="12"/>
  <c r="E83" i="12"/>
  <c r="F83" i="12"/>
  <c r="F82" i="12"/>
  <c r="E82" i="12"/>
  <c r="E81" i="12"/>
  <c r="F81" i="12"/>
  <c r="F80" i="12"/>
  <c r="E80" i="12"/>
  <c r="F79" i="12"/>
  <c r="E79" i="12"/>
  <c r="D75" i="12"/>
  <c r="C75" i="12"/>
  <c r="E74" i="12"/>
  <c r="F74" i="12"/>
  <c r="E73" i="12"/>
  <c r="F73" i="12"/>
  <c r="D70" i="12"/>
  <c r="E70" i="12"/>
  <c r="C70" i="12"/>
  <c r="F70" i="12"/>
  <c r="E69" i="12"/>
  <c r="F69" i="12"/>
  <c r="E68" i="12"/>
  <c r="F68" i="12"/>
  <c r="D65" i="12"/>
  <c r="C65" i="12"/>
  <c r="E64" i="12"/>
  <c r="F64" i="12"/>
  <c r="E63" i="12"/>
  <c r="F63" i="12"/>
  <c r="D60" i="12"/>
  <c r="C60" i="12"/>
  <c r="E59" i="12"/>
  <c r="F59" i="12"/>
  <c r="E58" i="12"/>
  <c r="F58" i="12"/>
  <c r="D55" i="12"/>
  <c r="C55" i="12"/>
  <c r="E54" i="12"/>
  <c r="F54" i="12"/>
  <c r="E53" i="12"/>
  <c r="F53" i="12"/>
  <c r="D50" i="12"/>
  <c r="C50" i="12"/>
  <c r="E49" i="12"/>
  <c r="F49" i="12"/>
  <c r="E48" i="12"/>
  <c r="F48" i="12"/>
  <c r="D45" i="12"/>
  <c r="E45" i="12"/>
  <c r="C45" i="12"/>
  <c r="E44" i="12"/>
  <c r="F44" i="12"/>
  <c r="E43" i="12"/>
  <c r="F43" i="12"/>
  <c r="D37" i="12"/>
  <c r="E37" i="12"/>
  <c r="C37" i="12"/>
  <c r="F36" i="12"/>
  <c r="E36" i="12"/>
  <c r="E35" i="12"/>
  <c r="F35" i="12"/>
  <c r="E34" i="12"/>
  <c r="F34" i="12"/>
  <c r="E33" i="12"/>
  <c r="F33" i="12"/>
  <c r="D30" i="12"/>
  <c r="E30" i="12"/>
  <c r="C30" i="12"/>
  <c r="F29" i="12"/>
  <c r="E29" i="12"/>
  <c r="E28" i="12"/>
  <c r="F28" i="12"/>
  <c r="E27" i="12"/>
  <c r="F27" i="12"/>
  <c r="E26" i="12"/>
  <c r="F26" i="12"/>
  <c r="D23" i="12"/>
  <c r="C23" i="12"/>
  <c r="F22" i="12"/>
  <c r="E22" i="12"/>
  <c r="E21" i="12"/>
  <c r="F21" i="12"/>
  <c r="E20" i="12"/>
  <c r="F20" i="12"/>
  <c r="E19" i="12"/>
  <c r="F19" i="12"/>
  <c r="D16" i="12"/>
  <c r="C16" i="12"/>
  <c r="F15" i="12"/>
  <c r="E15" i="12"/>
  <c r="E14" i="12"/>
  <c r="F14" i="12"/>
  <c r="E13" i="12"/>
  <c r="F13" i="12"/>
  <c r="E12" i="12"/>
  <c r="F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E17" i="11"/>
  <c r="E33" i="11"/>
  <c r="E36" i="11"/>
  <c r="E38" i="11"/>
  <c r="E40" i="11"/>
  <c r="D17" i="11"/>
  <c r="D31" i="11"/>
  <c r="C17" i="11"/>
  <c r="C31" i="11"/>
  <c r="C33" i="11"/>
  <c r="C36" i="11"/>
  <c r="C38" i="11"/>
  <c r="C40" i="11"/>
  <c r="G16" i="11"/>
  <c r="F16" i="11"/>
  <c r="G15" i="11"/>
  <c r="F15" i="11"/>
  <c r="G13" i="11"/>
  <c r="F13" i="11"/>
  <c r="G11" i="11"/>
  <c r="F11" i="11"/>
  <c r="E79" i="10"/>
  <c r="D79" i="10"/>
  <c r="C79" i="10"/>
  <c r="E78" i="10"/>
  <c r="E80" i="10"/>
  <c r="E77" i="10"/>
  <c r="D78" i="10"/>
  <c r="D80" i="10"/>
  <c r="D77" i="10"/>
  <c r="C78" i="10"/>
  <c r="C80" i="10"/>
  <c r="C77" i="10"/>
  <c r="E73" i="10"/>
  <c r="E75" i="10"/>
  <c r="D73" i="10"/>
  <c r="D75" i="10"/>
  <c r="C73" i="10"/>
  <c r="C75" i="10"/>
  <c r="E71" i="10"/>
  <c r="D71" i="10"/>
  <c r="C71" i="10"/>
  <c r="E66" i="10"/>
  <c r="E65" i="10"/>
  <c r="D66" i="10"/>
  <c r="D65" i="10"/>
  <c r="C66" i="10"/>
  <c r="C65" i="10"/>
  <c r="E60" i="10"/>
  <c r="D60" i="10"/>
  <c r="C60" i="10"/>
  <c r="E58" i="10"/>
  <c r="D58" i="10"/>
  <c r="C58" i="10"/>
  <c r="E55" i="10"/>
  <c r="E50" i="10"/>
  <c r="D55" i="10"/>
  <c r="C55" i="10"/>
  <c r="E54" i="10"/>
  <c r="D54" i="10"/>
  <c r="C54" i="10"/>
  <c r="C50" i="10"/>
  <c r="D50" i="10"/>
  <c r="C48" i="10"/>
  <c r="E46" i="10"/>
  <c r="E48" i="10"/>
  <c r="D46" i="10"/>
  <c r="C46" i="10"/>
  <c r="C59" i="10"/>
  <c r="C61" i="10"/>
  <c r="C57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E25" i="10"/>
  <c r="E27" i="10"/>
  <c r="E21" i="10"/>
  <c r="D13" i="10"/>
  <c r="C13" i="10"/>
  <c r="C15" i="10"/>
  <c r="D46" i="9"/>
  <c r="C46" i="9"/>
  <c r="F45" i="9"/>
  <c r="E45" i="9"/>
  <c r="E44" i="9"/>
  <c r="F44" i="9"/>
  <c r="D39" i="9"/>
  <c r="E39" i="9"/>
  <c r="C39" i="9"/>
  <c r="E38" i="9"/>
  <c r="F38" i="9"/>
  <c r="F37" i="9"/>
  <c r="E37" i="9"/>
  <c r="E36" i="9"/>
  <c r="F36" i="9"/>
  <c r="D31" i="9"/>
  <c r="C31" i="9"/>
  <c r="F30" i="9"/>
  <c r="E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F18" i="9"/>
  <c r="E18" i="9"/>
  <c r="F17" i="9"/>
  <c r="E17" i="9"/>
  <c r="D16" i="9"/>
  <c r="D19" i="9"/>
  <c r="C16" i="9"/>
  <c r="C19" i="9"/>
  <c r="C33" i="9"/>
  <c r="C41" i="9"/>
  <c r="C48" i="9"/>
  <c r="F15" i="9"/>
  <c r="E15" i="9"/>
  <c r="F14" i="9"/>
  <c r="E14" i="9"/>
  <c r="F13" i="9"/>
  <c r="E13" i="9"/>
  <c r="F12" i="9"/>
  <c r="E12" i="9"/>
  <c r="D73" i="8"/>
  <c r="E73" i="8"/>
  <c r="F73" i="8"/>
  <c r="C73" i="8"/>
  <c r="F72" i="8"/>
  <c r="E72" i="8"/>
  <c r="F71" i="8"/>
  <c r="E71" i="8"/>
  <c r="F70" i="8"/>
  <c r="E70" i="8"/>
  <c r="F67" i="8"/>
  <c r="E67" i="8"/>
  <c r="F64" i="8"/>
  <c r="E64" i="8"/>
  <c r="F63" i="8"/>
  <c r="E63" i="8"/>
  <c r="D61" i="8"/>
  <c r="E61" i="8"/>
  <c r="F61" i="8"/>
  <c r="C61" i="8"/>
  <c r="C65" i="8"/>
  <c r="E60" i="8"/>
  <c r="F60" i="8"/>
  <c r="E59" i="8"/>
  <c r="F59" i="8"/>
  <c r="D56" i="8"/>
  <c r="C56" i="8"/>
  <c r="E55" i="8"/>
  <c r="F55" i="8"/>
  <c r="F54" i="8"/>
  <c r="E54" i="8"/>
  <c r="E53" i="8"/>
  <c r="F53" i="8"/>
  <c r="F52" i="8"/>
  <c r="E52" i="8"/>
  <c r="F51" i="8"/>
  <c r="E51" i="8"/>
  <c r="E50" i="8"/>
  <c r="F50" i="8"/>
  <c r="A50" i="8"/>
  <c r="A51" i="8"/>
  <c r="A52" i="8"/>
  <c r="A53" i="8"/>
  <c r="A54" i="8"/>
  <c r="A55" i="8"/>
  <c r="E49" i="8"/>
  <c r="F49" i="8"/>
  <c r="E40" i="8"/>
  <c r="F40" i="8"/>
  <c r="D38" i="8"/>
  <c r="D41" i="8"/>
  <c r="C38" i="8"/>
  <c r="E37" i="8"/>
  <c r="F37" i="8"/>
  <c r="E36" i="8"/>
  <c r="F36" i="8"/>
  <c r="E33" i="8"/>
  <c r="F33" i="8"/>
  <c r="E32" i="8"/>
  <c r="F32" i="8"/>
  <c r="F31" i="8"/>
  <c r="E31" i="8"/>
  <c r="D29" i="8"/>
  <c r="E29" i="8"/>
  <c r="C29" i="8"/>
  <c r="F29" i="8"/>
  <c r="F28" i="8"/>
  <c r="E28" i="8"/>
  <c r="F27" i="8"/>
  <c r="E27" i="8"/>
  <c r="E26" i="8"/>
  <c r="F26" i="8"/>
  <c r="E25" i="8"/>
  <c r="F25" i="8"/>
  <c r="D22" i="8"/>
  <c r="E22" i="8"/>
  <c r="C22" i="8"/>
  <c r="F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D120" i="7"/>
  <c r="E120" i="7"/>
  <c r="C120" i="7"/>
  <c r="F120" i="7"/>
  <c r="D119" i="7"/>
  <c r="E119" i="7"/>
  <c r="C119" i="7"/>
  <c r="F119" i="7"/>
  <c r="D118" i="7"/>
  <c r="C118" i="7"/>
  <c r="D117" i="7"/>
  <c r="E117" i="7"/>
  <c r="C117" i="7"/>
  <c r="F117" i="7"/>
  <c r="D116" i="7"/>
  <c r="C116" i="7"/>
  <c r="D115" i="7"/>
  <c r="E115" i="7"/>
  <c r="C115" i="7"/>
  <c r="F115" i="7"/>
  <c r="D114" i="7"/>
  <c r="C114" i="7"/>
  <c r="D113" i="7"/>
  <c r="E113" i="7"/>
  <c r="C113" i="7"/>
  <c r="F113" i="7"/>
  <c r="D112" i="7"/>
  <c r="E112" i="7"/>
  <c r="F112" i="7"/>
  <c r="C112" i="7"/>
  <c r="C121" i="7"/>
  <c r="D108" i="7"/>
  <c r="E108" i="7"/>
  <c r="C108" i="7"/>
  <c r="D107" i="7"/>
  <c r="C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E96" i="7"/>
  <c r="C96" i="7"/>
  <c r="F96" i="7"/>
  <c r="D95" i="7"/>
  <c r="C95" i="7"/>
  <c r="F94" i="7"/>
  <c r="E94" i="7"/>
  <c r="E93" i="7"/>
  <c r="F93" i="7"/>
  <c r="E92" i="7"/>
  <c r="F92" i="7"/>
  <c r="F91" i="7"/>
  <c r="E91" i="7"/>
  <c r="F90" i="7"/>
  <c r="E90" i="7"/>
  <c r="E89" i="7"/>
  <c r="F89" i="7"/>
  <c r="E88" i="7"/>
  <c r="F88" i="7"/>
  <c r="F87" i="7"/>
  <c r="E87" i="7"/>
  <c r="F86" i="7"/>
  <c r="E86" i="7"/>
  <c r="D84" i="7"/>
  <c r="E84" i="7"/>
  <c r="C84" i="7"/>
  <c r="F84" i="7"/>
  <c r="D83" i="7"/>
  <c r="E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/>
  <c r="C72" i="7"/>
  <c r="F72" i="7"/>
  <c r="D71" i="7"/>
  <c r="E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/>
  <c r="C60" i="7"/>
  <c r="F60" i="7"/>
  <c r="D59" i="7"/>
  <c r="C59" i="7"/>
  <c r="E58" i="7"/>
  <c r="F58" i="7"/>
  <c r="E57" i="7"/>
  <c r="F57" i="7"/>
  <c r="E56" i="7"/>
  <c r="F56" i="7"/>
  <c r="E55" i="7"/>
  <c r="F55" i="7"/>
  <c r="E54" i="7"/>
  <c r="F54" i="7"/>
  <c r="E53" i="7"/>
  <c r="F53" i="7"/>
  <c r="E52" i="7"/>
  <c r="F52" i="7"/>
  <c r="E51" i="7"/>
  <c r="F51" i="7"/>
  <c r="E50" i="7"/>
  <c r="F50" i="7"/>
  <c r="D48" i="7"/>
  <c r="E48" i="7"/>
  <c r="C48" i="7"/>
  <c r="F48" i="7"/>
  <c r="D47" i="7"/>
  <c r="E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/>
  <c r="C36" i="7"/>
  <c r="D35" i="7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E24" i="7"/>
  <c r="C24" i="7"/>
  <c r="F24" i="7"/>
  <c r="D23" i="7"/>
  <c r="C23" i="7"/>
  <c r="E22" i="7"/>
  <c r="F22" i="7"/>
  <c r="E21" i="7"/>
  <c r="F21" i="7"/>
  <c r="E20" i="7"/>
  <c r="F20" i="7"/>
  <c r="E19" i="7"/>
  <c r="F19" i="7"/>
  <c r="E18" i="7"/>
  <c r="F18" i="7"/>
  <c r="E17" i="7"/>
  <c r="F17" i="7"/>
  <c r="E16" i="7"/>
  <c r="F16" i="7"/>
  <c r="E15" i="7"/>
  <c r="F15" i="7"/>
  <c r="E14" i="7"/>
  <c r="F14" i="7"/>
  <c r="D206" i="6"/>
  <c r="E206" i="6"/>
  <c r="C206" i="6"/>
  <c r="D205" i="6"/>
  <c r="C205" i="6"/>
  <c r="D204" i="6"/>
  <c r="E204" i="6"/>
  <c r="C204" i="6"/>
  <c r="D203" i="6"/>
  <c r="C203" i="6"/>
  <c r="D202" i="6"/>
  <c r="E202" i="6"/>
  <c r="C202" i="6"/>
  <c r="D201" i="6"/>
  <c r="C201" i="6"/>
  <c r="D200" i="6"/>
  <c r="E200" i="6"/>
  <c r="C200" i="6"/>
  <c r="D199" i="6"/>
  <c r="C199" i="6"/>
  <c r="D198" i="6"/>
  <c r="E198" i="6"/>
  <c r="F198" i="6"/>
  <c r="C198" i="6"/>
  <c r="C207" i="6"/>
  <c r="D193" i="6"/>
  <c r="E193" i="6"/>
  <c r="C193" i="6"/>
  <c r="F193" i="6"/>
  <c r="D192" i="6"/>
  <c r="E192" i="6"/>
  <c r="C192" i="6"/>
  <c r="F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E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/>
  <c r="C154" i="6"/>
  <c r="F154" i="6"/>
  <c r="D153" i="6"/>
  <c r="E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D140" i="6"/>
  <c r="E140" i="6"/>
  <c r="C140" i="6"/>
  <c r="E139" i="6"/>
  <c r="F139" i="6"/>
  <c r="E138" i="6"/>
  <c r="F138" i="6"/>
  <c r="E137" i="6"/>
  <c r="F137" i="6"/>
  <c r="E136" i="6"/>
  <c r="F136" i="6"/>
  <c r="E135" i="6"/>
  <c r="F135" i="6"/>
  <c r="E134" i="6"/>
  <c r="F134" i="6"/>
  <c r="E133" i="6"/>
  <c r="F133" i="6"/>
  <c r="E132" i="6"/>
  <c r="F132" i="6"/>
  <c r="E131" i="6"/>
  <c r="F131" i="6"/>
  <c r="D128" i="6"/>
  <c r="E128" i="6"/>
  <c r="C128" i="6"/>
  <c r="F128" i="6"/>
  <c r="D127" i="6"/>
  <c r="E127" i="6"/>
  <c r="C127" i="6"/>
  <c r="F127" i="6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D115" i="6"/>
  <c r="C115" i="6"/>
  <c r="D114" i="6"/>
  <c r="E114" i="6"/>
  <c r="C114" i="6"/>
  <c r="F114" i="6"/>
  <c r="E113" i="6"/>
  <c r="F113" i="6"/>
  <c r="E112" i="6"/>
  <c r="F112" i="6"/>
  <c r="E111" i="6"/>
  <c r="F111" i="6"/>
  <c r="E110" i="6"/>
  <c r="F110" i="6"/>
  <c r="E109" i="6"/>
  <c r="F109" i="6"/>
  <c r="E108" i="6"/>
  <c r="F108" i="6"/>
  <c r="E107" i="6"/>
  <c r="F107" i="6"/>
  <c r="E106" i="6"/>
  <c r="F106" i="6"/>
  <c r="E105" i="6"/>
  <c r="F105" i="6"/>
  <c r="D102" i="6"/>
  <c r="E102" i="6"/>
  <c r="C102" i="6"/>
  <c r="F102" i="6"/>
  <c r="D101" i="6"/>
  <c r="E101" i="6"/>
  <c r="C101" i="6"/>
  <c r="F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C89" i="6"/>
  <c r="D88" i="6"/>
  <c r="E88" i="6"/>
  <c r="C88" i="6"/>
  <c r="E87" i="6"/>
  <c r="F87" i="6"/>
  <c r="E86" i="6"/>
  <c r="F86" i="6"/>
  <c r="E85" i="6"/>
  <c r="F85" i="6"/>
  <c r="E84" i="6"/>
  <c r="F84" i="6"/>
  <c r="E83" i="6"/>
  <c r="F83" i="6"/>
  <c r="E82" i="6"/>
  <c r="F82" i="6"/>
  <c r="E81" i="6"/>
  <c r="F81" i="6"/>
  <c r="E80" i="6"/>
  <c r="F80" i="6"/>
  <c r="E79" i="6"/>
  <c r="F79" i="6"/>
  <c r="D76" i="6"/>
  <c r="C76" i="6"/>
  <c r="D75" i="6"/>
  <c r="E75" i="6"/>
  <c r="C75" i="6"/>
  <c r="F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C63" i="6"/>
  <c r="D62" i="6"/>
  <c r="E62" i="6"/>
  <c r="C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C50" i="6"/>
  <c r="D49" i="6"/>
  <c r="E49" i="6"/>
  <c r="C49" i="6"/>
  <c r="F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C37" i="6"/>
  <c r="D36" i="6"/>
  <c r="E36" i="6"/>
  <c r="C36" i="6"/>
  <c r="F35" i="6"/>
  <c r="E35" i="6"/>
  <c r="E34" i="6"/>
  <c r="F34" i="6"/>
  <c r="E33" i="6"/>
  <c r="F33" i="6"/>
  <c r="E32" i="6"/>
  <c r="F32" i="6"/>
  <c r="E31" i="6"/>
  <c r="F31" i="6"/>
  <c r="E30" i="6"/>
  <c r="F30" i="6"/>
  <c r="E29" i="6"/>
  <c r="F29" i="6"/>
  <c r="E28" i="6"/>
  <c r="F28" i="6"/>
  <c r="E27" i="6"/>
  <c r="F27" i="6"/>
  <c r="D24" i="6"/>
  <c r="C24" i="6"/>
  <c r="D23" i="6"/>
  <c r="E23" i="6"/>
  <c r="C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D164" i="5"/>
  <c r="D160" i="5"/>
  <c r="C164" i="5"/>
  <c r="E162" i="5"/>
  <c r="D162" i="5"/>
  <c r="C162" i="5"/>
  <c r="E161" i="5"/>
  <c r="D161" i="5"/>
  <c r="C161" i="5"/>
  <c r="E160" i="5"/>
  <c r="E166" i="5"/>
  <c r="C160" i="5"/>
  <c r="C166" i="5"/>
  <c r="E147" i="5"/>
  <c r="E143" i="5"/>
  <c r="E149" i="5"/>
  <c r="D147" i="5"/>
  <c r="D143" i="5"/>
  <c r="D149" i="5"/>
  <c r="C147" i="5"/>
  <c r="E145" i="5"/>
  <c r="D145" i="5"/>
  <c r="C145" i="5"/>
  <c r="E144" i="5"/>
  <c r="D144" i="5"/>
  <c r="C144" i="5"/>
  <c r="C143" i="5"/>
  <c r="C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E94" i="5"/>
  <c r="D95" i="5"/>
  <c r="D94" i="5"/>
  <c r="C95" i="5"/>
  <c r="C94" i="5"/>
  <c r="E89" i="5"/>
  <c r="D89" i="5"/>
  <c r="C89" i="5"/>
  <c r="E87" i="5"/>
  <c r="D87" i="5"/>
  <c r="C87" i="5"/>
  <c r="E84" i="5"/>
  <c r="E79" i="5"/>
  <c r="D84" i="5"/>
  <c r="C84" i="5"/>
  <c r="C79" i="5"/>
  <c r="E83" i="5"/>
  <c r="D83" i="5"/>
  <c r="C83" i="5"/>
  <c r="D79" i="5"/>
  <c r="E75" i="5"/>
  <c r="E88" i="5"/>
  <c r="E90" i="5"/>
  <c r="E86" i="5"/>
  <c r="D75" i="5"/>
  <c r="C75" i="5"/>
  <c r="C88" i="5"/>
  <c r="C90" i="5"/>
  <c r="C86" i="5"/>
  <c r="E74" i="5"/>
  <c r="D74" i="5"/>
  <c r="C74" i="5"/>
  <c r="E67" i="5"/>
  <c r="D67" i="5"/>
  <c r="C67" i="5"/>
  <c r="D49" i="5"/>
  <c r="E38" i="5"/>
  <c r="E57" i="5"/>
  <c r="E62" i="5"/>
  <c r="D38" i="5"/>
  <c r="D53" i="5"/>
  <c r="D57" i="5"/>
  <c r="D62" i="5"/>
  <c r="C38" i="5"/>
  <c r="E33" i="5"/>
  <c r="E34" i="5"/>
  <c r="D33" i="5"/>
  <c r="D34" i="5"/>
  <c r="E26" i="5"/>
  <c r="D26" i="5"/>
  <c r="C26" i="5"/>
  <c r="E25" i="5"/>
  <c r="E27" i="5"/>
  <c r="C25" i="5"/>
  <c r="C27" i="5"/>
  <c r="C21" i="5"/>
  <c r="C15" i="5"/>
  <c r="E13" i="5"/>
  <c r="E15" i="5"/>
  <c r="D13" i="5"/>
  <c r="C13" i="5"/>
  <c r="F174" i="4"/>
  <c r="E174" i="4"/>
  <c r="D171" i="4"/>
  <c r="E171" i="4"/>
  <c r="F171" i="4"/>
  <c r="C171" i="4"/>
  <c r="F170" i="4"/>
  <c r="E170" i="4"/>
  <c r="F169" i="4"/>
  <c r="E169" i="4"/>
  <c r="F168" i="4"/>
  <c r="E168" i="4"/>
  <c r="F167" i="4"/>
  <c r="E167" i="4"/>
  <c r="F166" i="4"/>
  <c r="E166" i="4"/>
  <c r="F165" i="4"/>
  <c r="E165" i="4"/>
  <c r="F164" i="4"/>
  <c r="E164" i="4"/>
  <c r="F163" i="4"/>
  <c r="E163" i="4"/>
  <c r="F162" i="4"/>
  <c r="E162" i="4"/>
  <c r="F161" i="4"/>
  <c r="E161" i="4"/>
  <c r="F160" i="4"/>
  <c r="E160" i="4"/>
  <c r="F159" i="4"/>
  <c r="E159" i="4"/>
  <c r="F158" i="4"/>
  <c r="E158" i="4"/>
  <c r="D155" i="4"/>
  <c r="E155" i="4"/>
  <c r="F155" i="4"/>
  <c r="C155" i="4"/>
  <c r="F154" i="4"/>
  <c r="E154" i="4"/>
  <c r="F153" i="4"/>
  <c r="E153" i="4"/>
  <c r="F152" i="4"/>
  <c r="E152" i="4"/>
  <c r="F151" i="4"/>
  <c r="E151" i="4"/>
  <c r="F150" i="4"/>
  <c r="E150" i="4"/>
  <c r="F149" i="4"/>
  <c r="E149" i="4"/>
  <c r="F148" i="4"/>
  <c r="E148" i="4"/>
  <c r="F147" i="4"/>
  <c r="E147" i="4"/>
  <c r="F146" i="4"/>
  <c r="E146" i="4"/>
  <c r="F145" i="4"/>
  <c r="E145" i="4"/>
  <c r="F144" i="4"/>
  <c r="E144" i="4"/>
  <c r="F143" i="4"/>
  <c r="E143" i="4"/>
  <c r="F142" i="4"/>
  <c r="E142" i="4"/>
  <c r="F141" i="4"/>
  <c r="E141" i="4"/>
  <c r="F140" i="4"/>
  <c r="E140" i="4"/>
  <c r="F139" i="4"/>
  <c r="E139" i="4"/>
  <c r="F138" i="4"/>
  <c r="E138" i="4"/>
  <c r="F137" i="4"/>
  <c r="E137" i="4"/>
  <c r="F136" i="4"/>
  <c r="E136" i="4"/>
  <c r="F135" i="4"/>
  <c r="E135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F122" i="4"/>
  <c r="E122" i="4"/>
  <c r="F121" i="4"/>
  <c r="E121" i="4"/>
  <c r="D118" i="4"/>
  <c r="C118" i="4"/>
  <c r="F117" i="4"/>
  <c r="E117" i="4"/>
  <c r="E116" i="4"/>
  <c r="F116" i="4"/>
  <c r="F115" i="4"/>
  <c r="E115" i="4"/>
  <c r="E114" i="4"/>
  <c r="F114" i="4"/>
  <c r="F113" i="4"/>
  <c r="E113" i="4"/>
  <c r="E112" i="4"/>
  <c r="F112" i="4"/>
  <c r="D109" i="4"/>
  <c r="E109" i="4"/>
  <c r="F109" i="4"/>
  <c r="C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81" i="4"/>
  <c r="E81" i="4"/>
  <c r="D78" i="4"/>
  <c r="E78" i="4"/>
  <c r="C78" i="4"/>
  <c r="E77" i="4"/>
  <c r="F77" i="4"/>
  <c r="F76" i="4"/>
  <c r="E76" i="4"/>
  <c r="E75" i="4"/>
  <c r="F75" i="4"/>
  <c r="F74" i="4"/>
  <c r="E74" i="4"/>
  <c r="E73" i="4"/>
  <c r="F73" i="4"/>
  <c r="F72" i="4"/>
  <c r="E72" i="4"/>
  <c r="E71" i="4"/>
  <c r="F71" i="4"/>
  <c r="F70" i="4"/>
  <c r="E70" i="4"/>
  <c r="F69" i="4"/>
  <c r="E69" i="4"/>
  <c r="F68" i="4"/>
  <c r="E68" i="4"/>
  <c r="E67" i="4"/>
  <c r="F67" i="4"/>
  <c r="F66" i="4"/>
  <c r="E66" i="4"/>
  <c r="E65" i="4"/>
  <c r="F65" i="4"/>
  <c r="F64" i="4"/>
  <c r="E64" i="4"/>
  <c r="E63" i="4"/>
  <c r="F63" i="4"/>
  <c r="F62" i="4"/>
  <c r="E62" i="4"/>
  <c r="D59" i="4"/>
  <c r="E59" i="4"/>
  <c r="C59" i="4"/>
  <c r="E58" i="4"/>
  <c r="F58" i="4"/>
  <c r="F57" i="4"/>
  <c r="E57" i="4"/>
  <c r="E56" i="4"/>
  <c r="F56" i="4"/>
  <c r="F55" i="4"/>
  <c r="E55" i="4"/>
  <c r="E54" i="4"/>
  <c r="F54" i="4"/>
  <c r="F53" i="4"/>
  <c r="E53" i="4"/>
  <c r="E50" i="4"/>
  <c r="F50" i="4"/>
  <c r="F47" i="4"/>
  <c r="E47" i="4"/>
  <c r="E44" i="4"/>
  <c r="F44" i="4"/>
  <c r="D41" i="4"/>
  <c r="C41" i="4"/>
  <c r="F40" i="4"/>
  <c r="E40" i="4"/>
  <c r="F39" i="4"/>
  <c r="E39" i="4"/>
  <c r="F38" i="4"/>
  <c r="E38" i="4"/>
  <c r="D35" i="4"/>
  <c r="E35" i="4"/>
  <c r="F35" i="4"/>
  <c r="C35" i="4"/>
  <c r="F34" i="4"/>
  <c r="E34" i="4"/>
  <c r="F33" i="4"/>
  <c r="E33" i="4"/>
  <c r="D30" i="4"/>
  <c r="E30" i="4"/>
  <c r="F30" i="4"/>
  <c r="C30" i="4"/>
  <c r="F29" i="4"/>
  <c r="E29" i="4"/>
  <c r="F28" i="4"/>
  <c r="E28" i="4"/>
  <c r="F27" i="4"/>
  <c r="E27" i="4"/>
  <c r="D24" i="4"/>
  <c r="C24" i="4"/>
  <c r="F23" i="4"/>
  <c r="E23" i="4"/>
  <c r="E22" i="4"/>
  <c r="F22" i="4"/>
  <c r="F21" i="4"/>
  <c r="E21" i="4"/>
  <c r="D18" i="4"/>
  <c r="E18" i="4"/>
  <c r="C18" i="4"/>
  <c r="F18" i="4"/>
  <c r="E17" i="4"/>
  <c r="F17" i="4"/>
  <c r="F16" i="4"/>
  <c r="E16" i="4"/>
  <c r="E15" i="4"/>
  <c r="F15" i="4"/>
  <c r="D179" i="3"/>
  <c r="E179" i="3"/>
  <c r="F179" i="3"/>
  <c r="C179" i="3"/>
  <c r="F178" i="3"/>
  <c r="E178" i="3"/>
  <c r="F177" i="3"/>
  <c r="E177" i="3"/>
  <c r="F176" i="3"/>
  <c r="E176" i="3"/>
  <c r="F175" i="3"/>
  <c r="E175" i="3"/>
  <c r="F174" i="3"/>
  <c r="E174" i="3"/>
  <c r="F173" i="3"/>
  <c r="E173" i="3"/>
  <c r="F172" i="3"/>
  <c r="E172" i="3"/>
  <c r="F171" i="3"/>
  <c r="E171" i="3"/>
  <c r="F170" i="3"/>
  <c r="E170" i="3"/>
  <c r="F169" i="3"/>
  <c r="E169" i="3"/>
  <c r="F168" i="3"/>
  <c r="E168" i="3"/>
  <c r="D166" i="3"/>
  <c r="E166" i="3"/>
  <c r="F166" i="3"/>
  <c r="C166" i="3"/>
  <c r="F165" i="3"/>
  <c r="E165" i="3"/>
  <c r="F164" i="3"/>
  <c r="E164" i="3"/>
  <c r="F163" i="3"/>
  <c r="E163" i="3"/>
  <c r="F162" i="3"/>
  <c r="E162" i="3"/>
  <c r="F161" i="3"/>
  <c r="E161" i="3"/>
  <c r="F160" i="3"/>
  <c r="E160" i="3"/>
  <c r="F159" i="3"/>
  <c r="E159" i="3"/>
  <c r="F158" i="3"/>
  <c r="E158" i="3"/>
  <c r="F157" i="3"/>
  <c r="E157" i="3"/>
  <c r="F156" i="3"/>
  <c r="E156" i="3"/>
  <c r="F155" i="3"/>
  <c r="E155" i="3"/>
  <c r="D153" i="3"/>
  <c r="C153" i="3"/>
  <c r="F152" i="3"/>
  <c r="E152" i="3"/>
  <c r="E151" i="3"/>
  <c r="F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C137" i="3"/>
  <c r="E137" i="3"/>
  <c r="F136" i="3"/>
  <c r="E136" i="3"/>
  <c r="E135" i="3"/>
  <c r="F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E124" i="3"/>
  <c r="F124" i="3"/>
  <c r="C124" i="3"/>
  <c r="F123" i="3"/>
  <c r="E123" i="3"/>
  <c r="E122" i="3"/>
  <c r="F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C111" i="3"/>
  <c r="E111" i="3"/>
  <c r="F111" i="3"/>
  <c r="F110" i="3"/>
  <c r="E110" i="3"/>
  <c r="E109" i="3"/>
  <c r="F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C94" i="3"/>
  <c r="F94" i="3"/>
  <c r="D93" i="3"/>
  <c r="C93" i="3"/>
  <c r="D92" i="3"/>
  <c r="C92" i="3"/>
  <c r="D91" i="3"/>
  <c r="C91" i="3"/>
  <c r="D90" i="3"/>
  <c r="C90" i="3"/>
  <c r="D89" i="3"/>
  <c r="C89" i="3"/>
  <c r="D88" i="3"/>
  <c r="C88" i="3"/>
  <c r="D87" i="3"/>
  <c r="C87" i="3"/>
  <c r="D86" i="3"/>
  <c r="C86" i="3"/>
  <c r="D85" i="3"/>
  <c r="C85" i="3"/>
  <c r="E84" i="3"/>
  <c r="D84" i="3"/>
  <c r="D95" i="3"/>
  <c r="C84" i="3"/>
  <c r="F84" i="3"/>
  <c r="D81" i="3"/>
  <c r="E81" i="3"/>
  <c r="F81" i="3"/>
  <c r="C81" i="3"/>
  <c r="F80" i="3"/>
  <c r="E80" i="3"/>
  <c r="E79" i="3"/>
  <c r="F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C68" i="3"/>
  <c r="E68" i="3"/>
  <c r="F68" i="3"/>
  <c r="F67" i="3"/>
  <c r="E67" i="3"/>
  <c r="E66" i="3"/>
  <c r="F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C51" i="3"/>
  <c r="F51" i="3"/>
  <c r="D50" i="3"/>
  <c r="C50" i="3"/>
  <c r="D49" i="3"/>
  <c r="C49" i="3"/>
  <c r="D48" i="3"/>
  <c r="C48" i="3"/>
  <c r="D47" i="3"/>
  <c r="C47" i="3"/>
  <c r="D46" i="3"/>
  <c r="C46" i="3"/>
  <c r="D45" i="3"/>
  <c r="C45" i="3"/>
  <c r="D44" i="3"/>
  <c r="C44" i="3"/>
  <c r="D43" i="3"/>
  <c r="C43" i="3"/>
  <c r="D42" i="3"/>
  <c r="C42" i="3"/>
  <c r="E41" i="3"/>
  <c r="D41" i="3"/>
  <c r="D52" i="3"/>
  <c r="C41" i="3"/>
  <c r="F41" i="3"/>
  <c r="D38" i="3"/>
  <c r="E38" i="3"/>
  <c r="F38" i="3"/>
  <c r="C38" i="3"/>
  <c r="F37" i="3"/>
  <c r="E37" i="3"/>
  <c r="E36" i="3"/>
  <c r="F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C25" i="3"/>
  <c r="E25" i="3"/>
  <c r="F25" i="3"/>
  <c r="F24" i="3"/>
  <c r="E24" i="3"/>
  <c r="E23" i="3"/>
  <c r="F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C46" i="2"/>
  <c r="E46" i="2"/>
  <c r="F45" i="2"/>
  <c r="E45" i="2"/>
  <c r="E44" i="2"/>
  <c r="F44" i="2"/>
  <c r="D39" i="2"/>
  <c r="C39" i="2"/>
  <c r="E39" i="2"/>
  <c r="F39" i="2"/>
  <c r="E38" i="2"/>
  <c r="F38" i="2"/>
  <c r="F37" i="2"/>
  <c r="E37" i="2"/>
  <c r="E36" i="2"/>
  <c r="F36" i="2"/>
  <c r="D31" i="2"/>
  <c r="C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E18" i="2"/>
  <c r="F18" i="2"/>
  <c r="E17" i="2"/>
  <c r="F17" i="2"/>
  <c r="D16" i="2"/>
  <c r="D19" i="2"/>
  <c r="C16" i="2"/>
  <c r="F15" i="2"/>
  <c r="E15" i="2"/>
  <c r="E14" i="2"/>
  <c r="F14" i="2"/>
  <c r="E13" i="2"/>
  <c r="F13" i="2"/>
  <c r="E12" i="2"/>
  <c r="F12" i="2"/>
  <c r="D73" i="1"/>
  <c r="C73" i="1"/>
  <c r="E73" i="1"/>
  <c r="E72" i="1"/>
  <c r="F72" i="1"/>
  <c r="E71" i="1"/>
  <c r="F71" i="1"/>
  <c r="E70" i="1"/>
  <c r="F70" i="1"/>
  <c r="F67" i="1"/>
  <c r="E67" i="1"/>
  <c r="E64" i="1"/>
  <c r="F64" i="1"/>
  <c r="E63" i="1"/>
  <c r="F63" i="1"/>
  <c r="D61" i="1"/>
  <c r="D65" i="1"/>
  <c r="C61" i="1"/>
  <c r="C65" i="1"/>
  <c r="F60" i="1"/>
  <c r="E60" i="1"/>
  <c r="E59" i="1"/>
  <c r="F59" i="1"/>
  <c r="D56" i="1"/>
  <c r="C56" i="1"/>
  <c r="E56" i="1"/>
  <c r="E55" i="1"/>
  <c r="F55" i="1"/>
  <c r="F54" i="1"/>
  <c r="E54" i="1"/>
  <c r="E53" i="1"/>
  <c r="F53" i="1"/>
  <c r="F52" i="1"/>
  <c r="E52" i="1"/>
  <c r="F51" i="1"/>
  <c r="E51" i="1"/>
  <c r="E50" i="1"/>
  <c r="F50" i="1"/>
  <c r="A50" i="1"/>
  <c r="A51" i="1"/>
  <c r="A52" i="1"/>
  <c r="A53" i="1"/>
  <c r="A54" i="1"/>
  <c r="A55" i="1"/>
  <c r="E49" i="1"/>
  <c r="F49" i="1"/>
  <c r="E40" i="1"/>
  <c r="F40" i="1"/>
  <c r="D38" i="1"/>
  <c r="D41" i="1"/>
  <c r="C38" i="1"/>
  <c r="C41" i="1"/>
  <c r="E37" i="1"/>
  <c r="F37" i="1"/>
  <c r="E36" i="1"/>
  <c r="F36" i="1"/>
  <c r="E33" i="1"/>
  <c r="F33" i="1"/>
  <c r="E32" i="1"/>
  <c r="F32" i="1"/>
  <c r="F31" i="1"/>
  <c r="E31" i="1"/>
  <c r="D29" i="1"/>
  <c r="C29" i="1"/>
  <c r="E29" i="1"/>
  <c r="E28" i="1"/>
  <c r="F28" i="1"/>
  <c r="F27" i="1"/>
  <c r="E27" i="1"/>
  <c r="E26" i="1"/>
  <c r="F26" i="1"/>
  <c r="F25" i="1"/>
  <c r="E25" i="1"/>
  <c r="D22" i="1"/>
  <c r="D43" i="1"/>
  <c r="C22" i="1"/>
  <c r="E22" i="1"/>
  <c r="E21" i="1"/>
  <c r="F21" i="1"/>
  <c r="E20" i="1"/>
  <c r="F20" i="1"/>
  <c r="E19" i="1"/>
  <c r="F19" i="1"/>
  <c r="F18" i="1"/>
  <c r="E18" i="1"/>
  <c r="F17" i="1"/>
  <c r="E17" i="1"/>
  <c r="F16" i="1"/>
  <c r="E16" i="1"/>
  <c r="E15" i="1"/>
  <c r="F15" i="1"/>
  <c r="E14" i="1"/>
  <c r="F14" i="1"/>
  <c r="E13" i="1"/>
  <c r="F13" i="1"/>
  <c r="F17" i="14"/>
  <c r="F30" i="14"/>
  <c r="F36" i="14"/>
  <c r="E124" i="14"/>
  <c r="D37" i="14"/>
  <c r="D126" i="14"/>
  <c r="D127" i="14"/>
  <c r="F59" i="14"/>
  <c r="E77" i="14"/>
  <c r="F94" i="14"/>
  <c r="D146" i="14"/>
  <c r="D181" i="14"/>
  <c r="D262" i="14"/>
  <c r="E156" i="5"/>
  <c r="E152" i="5"/>
  <c r="E154" i="5"/>
  <c r="E155" i="5"/>
  <c r="E153" i="5"/>
  <c r="E157" i="5"/>
  <c r="C154" i="5"/>
  <c r="C156" i="5"/>
  <c r="C152" i="5"/>
  <c r="C153" i="5"/>
  <c r="C157" i="5"/>
  <c r="C155" i="5"/>
  <c r="C137" i="5"/>
  <c r="C139" i="5"/>
  <c r="C135" i="5"/>
  <c r="C138" i="5"/>
  <c r="C136" i="5"/>
  <c r="C140" i="5"/>
  <c r="D75" i="1"/>
  <c r="E21" i="5"/>
  <c r="E24" i="5"/>
  <c r="E20" i="5"/>
  <c r="E17" i="5"/>
  <c r="C43" i="5"/>
  <c r="C53" i="5"/>
  <c r="D138" i="5"/>
  <c r="D140" i="5"/>
  <c r="D136" i="5"/>
  <c r="C24" i="10"/>
  <c r="C17" i="10"/>
  <c r="C28" i="10"/>
  <c r="C70" i="10"/>
  <c r="C72" i="10"/>
  <c r="C69" i="10"/>
  <c r="E111" i="14"/>
  <c r="F111" i="14"/>
  <c r="F22" i="1"/>
  <c r="F29" i="1"/>
  <c r="F56" i="1"/>
  <c r="F73" i="1"/>
  <c r="F46" i="2"/>
  <c r="F137" i="3"/>
  <c r="E153" i="3"/>
  <c r="F153" i="3"/>
  <c r="D83" i="4"/>
  <c r="C176" i="4"/>
  <c r="C49" i="5"/>
  <c r="C57" i="5"/>
  <c r="C62" i="5"/>
  <c r="D207" i="6"/>
  <c r="E207" i="6"/>
  <c r="F207" i="6"/>
  <c r="C75" i="8"/>
  <c r="E19" i="9"/>
  <c r="E42" i="10"/>
  <c r="D77" i="5"/>
  <c r="D71" i="5"/>
  <c r="D88" i="5"/>
  <c r="D90" i="5"/>
  <c r="D86" i="5"/>
  <c r="E139" i="5"/>
  <c r="E135" i="5"/>
  <c r="E137" i="5"/>
  <c r="E29" i="14"/>
  <c r="F29" i="14"/>
  <c r="E89" i="14"/>
  <c r="F89" i="14"/>
  <c r="C19" i="2"/>
  <c r="C83" i="4"/>
  <c r="D166" i="5"/>
  <c r="D121" i="7"/>
  <c r="E121" i="7"/>
  <c r="F121" i="7"/>
  <c r="D33" i="9"/>
  <c r="C42" i="10"/>
  <c r="C24" i="5"/>
  <c r="C17" i="5"/>
  <c r="E53" i="5"/>
  <c r="E43" i="5"/>
  <c r="D25" i="10"/>
  <c r="D27" i="10"/>
  <c r="D15" i="10"/>
  <c r="E32" i="14"/>
  <c r="F32" i="14"/>
  <c r="C125" i="15"/>
  <c r="C121" i="15"/>
  <c r="C114" i="15"/>
  <c r="C110" i="15"/>
  <c r="C127" i="15"/>
  <c r="C123" i="15"/>
  <c r="C112" i="15"/>
  <c r="C124" i="15"/>
  <c r="C113" i="15"/>
  <c r="C122" i="15"/>
  <c r="C111" i="15"/>
  <c r="C109" i="15"/>
  <c r="C126" i="15"/>
  <c r="C115" i="15"/>
  <c r="E61" i="1"/>
  <c r="F61" i="1"/>
  <c r="C52" i="3"/>
  <c r="C95" i="3"/>
  <c r="E24" i="4"/>
  <c r="F24" i="4"/>
  <c r="E118" i="4"/>
  <c r="F118" i="4"/>
  <c r="D176" i="4"/>
  <c r="E176" i="4"/>
  <c r="C20" i="5"/>
  <c r="E49" i="5"/>
  <c r="E138" i="5"/>
  <c r="D208" i="6"/>
  <c r="D65" i="8"/>
  <c r="E65" i="8"/>
  <c r="F65" i="8"/>
  <c r="G33" i="11"/>
  <c r="G36" i="11"/>
  <c r="G38" i="11"/>
  <c r="G40" i="11"/>
  <c r="F23" i="14"/>
  <c r="D15" i="5"/>
  <c r="D25" i="5"/>
  <c r="D27" i="5"/>
  <c r="D48" i="10"/>
  <c r="D42" i="10"/>
  <c r="D59" i="10"/>
  <c r="D61" i="10"/>
  <c r="D57" i="10"/>
  <c r="C21" i="14"/>
  <c r="E20" i="14"/>
  <c r="F20" i="14"/>
  <c r="E68" i="14"/>
  <c r="F68" i="14"/>
  <c r="D43" i="8"/>
  <c r="F19" i="9"/>
  <c r="F17" i="11"/>
  <c r="D33" i="11"/>
  <c r="E137" i="14"/>
  <c r="F137" i="14"/>
  <c r="C285" i="14"/>
  <c r="E204" i="14"/>
  <c r="F204" i="14"/>
  <c r="C269" i="14"/>
  <c r="E264" i="14"/>
  <c r="F264" i="14"/>
  <c r="C180" i="15"/>
  <c r="C145" i="15"/>
  <c r="D157" i="15"/>
  <c r="C108" i="19"/>
  <c r="C109" i="19"/>
  <c r="D209" i="14"/>
  <c r="D104" i="14"/>
  <c r="D174" i="14"/>
  <c r="D254" i="14"/>
  <c r="G17" i="11"/>
  <c r="E31" i="14"/>
  <c r="F31" i="14"/>
  <c r="C48" i="14"/>
  <c r="E52" i="14"/>
  <c r="F52" i="14"/>
  <c r="E66" i="14"/>
  <c r="E76" i="14"/>
  <c r="F76" i="14"/>
  <c r="E88" i="14"/>
  <c r="F88" i="14"/>
  <c r="C102" i="14"/>
  <c r="E109" i="14"/>
  <c r="F109" i="14"/>
  <c r="F129" i="14"/>
  <c r="F155" i="14"/>
  <c r="E159" i="14"/>
  <c r="F159" i="14"/>
  <c r="F171" i="14"/>
  <c r="C192" i="14"/>
  <c r="C215" i="14"/>
  <c r="F226" i="14"/>
  <c r="D43" i="15"/>
  <c r="C239" i="15"/>
  <c r="E239" i="15"/>
  <c r="C245" i="15"/>
  <c r="C283" i="15"/>
  <c r="E283" i="15"/>
  <c r="C316" i="15"/>
  <c r="C320" i="15"/>
  <c r="E320" i="15"/>
  <c r="E326" i="15"/>
  <c r="F20" i="17"/>
  <c r="C146" i="14"/>
  <c r="F144" i="14"/>
  <c r="D71" i="15"/>
  <c r="E71" i="15"/>
  <c r="D65" i="15"/>
  <c r="D294" i="15"/>
  <c r="E294" i="15"/>
  <c r="D289" i="15"/>
  <c r="E289" i="15"/>
  <c r="E60" i="15"/>
  <c r="D144" i="15"/>
  <c r="D175" i="15"/>
  <c r="E175" i="15"/>
  <c r="E139" i="15"/>
  <c r="D252" i="15"/>
  <c r="E252" i="15"/>
  <c r="E231" i="15"/>
  <c r="C37" i="16"/>
  <c r="C38" i="16"/>
  <c r="C127" i="16"/>
  <c r="C129" i="16"/>
  <c r="C133" i="16"/>
  <c r="C22" i="16"/>
  <c r="D175" i="14"/>
  <c r="D62" i="14"/>
  <c r="D210" i="14"/>
  <c r="D105" i="14"/>
  <c r="F35" i="14"/>
  <c r="C37" i="14"/>
  <c r="F47" i="14"/>
  <c r="F58" i="14"/>
  <c r="F101" i="14"/>
  <c r="F124" i="14"/>
  <c r="F145" i="14"/>
  <c r="F164" i="14"/>
  <c r="F165" i="14"/>
  <c r="F230" i="14"/>
  <c r="E195" i="15"/>
  <c r="E215" i="15"/>
  <c r="C253" i="15"/>
  <c r="D240" i="15"/>
  <c r="C252" i="15"/>
  <c r="E260" i="15"/>
  <c r="C303" i="15"/>
  <c r="C306" i="15"/>
  <c r="C310" i="15"/>
  <c r="D41" i="17"/>
  <c r="E290" i="14"/>
  <c r="F290" i="14"/>
  <c r="C277" i="14"/>
  <c r="C261" i="14"/>
  <c r="C254" i="14"/>
  <c r="D33" i="15"/>
  <c r="E32" i="15"/>
  <c r="E251" i="15"/>
  <c r="C45" i="19"/>
  <c r="C39" i="19"/>
  <c r="C35" i="19"/>
  <c r="C29" i="19"/>
  <c r="C110" i="19"/>
  <c r="C53" i="19"/>
  <c r="E110" i="19"/>
  <c r="E109" i="19"/>
  <c r="E108" i="19"/>
  <c r="C193" i="14"/>
  <c r="C138" i="14"/>
  <c r="C140" i="14"/>
  <c r="E158" i="14"/>
  <c r="F158" i="14"/>
  <c r="F179" i="14"/>
  <c r="C200" i="14"/>
  <c r="C205" i="14"/>
  <c r="C214" i="14"/>
  <c r="F229" i="14"/>
  <c r="F237" i="14"/>
  <c r="F283" i="14"/>
  <c r="F297" i="14"/>
  <c r="F307" i="14"/>
  <c r="F311" i="14"/>
  <c r="D223" i="15"/>
  <c r="D222" i="15"/>
  <c r="D330" i="15"/>
  <c r="E330" i="15"/>
  <c r="C41" i="17"/>
  <c r="D272" i="14"/>
  <c r="D55" i="15"/>
  <c r="E55" i="15"/>
  <c r="E54" i="15"/>
  <c r="C163" i="15"/>
  <c r="E163" i="15"/>
  <c r="C156" i="15"/>
  <c r="D189" i="15"/>
  <c r="E189" i="15"/>
  <c r="D261" i="15"/>
  <c r="E261" i="15"/>
  <c r="E188" i="15"/>
  <c r="E205" i="15"/>
  <c r="D210" i="15"/>
  <c r="E218" i="15"/>
  <c r="D217" i="15"/>
  <c r="E278" i="14"/>
  <c r="F278" i="14"/>
  <c r="F66" i="14"/>
  <c r="F130" i="14"/>
  <c r="C172" i="14"/>
  <c r="C270" i="14"/>
  <c r="C44" i="15"/>
  <c r="E69" i="15"/>
  <c r="E228" i="15"/>
  <c r="E265" i="15"/>
  <c r="E316" i="15"/>
  <c r="E29" i="19"/>
  <c r="C33" i="19"/>
  <c r="D34" i="19"/>
  <c r="E35" i="19"/>
  <c r="E39" i="19"/>
  <c r="E45" i="19"/>
  <c r="C101" i="19"/>
  <c r="C103" i="19"/>
  <c r="D102" i="19"/>
  <c r="D103" i="19"/>
  <c r="E111" i="19"/>
  <c r="D125" i="14"/>
  <c r="D138" i="14"/>
  <c r="E138" i="14"/>
  <c r="D161" i="14"/>
  <c r="D267" i="14"/>
  <c r="D277" i="14"/>
  <c r="D285" i="14"/>
  <c r="E285" i="14"/>
  <c r="D22" i="19"/>
  <c r="E30" i="19"/>
  <c r="E36" i="19"/>
  <c r="E40" i="19"/>
  <c r="E46" i="19"/>
  <c r="C54" i="19"/>
  <c r="D160" i="14"/>
  <c r="D192" i="14"/>
  <c r="D200" i="14"/>
  <c r="D206" i="14"/>
  <c r="E206" i="14"/>
  <c r="F206" i="14"/>
  <c r="D274" i="14"/>
  <c r="C222" i="15"/>
  <c r="C246" i="15"/>
  <c r="E19" i="17"/>
  <c r="F19" i="17"/>
  <c r="E39" i="17"/>
  <c r="E43" i="17"/>
  <c r="D23" i="19"/>
  <c r="C111" i="19"/>
  <c r="D49" i="14"/>
  <c r="D91" i="14"/>
  <c r="D199" i="14"/>
  <c r="D205" i="14"/>
  <c r="E205" i="14"/>
  <c r="F205" i="14"/>
  <c r="D215" i="14"/>
  <c r="D216" i="14"/>
  <c r="D261" i="14"/>
  <c r="C30" i="19"/>
  <c r="C36" i="19"/>
  <c r="C40" i="19"/>
  <c r="D190" i="14"/>
  <c r="C141" i="14"/>
  <c r="C56" i="19"/>
  <c r="C48" i="19"/>
  <c r="C38" i="19"/>
  <c r="C113" i="19"/>
  <c r="D50" i="14"/>
  <c r="F39" i="17"/>
  <c r="D193" i="14"/>
  <c r="E192" i="14"/>
  <c r="C157" i="15"/>
  <c r="C168" i="15"/>
  <c r="E222" i="15"/>
  <c r="D246" i="15"/>
  <c r="E246" i="15"/>
  <c r="E33" i="15"/>
  <c r="D168" i="15"/>
  <c r="E144" i="15"/>
  <c r="D145" i="15"/>
  <c r="D180" i="15"/>
  <c r="E180" i="15"/>
  <c r="D36" i="11"/>
  <c r="D38" i="11"/>
  <c r="D40" i="11"/>
  <c r="F33" i="11"/>
  <c r="F36" i="11"/>
  <c r="F38" i="11"/>
  <c r="F40" i="11"/>
  <c r="D21" i="5"/>
  <c r="D155" i="5"/>
  <c r="D157" i="5"/>
  <c r="D153" i="5"/>
  <c r="D156" i="5"/>
  <c r="D154" i="5"/>
  <c r="D152" i="5"/>
  <c r="D300" i="14"/>
  <c r="C254" i="15"/>
  <c r="D140" i="14"/>
  <c r="D286" i="14"/>
  <c r="E156" i="15"/>
  <c r="C128" i="15"/>
  <c r="C129" i="15"/>
  <c r="E215" i="14"/>
  <c r="D53" i="19"/>
  <c r="D45" i="19"/>
  <c r="D39" i="19"/>
  <c r="D35" i="19"/>
  <c r="D29" i="19"/>
  <c r="C258" i="15"/>
  <c r="C98" i="15"/>
  <c r="C87" i="15"/>
  <c r="C83" i="15"/>
  <c r="C100" i="15"/>
  <c r="C96" i="15"/>
  <c r="C102" i="15"/>
  <c r="C103" i="15"/>
  <c r="C89" i="15"/>
  <c r="C85" i="15"/>
  <c r="C101" i="15"/>
  <c r="C99" i="15"/>
  <c r="C88" i="15"/>
  <c r="C97" i="15"/>
  <c r="C86" i="15"/>
  <c r="C95" i="15"/>
  <c r="C84" i="15"/>
  <c r="C90" i="15"/>
  <c r="C287" i="14"/>
  <c r="C279" i="14"/>
  <c r="C284" i="14"/>
  <c r="E37" i="14"/>
  <c r="F37" i="14"/>
  <c r="D63" i="14"/>
  <c r="E65" i="15"/>
  <c r="D66" i="15"/>
  <c r="E66" i="15"/>
  <c r="E43" i="15"/>
  <c r="D44" i="15"/>
  <c r="E102" i="14"/>
  <c r="F102" i="14"/>
  <c r="C103" i="14"/>
  <c r="F285" i="14"/>
  <c r="C286" i="14"/>
  <c r="C126" i="14"/>
  <c r="C49" i="14"/>
  <c r="C161" i="14"/>
  <c r="C91" i="14"/>
  <c r="E21" i="14"/>
  <c r="F21" i="14"/>
  <c r="E28" i="5"/>
  <c r="E112" i="5"/>
  <c r="E111" i="5"/>
  <c r="F215" i="14"/>
  <c r="E157" i="15"/>
  <c r="C223" i="15"/>
  <c r="C247" i="15"/>
  <c r="E83" i="4"/>
  <c r="C141" i="5"/>
  <c r="D92" i="14"/>
  <c r="E91" i="14"/>
  <c r="F43" i="17"/>
  <c r="D162" i="14"/>
  <c r="E161" i="14"/>
  <c r="E172" i="14"/>
  <c r="F172" i="14"/>
  <c r="C173" i="14"/>
  <c r="D234" i="15"/>
  <c r="E210" i="15"/>
  <c r="D211" i="15"/>
  <c r="C216" i="14"/>
  <c r="E216" i="14"/>
  <c r="F216" i="14"/>
  <c r="D268" i="14"/>
  <c r="E268" i="14"/>
  <c r="F268" i="14"/>
  <c r="D271" i="14"/>
  <c r="D263" i="14"/>
  <c r="E261" i="14"/>
  <c r="D46" i="19"/>
  <c r="D40" i="19"/>
  <c r="D36" i="19"/>
  <c r="D30" i="19"/>
  <c r="D54" i="19"/>
  <c r="E48" i="19"/>
  <c r="E38" i="19"/>
  <c r="E113" i="19"/>
  <c r="E56" i="19"/>
  <c r="D270" i="14"/>
  <c r="E270" i="14"/>
  <c r="F270" i="14"/>
  <c r="E267" i="14"/>
  <c r="F267" i="14"/>
  <c r="E47" i="19"/>
  <c r="E37" i="19"/>
  <c r="E112" i="19"/>
  <c r="E55" i="19"/>
  <c r="C194" i="14"/>
  <c r="C271" i="14"/>
  <c r="F261" i="14"/>
  <c r="C268" i="14"/>
  <c r="E240" i="15"/>
  <c r="D211" i="14"/>
  <c r="F146" i="14"/>
  <c r="E146" i="14"/>
  <c r="E254" i="14"/>
  <c r="D21" i="10"/>
  <c r="C33" i="2"/>
  <c r="D284" i="15"/>
  <c r="E284" i="15"/>
  <c r="E200" i="14"/>
  <c r="C304" i="14"/>
  <c r="D139" i="14"/>
  <c r="C266" i="14"/>
  <c r="C116" i="15"/>
  <c r="C117" i="15"/>
  <c r="C131" i="15"/>
  <c r="D75" i="8"/>
  <c r="E75" i="8"/>
  <c r="F75" i="8"/>
  <c r="F176" i="4"/>
  <c r="C158" i="5"/>
  <c r="E52" i="3"/>
  <c r="F52" i="3"/>
  <c r="D287" i="14"/>
  <c r="D279" i="14"/>
  <c r="E279" i="14"/>
  <c r="F279" i="14"/>
  <c r="D284" i="14"/>
  <c r="E284" i="14"/>
  <c r="F284" i="14"/>
  <c r="E277" i="14"/>
  <c r="F277" i="14"/>
  <c r="D241" i="15"/>
  <c r="D247" i="15"/>
  <c r="E247" i="15"/>
  <c r="E223" i="15"/>
  <c r="C112" i="19"/>
  <c r="C55" i="19"/>
  <c r="C47" i="19"/>
  <c r="C37" i="19"/>
  <c r="F254" i="14"/>
  <c r="D106" i="14"/>
  <c r="D176" i="14"/>
  <c r="C90" i="14"/>
  <c r="E48" i="14"/>
  <c r="F48" i="14"/>
  <c r="C160" i="14"/>
  <c r="E160" i="14"/>
  <c r="C195" i="14"/>
  <c r="C125" i="14"/>
  <c r="C169" i="15"/>
  <c r="E269" i="14"/>
  <c r="F269" i="14"/>
  <c r="D17" i="5"/>
  <c r="D24" i="5"/>
  <c r="D20" i="5"/>
  <c r="D17" i="10"/>
  <c r="D28" i="10"/>
  <c r="D70" i="10"/>
  <c r="D72" i="10"/>
  <c r="D69" i="10"/>
  <c r="D24" i="10"/>
  <c r="D20" i="10"/>
  <c r="C28" i="5"/>
  <c r="C112" i="5"/>
  <c r="C111" i="5"/>
  <c r="E33" i="9"/>
  <c r="F33" i="9"/>
  <c r="D41" i="9"/>
  <c r="F200" i="14"/>
  <c r="F138" i="14"/>
  <c r="F192" i="14"/>
  <c r="E214" i="14"/>
  <c r="F214" i="14"/>
  <c r="C207" i="14"/>
  <c r="C282" i="14"/>
  <c r="F83" i="4"/>
  <c r="C288" i="14"/>
  <c r="E95" i="3"/>
  <c r="F95" i="3"/>
  <c r="E158" i="5"/>
  <c r="D235" i="15"/>
  <c r="C50" i="14"/>
  <c r="D99" i="15"/>
  <c r="E99" i="15"/>
  <c r="D95" i="15"/>
  <c r="D88" i="15"/>
  <c r="E88" i="15"/>
  <c r="D84" i="15"/>
  <c r="E44" i="15"/>
  <c r="D101" i="15"/>
  <c r="E101" i="15"/>
  <c r="D97" i="15"/>
  <c r="E97" i="15"/>
  <c r="D86" i="15"/>
  <c r="E86" i="15"/>
  <c r="D98" i="15"/>
  <c r="E98" i="15"/>
  <c r="D87" i="15"/>
  <c r="E87" i="15"/>
  <c r="D96" i="15"/>
  <c r="D85" i="15"/>
  <c r="E85" i="15"/>
  <c r="D83" i="15"/>
  <c r="D258" i="15"/>
  <c r="D100" i="15"/>
  <c r="E100" i="15"/>
  <c r="D89" i="15"/>
  <c r="E89" i="15"/>
  <c r="C289" i="14"/>
  <c r="C291" i="14"/>
  <c r="D141" i="14"/>
  <c r="E140" i="14"/>
  <c r="F140" i="14"/>
  <c r="E49" i="14"/>
  <c r="F49" i="14"/>
  <c r="E90" i="14"/>
  <c r="F90" i="14"/>
  <c r="C265" i="14"/>
  <c r="D304" i="14"/>
  <c r="D273" i="14"/>
  <c r="E271" i="14"/>
  <c r="F271" i="14"/>
  <c r="E173" i="14"/>
  <c r="F173" i="14"/>
  <c r="C175" i="14"/>
  <c r="D183" i="14"/>
  <c r="D323" i="14"/>
  <c r="D324" i="14"/>
  <c r="D113" i="14"/>
  <c r="E99" i="5"/>
  <c r="E101" i="5"/>
  <c r="E98" i="5"/>
  <c r="E22" i="5"/>
  <c r="F161" i="14"/>
  <c r="C162" i="14"/>
  <c r="D47" i="19"/>
  <c r="D37" i="19"/>
  <c r="D55" i="19"/>
  <c r="D181" i="15"/>
  <c r="E145" i="15"/>
  <c r="D169" i="15"/>
  <c r="E169" i="15"/>
  <c r="C322" i="14"/>
  <c r="D22" i="10"/>
  <c r="E286" i="14"/>
  <c r="F286" i="14"/>
  <c r="D158" i="5"/>
  <c r="D295" i="15"/>
  <c r="E295" i="15"/>
  <c r="E41" i="9"/>
  <c r="F41" i="9"/>
  <c r="D48" i="9"/>
  <c r="E48" i="9"/>
  <c r="F48" i="9"/>
  <c r="F91" i="14"/>
  <c r="C92" i="14"/>
  <c r="C196" i="14"/>
  <c r="C91" i="15"/>
  <c r="C208" i="14"/>
  <c r="E207" i="14"/>
  <c r="F207" i="14"/>
  <c r="C22" i="5"/>
  <c r="C99" i="5"/>
  <c r="C101" i="5"/>
  <c r="C98" i="5"/>
  <c r="D112" i="5"/>
  <c r="D111" i="5"/>
  <c r="D28" i="5"/>
  <c r="E287" i="14"/>
  <c r="F287" i="14"/>
  <c r="C41" i="2"/>
  <c r="D56" i="19"/>
  <c r="D48" i="19"/>
  <c r="D38" i="19"/>
  <c r="C127" i="14"/>
  <c r="E126" i="14"/>
  <c r="F126" i="14"/>
  <c r="E103" i="14"/>
  <c r="F103" i="14"/>
  <c r="C105" i="14"/>
  <c r="C264" i="15"/>
  <c r="C266" i="15"/>
  <c r="C267" i="15"/>
  <c r="D194" i="14"/>
  <c r="E193" i="14"/>
  <c r="F193" i="14"/>
  <c r="D282" i="14"/>
  <c r="D266" i="14"/>
  <c r="D70" i="14"/>
  <c r="E50" i="14"/>
  <c r="F160" i="14"/>
  <c r="E125" i="14"/>
  <c r="F125" i="14"/>
  <c r="E168" i="15"/>
  <c r="E282" i="14"/>
  <c r="F282" i="14"/>
  <c r="D281" i="14"/>
  <c r="E266" i="14"/>
  <c r="F266" i="14"/>
  <c r="D265" i="14"/>
  <c r="E265" i="14"/>
  <c r="F265" i="14"/>
  <c r="D99" i="5"/>
  <c r="D101" i="5"/>
  <c r="D98" i="5"/>
  <c r="D22" i="5"/>
  <c r="E208" i="14"/>
  <c r="F208" i="14"/>
  <c r="C210" i="14"/>
  <c r="E83" i="15"/>
  <c r="E92" i="14"/>
  <c r="F92" i="14"/>
  <c r="E304" i="14"/>
  <c r="F304" i="14"/>
  <c r="E258" i="15"/>
  <c r="E95" i="15"/>
  <c r="E162" i="14"/>
  <c r="F162" i="14"/>
  <c r="E194" i="14"/>
  <c r="F194" i="14"/>
  <c r="D195" i="14"/>
  <c r="E195" i="14"/>
  <c r="F195" i="14"/>
  <c r="D196" i="14"/>
  <c r="C106" i="14"/>
  <c r="E105" i="14"/>
  <c r="F105" i="14"/>
  <c r="C197" i="14"/>
  <c r="C148" i="14"/>
  <c r="E127" i="14"/>
  <c r="F127" i="14"/>
  <c r="C176" i="14"/>
  <c r="E175" i="14"/>
  <c r="F175" i="14"/>
  <c r="C305" i="14"/>
  <c r="E96" i="15"/>
  <c r="D102" i="15"/>
  <c r="E102" i="15"/>
  <c r="C48" i="2"/>
  <c r="D322" i="14"/>
  <c r="D325" i="14"/>
  <c r="E325" i="14"/>
  <c r="F325" i="14"/>
  <c r="E322" i="14"/>
  <c r="F322" i="14"/>
  <c r="E141" i="14"/>
  <c r="F141" i="14"/>
  <c r="D148" i="14"/>
  <c r="E148" i="14"/>
  <c r="F148" i="14"/>
  <c r="D90" i="15"/>
  <c r="E90" i="15"/>
  <c r="E84" i="15"/>
  <c r="F50" i="14"/>
  <c r="F106" i="14"/>
  <c r="E106" i="14"/>
  <c r="D197" i="14"/>
  <c r="E197" i="14"/>
  <c r="F197" i="14"/>
  <c r="E196" i="14"/>
  <c r="F196" i="14"/>
  <c r="F210" i="14"/>
  <c r="E210" i="14"/>
  <c r="C113" i="14"/>
  <c r="E176" i="14"/>
  <c r="F176" i="14"/>
  <c r="C211" i="14"/>
  <c r="D91" i="15"/>
  <c r="C323" i="14"/>
  <c r="D103" i="15"/>
  <c r="C183" i="14"/>
  <c r="C324" i="14"/>
  <c r="F113" i="14"/>
  <c r="E113" i="14"/>
  <c r="E91" i="15"/>
  <c r="D105" i="15"/>
  <c r="E183" i="14"/>
  <c r="F183" i="14"/>
  <c r="C325" i="14"/>
  <c r="E324" i="14"/>
  <c r="F324" i="14"/>
  <c r="E323" i="14"/>
  <c r="F323" i="14"/>
  <c r="E211" i="14"/>
  <c r="F211" i="14"/>
  <c r="C105" i="15"/>
  <c r="E103" i="15"/>
  <c r="E105" i="15"/>
  <c r="C269" i="15"/>
  <c r="C268" i="15"/>
  <c r="C43" i="1"/>
  <c r="E65" i="1"/>
  <c r="E41" i="1"/>
  <c r="F41" i="1"/>
  <c r="F65" i="1"/>
  <c r="C75" i="1"/>
  <c r="D33" i="2"/>
  <c r="E19" i="2"/>
  <c r="F19" i="2"/>
  <c r="D76" i="15"/>
  <c r="E38" i="1"/>
  <c r="E31" i="2"/>
  <c r="F31" i="2"/>
  <c r="E42" i="3"/>
  <c r="F42" i="3"/>
  <c r="E43" i="3"/>
  <c r="F43" i="3"/>
  <c r="E44" i="3"/>
  <c r="F44" i="3"/>
  <c r="E45" i="3"/>
  <c r="F45" i="3"/>
  <c r="E46" i="3"/>
  <c r="F46" i="3"/>
  <c r="E47" i="3"/>
  <c r="F47" i="3"/>
  <c r="E48" i="3"/>
  <c r="F48" i="3"/>
  <c r="E49" i="3"/>
  <c r="F49" i="3"/>
  <c r="E50" i="3"/>
  <c r="F50" i="3"/>
  <c r="E51" i="3"/>
  <c r="E85" i="3"/>
  <c r="F85" i="3"/>
  <c r="E86" i="3"/>
  <c r="F86" i="3"/>
  <c r="E87" i="3"/>
  <c r="F87" i="3"/>
  <c r="E88" i="3"/>
  <c r="F88" i="3"/>
  <c r="E89" i="3"/>
  <c r="F89" i="3"/>
  <c r="E90" i="3"/>
  <c r="F90" i="3"/>
  <c r="E91" i="3"/>
  <c r="F91" i="3"/>
  <c r="E92" i="3"/>
  <c r="F92" i="3"/>
  <c r="E93" i="3"/>
  <c r="F93" i="3"/>
  <c r="E94" i="3"/>
  <c r="D139" i="5"/>
  <c r="D137" i="5"/>
  <c r="D135" i="5"/>
  <c r="E136" i="5"/>
  <c r="E141" i="5"/>
  <c r="E140" i="5"/>
  <c r="F31" i="11"/>
  <c r="D255" i="14"/>
  <c r="D288" i="14"/>
  <c r="F38" i="1"/>
  <c r="E16" i="2"/>
  <c r="F16" i="2"/>
  <c r="E41" i="4"/>
  <c r="F41" i="4"/>
  <c r="F59" i="4"/>
  <c r="F78" i="4"/>
  <c r="F23" i="6"/>
  <c r="F36" i="6"/>
  <c r="F62" i="6"/>
  <c r="F88" i="6"/>
  <c r="F140" i="6"/>
  <c r="F200" i="6"/>
  <c r="F202" i="6"/>
  <c r="F204" i="6"/>
  <c r="F206" i="6"/>
  <c r="F36" i="7"/>
  <c r="F108" i="7"/>
  <c r="F39" i="9"/>
  <c r="C77" i="5"/>
  <c r="C71" i="5"/>
  <c r="E24" i="6"/>
  <c r="F24" i="6"/>
  <c r="E37" i="6"/>
  <c r="F37" i="6"/>
  <c r="E50" i="6"/>
  <c r="F50" i="6"/>
  <c r="E63" i="6"/>
  <c r="F63" i="6"/>
  <c r="E76" i="6"/>
  <c r="F76" i="6"/>
  <c r="E89" i="6"/>
  <c r="F89" i="6"/>
  <c r="E115" i="6"/>
  <c r="F115" i="6"/>
  <c r="E141" i="6"/>
  <c r="F141" i="6"/>
  <c r="E199" i="6"/>
  <c r="F199" i="6"/>
  <c r="E201" i="6"/>
  <c r="F201" i="6"/>
  <c r="E203" i="6"/>
  <c r="F203" i="6"/>
  <c r="E205" i="6"/>
  <c r="F205" i="6"/>
  <c r="E23" i="7"/>
  <c r="F23" i="7"/>
  <c r="E35" i="7"/>
  <c r="F35" i="7"/>
  <c r="E59" i="7"/>
  <c r="F59" i="7"/>
  <c r="E95" i="7"/>
  <c r="F95" i="7"/>
  <c r="E107" i="7"/>
  <c r="F107" i="7"/>
  <c r="E114" i="7"/>
  <c r="F114" i="7"/>
  <c r="E116" i="7"/>
  <c r="F116" i="7"/>
  <c r="E118" i="7"/>
  <c r="F118" i="7"/>
  <c r="D122" i="7"/>
  <c r="C41" i="8"/>
  <c r="E56" i="8"/>
  <c r="F56" i="8"/>
  <c r="E16" i="9"/>
  <c r="F16" i="9"/>
  <c r="E31" i="9"/>
  <c r="F31" i="9"/>
  <c r="E46" i="9"/>
  <c r="F46" i="9"/>
  <c r="E15" i="10"/>
  <c r="C25" i="10"/>
  <c r="C27" i="10"/>
  <c r="E59" i="10"/>
  <c r="E61" i="10"/>
  <c r="E57" i="10"/>
  <c r="E31" i="11"/>
  <c r="G31" i="11"/>
  <c r="D43" i="5"/>
  <c r="E77" i="5"/>
  <c r="E71" i="5"/>
  <c r="C208" i="6"/>
  <c r="C122" i="7"/>
  <c r="C43" i="8"/>
  <c r="E38" i="8"/>
  <c r="F38" i="8"/>
  <c r="E16" i="12"/>
  <c r="F16" i="12"/>
  <c r="E23" i="12"/>
  <c r="F23" i="12"/>
  <c r="F30" i="12"/>
  <c r="F37" i="12"/>
  <c r="F45" i="12"/>
  <c r="E50" i="12"/>
  <c r="F50" i="12"/>
  <c r="E55" i="12"/>
  <c r="F55" i="12"/>
  <c r="E65" i="12"/>
  <c r="F65" i="12"/>
  <c r="E92" i="12"/>
  <c r="F92" i="12"/>
  <c r="E14" i="13"/>
  <c r="F14" i="13"/>
  <c r="E25" i="13"/>
  <c r="F25" i="13"/>
  <c r="C60" i="14"/>
  <c r="E100" i="14"/>
  <c r="F100" i="14"/>
  <c r="E136" i="14"/>
  <c r="E170" i="14"/>
  <c r="F170" i="14"/>
  <c r="F180" i="14"/>
  <c r="E189" i="14"/>
  <c r="F223" i="14"/>
  <c r="C227" i="14"/>
  <c r="F238" i="14"/>
  <c r="E250" i="14"/>
  <c r="F250" i="14"/>
  <c r="C262" i="14"/>
  <c r="C274" i="14"/>
  <c r="C280" i="14"/>
  <c r="E299" i="14"/>
  <c r="F299" i="14"/>
  <c r="C234" i="15"/>
  <c r="E234" i="15"/>
  <c r="C211" i="15"/>
  <c r="E219" i="15"/>
  <c r="E220" i="15"/>
  <c r="D244" i="15"/>
  <c r="E244" i="15"/>
  <c r="D245" i="15"/>
  <c r="E221" i="15"/>
  <c r="E233" i="15"/>
  <c r="E60" i="12"/>
  <c r="F60" i="12"/>
  <c r="E75" i="12"/>
  <c r="F75" i="12"/>
  <c r="F136" i="14"/>
  <c r="C181" i="14"/>
  <c r="E188" i="14"/>
  <c r="F188" i="14"/>
  <c r="F189" i="14"/>
  <c r="C190" i="14"/>
  <c r="E190" i="14"/>
  <c r="E191" i="14"/>
  <c r="F191" i="14"/>
  <c r="C199" i="14"/>
  <c r="F203" i="14"/>
  <c r="C239" i="14"/>
  <c r="C306" i="14"/>
  <c r="C255" i="14"/>
  <c r="E161" i="15"/>
  <c r="C217" i="15"/>
  <c r="C242" i="15"/>
  <c r="E242" i="15"/>
  <c r="E243" i="15"/>
  <c r="D303" i="15"/>
  <c r="E40" i="17"/>
  <c r="E16" i="17"/>
  <c r="F16" i="17"/>
  <c r="E44" i="17"/>
  <c r="E46" i="17"/>
  <c r="F46" i="17"/>
  <c r="E45" i="17"/>
  <c r="F45" i="17"/>
  <c r="D77" i="19"/>
  <c r="E301" i="15"/>
  <c r="F36" i="17"/>
  <c r="E101" i="19"/>
  <c r="E103" i="19"/>
  <c r="D109" i="19"/>
  <c r="D108" i="19"/>
  <c r="D110" i="19"/>
  <c r="D111" i="19"/>
  <c r="D112" i="19"/>
  <c r="D113" i="19"/>
  <c r="F40" i="17"/>
  <c r="E41" i="17"/>
  <c r="F41" i="17"/>
  <c r="C241" i="15"/>
  <c r="E241" i="15"/>
  <c r="E217" i="15"/>
  <c r="D306" i="15"/>
  <c r="E303" i="15"/>
  <c r="E306" i="14"/>
  <c r="C309" i="14"/>
  <c r="E181" i="14"/>
  <c r="F181" i="14"/>
  <c r="C235" i="15"/>
  <c r="E235" i="15"/>
  <c r="E211" i="15"/>
  <c r="C181" i="15"/>
  <c r="E181" i="15"/>
  <c r="C300" i="14"/>
  <c r="E227" i="14"/>
  <c r="F227" i="14"/>
  <c r="E24" i="10"/>
  <c r="E20" i="10"/>
  <c r="E17" i="10"/>
  <c r="E28" i="10"/>
  <c r="E122" i="7"/>
  <c r="E255" i="14"/>
  <c r="D141" i="5"/>
  <c r="E76" i="15"/>
  <c r="D259" i="15"/>
  <c r="D77" i="15"/>
  <c r="E33" i="2"/>
  <c r="F33" i="2"/>
  <c r="D41" i="2"/>
  <c r="E43" i="8"/>
  <c r="F43" i="8"/>
  <c r="C271" i="15"/>
  <c r="F255" i="14"/>
  <c r="E239" i="14"/>
  <c r="F239" i="14"/>
  <c r="E199" i="14"/>
  <c r="F199" i="14"/>
  <c r="F190" i="14"/>
  <c r="F44" i="17"/>
  <c r="E245" i="15"/>
  <c r="D253" i="15"/>
  <c r="E280" i="14"/>
  <c r="F280" i="14"/>
  <c r="C281" i="14"/>
  <c r="C272" i="14"/>
  <c r="E262" i="14"/>
  <c r="F262" i="14"/>
  <c r="C263" i="14"/>
  <c r="E60" i="14"/>
  <c r="F60" i="14"/>
  <c r="C61" i="14"/>
  <c r="F122" i="7"/>
  <c r="C21" i="10"/>
  <c r="C20" i="10"/>
  <c r="C22" i="10"/>
  <c r="E41" i="8"/>
  <c r="F41" i="8"/>
  <c r="D291" i="14"/>
  <c r="D289" i="14"/>
  <c r="E289" i="14"/>
  <c r="F289" i="14"/>
  <c r="E288" i="14"/>
  <c r="F288" i="14"/>
  <c r="E75" i="1"/>
  <c r="F75" i="1"/>
  <c r="E43" i="1"/>
  <c r="F43" i="1"/>
  <c r="E208" i="6"/>
  <c r="F208" i="6"/>
  <c r="E274" i="14"/>
  <c r="F274" i="14"/>
  <c r="D305" i="14"/>
  <c r="E291" i="14"/>
  <c r="F291" i="14"/>
  <c r="E263" i="14"/>
  <c r="F263" i="14"/>
  <c r="F281" i="14"/>
  <c r="E281" i="14"/>
  <c r="D48" i="2"/>
  <c r="E48" i="2"/>
  <c r="F48" i="2"/>
  <c r="E41" i="2"/>
  <c r="F41" i="2"/>
  <c r="D115" i="15"/>
  <c r="E115" i="15"/>
  <c r="D111" i="15"/>
  <c r="E111" i="15"/>
  <c r="D124" i="15"/>
  <c r="E124" i="15"/>
  <c r="D113" i="15"/>
  <c r="E113" i="15"/>
  <c r="D109" i="15"/>
  <c r="D110" i="15"/>
  <c r="D125" i="15"/>
  <c r="E125" i="15"/>
  <c r="D114" i="15"/>
  <c r="E114" i="15"/>
  <c r="D123" i="15"/>
  <c r="E123" i="15"/>
  <c r="D112" i="15"/>
  <c r="E112" i="15"/>
  <c r="D126" i="15"/>
  <c r="E126" i="15"/>
  <c r="D122" i="15"/>
  <c r="D121" i="15"/>
  <c r="D127" i="15"/>
  <c r="E127" i="15"/>
  <c r="E77" i="15"/>
  <c r="E22" i="10"/>
  <c r="E70" i="10"/>
  <c r="E72" i="10"/>
  <c r="E69" i="10"/>
  <c r="E61" i="14"/>
  <c r="C139" i="14"/>
  <c r="F61" i="14"/>
  <c r="C62" i="14"/>
  <c r="C174" i="14"/>
  <c r="C104" i="14"/>
  <c r="C209" i="14"/>
  <c r="E272" i="14"/>
  <c r="F272" i="14"/>
  <c r="C273" i="14"/>
  <c r="E253" i="15"/>
  <c r="D254" i="15"/>
  <c r="E254" i="15"/>
  <c r="D263" i="15"/>
  <c r="E259" i="15"/>
  <c r="E300" i="14"/>
  <c r="F300" i="14"/>
  <c r="C310" i="14"/>
  <c r="D310" i="15"/>
  <c r="E310" i="15"/>
  <c r="E306" i="15"/>
  <c r="D264" i="15"/>
  <c r="E263" i="15"/>
  <c r="F209" i="14"/>
  <c r="E209" i="14"/>
  <c r="F174" i="14"/>
  <c r="E174" i="14"/>
  <c r="D128" i="15"/>
  <c r="E128" i="15"/>
  <c r="E122" i="15"/>
  <c r="E110" i="15"/>
  <c r="D116" i="15"/>
  <c r="E116" i="15"/>
  <c r="C312" i="14"/>
  <c r="E273" i="14"/>
  <c r="F273" i="14"/>
  <c r="F104" i="14"/>
  <c r="E104" i="14"/>
  <c r="C63" i="14"/>
  <c r="E62" i="14"/>
  <c r="F62" i="14"/>
  <c r="E139" i="14"/>
  <c r="F139" i="14"/>
  <c r="E121" i="15"/>
  <c r="D129" i="15"/>
  <c r="E129" i="15"/>
  <c r="E109" i="15"/>
  <c r="D117" i="15"/>
  <c r="D309" i="14"/>
  <c r="E305" i="14"/>
  <c r="F305" i="14"/>
  <c r="D131" i="15"/>
  <c r="E131" i="15"/>
  <c r="E117" i="15"/>
  <c r="E309" i="14"/>
  <c r="F309" i="14"/>
  <c r="D310" i="14"/>
  <c r="E63" i="14"/>
  <c r="F63" i="14"/>
  <c r="C70" i="14"/>
  <c r="C313" i="14"/>
  <c r="D266" i="15"/>
  <c r="E264" i="15"/>
  <c r="D267" i="15"/>
  <c r="E266" i="15"/>
  <c r="C315" i="14"/>
  <c r="C251" i="14"/>
  <c r="C256" i="14"/>
  <c r="C314" i="14"/>
  <c r="E310" i="14"/>
  <c r="F310" i="14"/>
  <c r="D312" i="14"/>
  <c r="E70" i="14"/>
  <c r="F70" i="14"/>
  <c r="C257" i="14"/>
  <c r="E312" i="14"/>
  <c r="F312" i="14"/>
  <c r="D313" i="14"/>
  <c r="C318" i="14"/>
  <c r="D268" i="15"/>
  <c r="D269" i="15"/>
  <c r="E269" i="15"/>
  <c r="E267" i="15"/>
  <c r="D271" i="15"/>
  <c r="E271" i="15"/>
  <c r="E268" i="15"/>
  <c r="D251" i="14"/>
  <c r="E251" i="14"/>
  <c r="F251" i="14"/>
  <c r="E313" i="14"/>
  <c r="F313" i="14"/>
  <c r="D315" i="14"/>
  <c r="E315" i="14"/>
  <c r="F315" i="14"/>
  <c r="D314" i="14"/>
  <c r="D256" i="14"/>
  <c r="D257" i="14"/>
  <c r="E257" i="14"/>
  <c r="F257" i="14"/>
  <c r="E256" i="14"/>
  <c r="F256" i="14"/>
  <c r="D318" i="14"/>
  <c r="E318" i="14"/>
  <c r="F318" i="14"/>
  <c r="E314" i="14"/>
  <c r="F314" i="14"/>
</calcChain>
</file>

<file path=xl/sharedStrings.xml><?xml version="1.0" encoding="utf-8"?>
<sst xmlns="http://schemas.openxmlformats.org/spreadsheetml/2006/main" count="2304" uniqueCount="981">
  <si>
    <t>YALE-NEW HAVEN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</si>
  <si>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</si>
  <si>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</si>
  <si>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</si>
  <si>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</si>
  <si>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</si>
  <si>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</si>
  <si>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</si>
  <si>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</si>
  <si>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</si>
  <si>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</si>
  <si>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</si>
  <si>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</si>
  <si>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</si>
  <si>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</si>
  <si>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</si>
  <si>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</si>
  <si>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</si>
  <si>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</si>
  <si>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</si>
  <si>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</si>
  <si>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</si>
  <si>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</si>
  <si>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</si>
  <si>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</si>
  <si>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</si>
  <si>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</si>
  <si>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</si>
  <si>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</si>
  <si>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</si>
  <si>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</si>
  <si>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</si>
  <si>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</si>
  <si>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</si>
  <si>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</si>
  <si>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</si>
  <si>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</si>
  <si>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</si>
  <si>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</si>
  <si>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</si>
  <si>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</si>
  <si>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</si>
  <si>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</si>
  <si>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</si>
  <si>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</si>
  <si>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</si>
  <si>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</si>
  <si>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</si>
  <si>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</si>
  <si>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</si>
  <si>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</si>
  <si>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</si>
  <si>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</si>
  <si>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</si>
  <si>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</si>
  <si>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</si>
  <si>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</si>
  <si>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</si>
  <si>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</si>
  <si>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</si>
  <si>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</si>
  <si>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</si>
  <si>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</si>
  <si>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</si>
  <si>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</si>
  <si>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</si>
  <si>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</si>
  <si>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</si>
  <si>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</si>
  <si>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</si>
  <si>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</si>
  <si>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</si>
  <si>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</si>
  <si>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</si>
  <si>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</si>
  <si>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</si>
  <si>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</si>
  <si>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</si>
  <si>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</si>
  <si>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</si>
  <si>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</si>
  <si>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</si>
  <si>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</si>
  <si>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</si>
  <si>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</si>
  <si>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</si>
  <si>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</si>
  <si>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</si>
  <si>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</si>
  <si>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</si>
  <si>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</si>
  <si>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</si>
  <si>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</si>
  <si>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</si>
  <si>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</si>
  <si>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</si>
  <si>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</si>
  <si>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</si>
  <si>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</si>
  <si>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</si>
  <si>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</si>
  <si>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</si>
  <si>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</si>
  <si>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</si>
  <si>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</si>
  <si>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</si>
  <si>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</si>
  <si>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</si>
  <si>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</si>
  <si>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</si>
  <si>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</si>
  <si>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</si>
  <si>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</si>
  <si>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</si>
  <si>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</si>
  <si>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</si>
  <si>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</si>
  <si>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</si>
  <si>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</si>
  <si>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</si>
  <si>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</si>
  <si>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</si>
  <si>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</si>
  <si>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</si>
  <si>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</si>
  <si>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</si>
  <si>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</si>
  <si>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</si>
  <si>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</si>
  <si>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</si>
  <si>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</si>
  <si>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</si>
  <si>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</si>
  <si>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</si>
  <si>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</si>
  <si>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</si>
  <si>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</si>
  <si>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</si>
  <si>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</si>
  <si>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</si>
  <si>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</si>
  <si>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</si>
  <si>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</si>
  <si>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</si>
  <si>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</si>
  <si>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</si>
  <si>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</si>
  <si>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</si>
  <si>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</si>
  <si>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</si>
  <si>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</si>
  <si>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</si>
  <si>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</si>
  <si>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</si>
  <si>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</si>
  <si>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</si>
  <si>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</si>
  <si>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</si>
  <si>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</si>
  <si>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</si>
  <si>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</si>
  <si>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</si>
  <si>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</si>
  <si>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</si>
  <si>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</si>
  <si>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</si>
  <si>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</si>
  <si>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</si>
  <si>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</si>
  <si>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</si>
  <si>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</si>
  <si>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</si>
  <si>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</si>
  <si>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</si>
  <si>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</si>
  <si>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</si>
  <si>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</si>
  <si>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</si>
  <si>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</si>
  <si>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</si>
  <si>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</si>
  <si>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</si>
  <si>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</si>
  <si>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</si>
  <si>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</si>
  <si>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</si>
  <si>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</si>
  <si>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</si>
  <si>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</si>
  <si>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</si>
  <si>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</si>
  <si>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</si>
  <si>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</si>
  <si>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</si>
  <si>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</si>
  <si>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</si>
  <si>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</si>
  <si>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</si>
  <si>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</si>
  <si>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</si>
  <si>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</si>
  <si>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</si>
  <si>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</si>
  <si>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</si>
  <si>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</si>
  <si>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</si>
  <si>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</si>
  <si>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</si>
  <si>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</si>
  <si>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</si>
  <si>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</si>
  <si>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</si>
  <si>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</si>
  <si>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</si>
  <si>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</si>
  <si>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</si>
  <si>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</si>
  <si>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</si>
  <si>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</si>
  <si>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</si>
  <si>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</si>
  <si>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</si>
  <si>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</si>
  <si>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</si>
  <si>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</si>
  <si>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</si>
  <si>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</si>
  <si>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</si>
  <si>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</si>
  <si>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</si>
  <si>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</si>
  <si>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</si>
  <si>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</si>
  <si>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</si>
  <si>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</si>
  <si>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</si>
  <si>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</si>
  <si>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</si>
  <si>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</si>
  <si>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</si>
  <si>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</si>
  <si>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</si>
  <si>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</si>
  <si>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</si>
  <si>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</si>
  <si>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</si>
  <si>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</si>
  <si>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</si>
  <si>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</si>
  <si>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</si>
  <si>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</si>
  <si>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</si>
  <si>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</si>
  <si>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</si>
  <si>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</si>
  <si>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</si>
  <si>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</si>
  <si>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</si>
  <si>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</si>
  <si>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</si>
  <si>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</si>
  <si>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</si>
  <si>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</si>
  <si>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</si>
  <si>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</si>
  <si>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</si>
  <si>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</si>
  <si>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</si>
  <si>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</si>
  <si>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</si>
  <si>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</si>
  <si>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</si>
  <si>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</si>
  <si>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</si>
  <si>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</si>
  <si>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</si>
  <si>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</si>
  <si>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</si>
  <si>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</si>
  <si>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</si>
  <si>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</si>
  <si>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</si>
  <si>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</si>
  <si>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</si>
  <si>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</si>
  <si>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</si>
  <si>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</si>
  <si>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</si>
  <si>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</si>
  <si>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</si>
  <si>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</si>
  <si>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</si>
  <si>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</si>
  <si>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</si>
  <si>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</si>
  <si>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</si>
  <si>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</si>
  <si>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</si>
  <si>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</si>
  <si>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</si>
  <si>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</si>
  <si>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</si>
  <si>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</si>
  <si>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</si>
  <si>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</si>
  <si>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</si>
  <si>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</si>
  <si>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</si>
  <si>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</si>
  <si>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</si>
  <si>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</si>
  <si>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</si>
  <si>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</si>
  <si>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</si>
  <si>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</si>
  <si>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</si>
  <si>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</si>
  <si>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</si>
  <si>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</si>
  <si>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</si>
  <si>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</si>
  <si>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</si>
  <si>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</si>
  <si>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</si>
  <si>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</si>
  <si>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</si>
  <si>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</si>
  <si>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</si>
  <si>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</si>
  <si>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</si>
  <si>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</si>
  <si>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</si>
  <si>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</si>
  <si>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</si>
  <si>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</si>
  <si>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</si>
  <si>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</si>
  <si>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</si>
  <si>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</si>
  <si>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</si>
  <si>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</si>
  <si>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</si>
  <si>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</si>
  <si>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</si>
  <si>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</si>
  <si>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</si>
  <si>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</si>
  <si>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</si>
  <si>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</si>
  <si>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</si>
  <si>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</si>
  <si>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</si>
  <si>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</si>
  <si>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</si>
  <si>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</si>
  <si>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</si>
  <si>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</si>
  <si>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</si>
  <si>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</si>
  <si>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</si>
  <si>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</si>
  <si>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</si>
  <si>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</si>
  <si>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</si>
  <si>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</si>
  <si>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</si>
  <si>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</si>
  <si>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</si>
  <si>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</si>
  <si>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</si>
  <si>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</si>
  <si>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</si>
  <si>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</si>
  <si>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</si>
  <si>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</si>
  <si>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</si>
  <si>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</si>
  <si>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</si>
  <si>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</si>
  <si>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</si>
  <si>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</si>
  <si>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</si>
  <si>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</si>
  <si>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</si>
  <si>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</si>
  <si>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</si>
  <si>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</si>
  <si>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</si>
  <si>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</si>
  <si>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</si>
  <si>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</si>
  <si>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</si>
  <si>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</si>
  <si>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</si>
  <si>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</si>
  <si>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</si>
  <si>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</si>
  <si>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</si>
  <si>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</si>
  <si>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</si>
  <si>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</si>
  <si>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</si>
  <si>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</si>
  <si>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</si>
  <si>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</si>
  <si>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</si>
  <si>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</si>
  <si>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</si>
  <si>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</si>
  <si>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</si>
  <si>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</si>
  <si>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</si>
  <si>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</si>
  <si>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</si>
  <si>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</si>
  <si>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</si>
  <si>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</si>
  <si>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</si>
  <si>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</si>
  <si>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</si>
  <si>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</si>
  <si>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</si>
  <si>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</si>
  <si>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</si>
  <si>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</si>
  <si>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</si>
  <si>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</si>
  <si>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</si>
  <si>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</si>
  <si>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</si>
  <si>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</si>
  <si>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</si>
  <si>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</si>
  <si>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</si>
  <si>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</si>
  <si>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</si>
  <si>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</si>
  <si>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</si>
  <si>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</si>
  <si>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</si>
  <si>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</si>
  <si>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</si>
  <si>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</si>
  <si>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</si>
  <si>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</si>
  <si>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</si>
  <si>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</si>
  <si>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</si>
  <si>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</si>
  <si>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</si>
  <si>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</si>
  <si>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</si>
  <si>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</si>
  <si>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</si>
  <si>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</si>
  <si>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</si>
  <si>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</si>
  <si>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</si>
  <si>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</si>
  <si>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</si>
  <si>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</si>
  <si>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</si>
  <si>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</si>
  <si>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</si>
  <si>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</si>
  <si>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</si>
  <si>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</si>
  <si>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</si>
  <si>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</si>
  <si>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</si>
  <si>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</si>
  <si>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</si>
  <si>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</si>
  <si>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</si>
  <si>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</si>
  <si>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</si>
  <si>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</si>
  <si>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</si>
  <si>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</si>
  <si>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YNH NETWORK CORPORATION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</si>
  <si>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</si>
  <si>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</si>
  <si>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</si>
  <si>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</si>
  <si>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</si>
  <si>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</si>
  <si>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</si>
  <si>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</si>
  <si>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</si>
  <si>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</si>
  <si>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</si>
  <si>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</si>
  <si>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</si>
  <si>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</si>
  <si>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</si>
  <si>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</si>
  <si>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</si>
  <si>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</si>
  <si>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</si>
  <si>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</si>
  <si>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</si>
  <si>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</si>
  <si>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</si>
  <si>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</si>
  <si>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</si>
  <si>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</si>
  <si>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</si>
  <si>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</si>
  <si>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</si>
  <si>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</si>
  <si>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</si>
  <si>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</si>
  <si>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</si>
  <si>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</si>
  <si>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</si>
  <si>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</si>
  <si>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</si>
  <si>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</si>
  <si>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</si>
  <si>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</si>
  <si>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</si>
  <si>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</si>
  <si>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</si>
  <si>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</si>
  <si>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</si>
  <si>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</si>
  <si>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</si>
  <si>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</si>
  <si>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</si>
  <si>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</si>
  <si>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</si>
  <si>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</si>
  <si>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</si>
  <si>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</si>
  <si>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</si>
  <si>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</si>
  <si>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</si>
  <si>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</si>
  <si>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</si>
  <si>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</si>
  <si>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</si>
  <si>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</si>
  <si>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</si>
  <si>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</si>
  <si>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</si>
  <si>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</si>
  <si>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</si>
  <si>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</si>
  <si>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</si>
  <si>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</si>
  <si>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</si>
  <si>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</si>
  <si>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</si>
  <si>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</si>
  <si>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</si>
  <si>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</si>
  <si>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</si>
  <si>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</si>
  <si>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</si>
  <si>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</si>
  <si>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</si>
  <si>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</si>
  <si>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</si>
  <si>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</si>
  <si>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</si>
  <si>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</si>
  <si>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</si>
  <si>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</si>
  <si>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</si>
  <si>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</si>
  <si>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</si>
  <si>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</si>
  <si>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</si>
  <si>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</si>
  <si>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</si>
  <si>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</si>
  <si>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</si>
  <si>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</si>
  <si>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</si>
  <si>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</si>
  <si>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</si>
  <si>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</si>
  <si>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</si>
  <si>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Temple Medical Center</t>
  </si>
  <si>
    <t>Yale New Haven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</si>
  <si>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</si>
  <si>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</si>
  <si>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</si>
  <si>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>N/A</t>
  </si>
  <si>
    <t>Shoreline Medical Center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</si>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</sst>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3" width="18.85546875" style="1" bestFit="1" customWidth="1"/>
    <col min="4" max="4" width="18.140625" style="1" bestFit="1" customWidth="1"/>
    <col min="5" max="5" width="17.7109375" style="2" bestFit="1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51804000</v>
      </c>
      <c r="D13" s="23">
        <v>66556000</v>
      </c>
      <c r="E13" s="23">
        <f t="shared" ref="E13:E22" si="0">D13-C13</f>
        <v>14752000</v>
      </c>
      <c r="F13" s="24">
        <f t="shared" ref="F13:F22" si="1">IF(C13=0,0,E13/C13)</f>
        <v>0.28476565516176355</v>
      </c>
    </row>
    <row r="14" spans="1:8" ht="24" customHeight="1" x14ac:dyDescent="0.2">
      <c r="A14" s="21">
        <v>2</v>
      </c>
      <c r="B14" s="22" t="s">
        <v>17</v>
      </c>
      <c r="C14" s="23">
        <v>456660000</v>
      </c>
      <c r="D14" s="23">
        <v>342847000</v>
      </c>
      <c r="E14" s="23">
        <f t="shared" si="0"/>
        <v>-113813000</v>
      </c>
      <c r="F14" s="24">
        <f t="shared" si="1"/>
        <v>-0.24922918582753034</v>
      </c>
    </row>
    <row r="15" spans="1:8" ht="30.75" customHeight="1" x14ac:dyDescent="0.2">
      <c r="A15" s="21">
        <v>3</v>
      </c>
      <c r="B15" s="22" t="s">
        <v>18</v>
      </c>
      <c r="C15" s="23">
        <v>123653000</v>
      </c>
      <c r="D15" s="23">
        <v>135445000</v>
      </c>
      <c r="E15" s="23">
        <f t="shared" si="0"/>
        <v>11792000</v>
      </c>
      <c r="F15" s="24">
        <f t="shared" si="1"/>
        <v>9.5363638569221934E-2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14065000</v>
      </c>
      <c r="D19" s="23">
        <v>18238000</v>
      </c>
      <c r="E19" s="23">
        <f t="shared" si="0"/>
        <v>4173000</v>
      </c>
      <c r="F19" s="24">
        <f t="shared" si="1"/>
        <v>0.29669392108069675</v>
      </c>
    </row>
    <row r="20" spans="1:11" ht="24" customHeight="1" x14ac:dyDescent="0.2">
      <c r="A20" s="21">
        <v>8</v>
      </c>
      <c r="B20" s="22" t="s">
        <v>23</v>
      </c>
      <c r="C20" s="23">
        <v>5058000</v>
      </c>
      <c r="D20" s="23">
        <v>6113000</v>
      </c>
      <c r="E20" s="23">
        <f t="shared" si="0"/>
        <v>1055000</v>
      </c>
      <c r="F20" s="24">
        <f t="shared" si="1"/>
        <v>0.20858046658758403</v>
      </c>
    </row>
    <row r="21" spans="1:11" ht="24" customHeight="1" x14ac:dyDescent="0.2">
      <c r="A21" s="21">
        <v>9</v>
      </c>
      <c r="B21" s="22" t="s">
        <v>24</v>
      </c>
      <c r="C21" s="23">
        <v>34795000</v>
      </c>
      <c r="D21" s="23">
        <v>40674000</v>
      </c>
      <c r="E21" s="23">
        <f t="shared" si="0"/>
        <v>5879000</v>
      </c>
      <c r="F21" s="24">
        <f t="shared" si="1"/>
        <v>0.16896105762322172</v>
      </c>
    </row>
    <row r="22" spans="1:11" ht="24" customHeight="1" x14ac:dyDescent="0.25">
      <c r="A22" s="25"/>
      <c r="B22" s="26" t="s">
        <v>25</v>
      </c>
      <c r="C22" s="27">
        <f>SUM(C13:C21)</f>
        <v>686035000</v>
      </c>
      <c r="D22" s="27">
        <f>SUM(D13:D21)</f>
        <v>609873000</v>
      </c>
      <c r="E22" s="27">
        <f t="shared" si="0"/>
        <v>-76162000</v>
      </c>
      <c r="F22" s="28">
        <f t="shared" si="1"/>
        <v>-0.11101765944886194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76806000</v>
      </c>
      <c r="D26" s="23">
        <v>54012000</v>
      </c>
      <c r="E26" s="23">
        <f>D26-C26</f>
        <v>-22794000</v>
      </c>
      <c r="F26" s="24">
        <f>IF(C26=0,0,E26/C26)</f>
        <v>-0.29677368955550348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11105000</v>
      </c>
      <c r="D28" s="23">
        <v>11639000</v>
      </c>
      <c r="E28" s="23">
        <f>D28-C28</f>
        <v>534000</v>
      </c>
      <c r="F28" s="24">
        <f>IF(C28=0,0,E28/C28)</f>
        <v>4.8086447546150379E-2</v>
      </c>
    </row>
    <row r="29" spans="1:11" ht="24" customHeight="1" x14ac:dyDescent="0.25">
      <c r="A29" s="25"/>
      <c r="B29" s="26" t="s">
        <v>32</v>
      </c>
      <c r="C29" s="27">
        <f>SUM(C25:C28)</f>
        <v>87911000</v>
      </c>
      <c r="D29" s="27">
        <f>SUM(D25:D28)</f>
        <v>65651000</v>
      </c>
      <c r="E29" s="27">
        <f>D29-C29</f>
        <v>-22260000</v>
      </c>
      <c r="F29" s="28">
        <f>IF(C29=0,0,E29/C29)</f>
        <v>-0.25321063348158934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81859000</v>
      </c>
      <c r="D32" s="23">
        <v>153223000</v>
      </c>
      <c r="E32" s="23">
        <f>D32-C32</f>
        <v>71364000</v>
      </c>
      <c r="F32" s="24">
        <f>IF(C32=0,0,E32/C32)</f>
        <v>0.87179173945442778</v>
      </c>
    </row>
    <row r="33" spans="1:8" ht="24" customHeight="1" x14ac:dyDescent="0.2">
      <c r="A33" s="21">
        <v>7</v>
      </c>
      <c r="B33" s="22" t="s">
        <v>35</v>
      </c>
      <c r="C33" s="23">
        <v>63073000</v>
      </c>
      <c r="D33" s="23">
        <v>77352000</v>
      </c>
      <c r="E33" s="23">
        <f>D33-C33</f>
        <v>14279000</v>
      </c>
      <c r="F33" s="24">
        <f>IF(C33=0,0,E33/C33)</f>
        <v>0.22638847050243369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844702000</v>
      </c>
      <c r="D36" s="23">
        <v>1366875000</v>
      </c>
      <c r="E36" s="23">
        <f>D36-C36</f>
        <v>522173000</v>
      </c>
      <c r="F36" s="24">
        <f>IF(C36=0,0,E36/C36)</f>
        <v>0.61817422002078837</v>
      </c>
    </row>
    <row r="37" spans="1:8" ht="24" customHeight="1" x14ac:dyDescent="0.2">
      <c r="A37" s="21">
        <v>2</v>
      </c>
      <c r="B37" s="22" t="s">
        <v>39</v>
      </c>
      <c r="C37" s="23">
        <v>553768000</v>
      </c>
      <c r="D37" s="23">
        <v>525368000</v>
      </c>
      <c r="E37" s="23">
        <f>D37-C37</f>
        <v>-28400000</v>
      </c>
      <c r="F37" s="24">
        <f>IF(C37=0,0,E37/C37)</f>
        <v>-5.1285014663180251E-2</v>
      </c>
    </row>
    <row r="38" spans="1:8" ht="24" customHeight="1" x14ac:dyDescent="0.25">
      <c r="A38" s="25"/>
      <c r="B38" s="26" t="s">
        <v>40</v>
      </c>
      <c r="C38" s="27">
        <f>C36-C37</f>
        <v>290934000</v>
      </c>
      <c r="D38" s="27">
        <f>D36-D37</f>
        <v>841507000</v>
      </c>
      <c r="E38" s="27">
        <f>D38-C38</f>
        <v>550573000</v>
      </c>
      <c r="F38" s="28">
        <f>IF(C38=0,0,E38/C38)</f>
        <v>1.8924326479545188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360678000</v>
      </c>
      <c r="D40" s="23">
        <v>17563000</v>
      </c>
      <c r="E40" s="23">
        <f>D40-C40</f>
        <v>-343115000</v>
      </c>
      <c r="F40" s="24">
        <f>IF(C40=0,0,E40/C40)</f>
        <v>-0.95130559668180481</v>
      </c>
    </row>
    <row r="41" spans="1:8" ht="24" customHeight="1" x14ac:dyDescent="0.25">
      <c r="A41" s="25"/>
      <c r="B41" s="26" t="s">
        <v>42</v>
      </c>
      <c r="C41" s="27">
        <f>+C38+C40</f>
        <v>651612000</v>
      </c>
      <c r="D41" s="27">
        <f>+D38+D40</f>
        <v>859070000</v>
      </c>
      <c r="E41" s="27">
        <f>D41-C41</f>
        <v>207458000</v>
      </c>
      <c r="F41" s="28">
        <f>IF(C41=0,0,E41/C41)</f>
        <v>0.31837657992793256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1570490000</v>
      </c>
      <c r="D43" s="27">
        <f>D22+D29+D31+D32+D33+D41</f>
        <v>1765169000</v>
      </c>
      <c r="E43" s="27">
        <f>D43-C43</f>
        <v>194679000</v>
      </c>
      <c r="F43" s="28">
        <f>IF(C43=0,0,E43/C43)</f>
        <v>0.12396067469388534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127342000</v>
      </c>
      <c r="D49" s="23">
        <v>159715000</v>
      </c>
      <c r="E49" s="23">
        <f t="shared" ref="E49:E56" si="2">D49-C49</f>
        <v>32373000</v>
      </c>
      <c r="F49" s="24">
        <f t="shared" ref="F49:F56" si="3">IF(C49=0,0,E49/C49)</f>
        <v>0.25422091690094389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66309000</v>
      </c>
      <c r="D50" s="23">
        <v>49648000</v>
      </c>
      <c r="E50" s="23">
        <f t="shared" si="2"/>
        <v>-16661000</v>
      </c>
      <c r="F50" s="24">
        <f t="shared" si="3"/>
        <v>-0.25126302613521545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0</v>
      </c>
      <c r="E51" s="23">
        <f t="shared" si="2"/>
        <v>0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11075000</v>
      </c>
      <c r="D53" s="23">
        <v>13634000</v>
      </c>
      <c r="E53" s="23">
        <f t="shared" si="2"/>
        <v>2559000</v>
      </c>
      <c r="F53" s="24">
        <f t="shared" si="3"/>
        <v>0.23106094808126409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1110000</v>
      </c>
      <c r="D55" s="23">
        <v>1117000</v>
      </c>
      <c r="E55" s="23">
        <f t="shared" si="2"/>
        <v>7000</v>
      </c>
      <c r="F55" s="24">
        <f t="shared" si="3"/>
        <v>6.3063063063063061E-3</v>
      </c>
    </row>
    <row r="56" spans="1:6" ht="24" customHeight="1" x14ac:dyDescent="0.25">
      <c r="A56" s="25"/>
      <c r="B56" s="26" t="s">
        <v>54</v>
      </c>
      <c r="C56" s="27">
        <f>SUM(C49:C55)</f>
        <v>205836000</v>
      </c>
      <c r="D56" s="27">
        <f>SUM(D49:D55)</f>
        <v>224114000</v>
      </c>
      <c r="E56" s="27">
        <f t="shared" si="2"/>
        <v>18278000</v>
      </c>
      <c r="F56" s="28">
        <f t="shared" si="3"/>
        <v>8.8798849569560231E-2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388966000</v>
      </c>
      <c r="D59" s="23">
        <v>487611000</v>
      </c>
      <c r="E59" s="23">
        <f>D59-C59</f>
        <v>98645000</v>
      </c>
      <c r="F59" s="24">
        <f>IF(C59=0,0,E59/C59)</f>
        <v>0.25360828452872486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388966000</v>
      </c>
      <c r="D61" s="27">
        <f>SUM(D59:D60)</f>
        <v>487611000</v>
      </c>
      <c r="E61" s="27">
        <f>D61-C61</f>
        <v>98645000</v>
      </c>
      <c r="F61" s="28">
        <f>IF(C61=0,0,E61/C61)</f>
        <v>0.25360828452872486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192862000</v>
      </c>
      <c r="D63" s="23">
        <v>212544000</v>
      </c>
      <c r="E63" s="23">
        <f>D63-C63</f>
        <v>19682000</v>
      </c>
      <c r="F63" s="24">
        <f>IF(C63=0,0,E63/C63)</f>
        <v>0.10205224461013575</v>
      </c>
    </row>
    <row r="64" spans="1:6" ht="24" customHeight="1" x14ac:dyDescent="0.2">
      <c r="A64" s="21">
        <v>4</v>
      </c>
      <c r="B64" s="22" t="s">
        <v>60</v>
      </c>
      <c r="C64" s="23">
        <v>195295000</v>
      </c>
      <c r="D64" s="23">
        <v>198588000</v>
      </c>
      <c r="E64" s="23">
        <f>D64-C64</f>
        <v>3293000</v>
      </c>
      <c r="F64" s="24">
        <f>IF(C64=0,0,E64/C64)</f>
        <v>1.686167080570419E-2</v>
      </c>
    </row>
    <row r="65" spans="1:6" ht="24" customHeight="1" x14ac:dyDescent="0.25">
      <c r="A65" s="25"/>
      <c r="B65" s="26" t="s">
        <v>61</v>
      </c>
      <c r="C65" s="27">
        <f>SUM(C61:C64)</f>
        <v>777123000</v>
      </c>
      <c r="D65" s="27">
        <f>SUM(D61:D64)</f>
        <v>898743000</v>
      </c>
      <c r="E65" s="27">
        <f>D65-C65</f>
        <v>121620000</v>
      </c>
      <c r="F65" s="28">
        <f>IF(C65=0,0,E65/C65)</f>
        <v>0.15650032234279515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514304000</v>
      </c>
      <c r="D70" s="23">
        <v>567531000</v>
      </c>
      <c r="E70" s="23">
        <f>D70-C70</f>
        <v>53227000</v>
      </c>
      <c r="F70" s="24">
        <f>IF(C70=0,0,E70/C70)</f>
        <v>0.10349326468392235</v>
      </c>
    </row>
    <row r="71" spans="1:6" ht="24" customHeight="1" x14ac:dyDescent="0.2">
      <c r="A71" s="21">
        <v>2</v>
      </c>
      <c r="B71" s="22" t="s">
        <v>65</v>
      </c>
      <c r="C71" s="23">
        <v>47505000</v>
      </c>
      <c r="D71" s="23">
        <v>48525000</v>
      </c>
      <c r="E71" s="23">
        <f>D71-C71</f>
        <v>1020000</v>
      </c>
      <c r="F71" s="24">
        <f>IF(C71=0,0,E71/C71)</f>
        <v>2.1471424060625199E-2</v>
      </c>
    </row>
    <row r="72" spans="1:6" ht="24" customHeight="1" x14ac:dyDescent="0.2">
      <c r="A72" s="21">
        <v>3</v>
      </c>
      <c r="B72" s="22" t="s">
        <v>66</v>
      </c>
      <c r="C72" s="23">
        <v>25722000</v>
      </c>
      <c r="D72" s="23">
        <v>26256000</v>
      </c>
      <c r="E72" s="23">
        <f>D72-C72</f>
        <v>534000</v>
      </c>
      <c r="F72" s="24">
        <f>IF(C72=0,0,E72/C72)</f>
        <v>2.0760438535106136E-2</v>
      </c>
    </row>
    <row r="73" spans="1:6" ht="24" customHeight="1" x14ac:dyDescent="0.25">
      <c r="A73" s="21"/>
      <c r="B73" s="26" t="s">
        <v>67</v>
      </c>
      <c r="C73" s="27">
        <f>SUM(C70:C72)</f>
        <v>587531000</v>
      </c>
      <c r="D73" s="27">
        <f>SUM(D70:D72)</f>
        <v>642312000</v>
      </c>
      <c r="E73" s="27">
        <f>D73-C73</f>
        <v>54781000</v>
      </c>
      <c r="F73" s="28">
        <f>IF(C73=0,0,E73/C73)</f>
        <v>9.3239335456341874E-2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1570490000</v>
      </c>
      <c r="D75" s="27">
        <f>D56+D65+D67+D73</f>
        <v>1765169000</v>
      </c>
      <c r="E75" s="27">
        <f>D75-C75</f>
        <v>194679000</v>
      </c>
      <c r="F75" s="28">
        <f>IF(C75=0,0,E75/C75)</f>
        <v>0.12396067469388534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1" fitToHeight="0" orientation="portrait" horizontalDpi="1200" verticalDpi="1200" r:id="rId1"/>
  <headerFooter>
    <oddHeader>&amp;LOFFICE OF HEALTH CARE ACCESS&amp;CTWELVE MONTHS ACTUAL FILING&amp;RYALE-NEW HAVEN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activeCell="A2" sqref="A2:E2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1081100000</v>
      </c>
      <c r="D11" s="51">
        <v>1238934000</v>
      </c>
      <c r="E11" s="51">
        <v>1365162000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59930000</v>
      </c>
      <c r="D12" s="49">
        <v>42656000</v>
      </c>
      <c r="E12" s="49">
        <v>50190000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1141030000</v>
      </c>
      <c r="D13" s="51">
        <f>+D11+D12</f>
        <v>1281590000</v>
      </c>
      <c r="E13" s="51">
        <f>+E11+E12</f>
        <v>1415352000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1093889000</v>
      </c>
      <c r="D14" s="49">
        <v>1211988000</v>
      </c>
      <c r="E14" s="49">
        <v>1341219000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47141000</v>
      </c>
      <c r="D15" s="51">
        <f>+D13-D14</f>
        <v>69602000</v>
      </c>
      <c r="E15" s="51">
        <f>+E13-E14</f>
        <v>74133000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-48855000</v>
      </c>
      <c r="D16" s="49">
        <v>-16540000</v>
      </c>
      <c r="E16" s="49">
        <v>12380000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-1714000</v>
      </c>
      <c r="D17" s="51">
        <f>D15+D16</f>
        <v>53062000</v>
      </c>
      <c r="E17" s="51">
        <f>E15+E16</f>
        <v>86513000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4.3162496852610616E-2</v>
      </c>
      <c r="D20" s="169">
        <f>IF(+D27=0,0,+D24/+D27)</f>
        <v>5.5019169202798306E-2</v>
      </c>
      <c r="E20" s="169">
        <f>IF(+E27=0,0,+E24/+E27)</f>
        <v>5.1923610313420167E-2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-4.4731842424519878E-2</v>
      </c>
      <c r="D21" s="169">
        <f>IF(+D27=0,0,+D26/+D27)</f>
        <v>-1.3074582032330738E-2</v>
      </c>
      <c r="E21" s="169">
        <f>IF(+E27=0,0,+E26/+E27)</f>
        <v>8.6710951355016205E-3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-1.5693455719092636E-3</v>
      </c>
      <c r="D22" s="169">
        <f>IF(+D27=0,0,+D28/+D27)</f>
        <v>4.1944587170467569E-2</v>
      </c>
      <c r="E22" s="169">
        <f>IF(+E27=0,0,+E28/+E27)</f>
        <v>6.0594705448921787E-2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47141000</v>
      </c>
      <c r="D24" s="51">
        <f>+D15</f>
        <v>69602000</v>
      </c>
      <c r="E24" s="51">
        <f>+E15</f>
        <v>74133000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1141030000</v>
      </c>
      <c r="D25" s="51">
        <f>+D13</f>
        <v>1281590000</v>
      </c>
      <c r="E25" s="51">
        <f>+E13</f>
        <v>1415352000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-48855000</v>
      </c>
      <c r="D26" s="51">
        <f>+D16</f>
        <v>-16540000</v>
      </c>
      <c r="E26" s="51">
        <f>+E16</f>
        <v>12380000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1092175000</v>
      </c>
      <c r="D27" s="51">
        <f>SUM(D25:D26)</f>
        <v>1265050000</v>
      </c>
      <c r="E27" s="51">
        <f>SUM(E25:E26)</f>
        <v>1427732000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-1714000</v>
      </c>
      <c r="D28" s="51">
        <f>+D17</f>
        <v>53062000</v>
      </c>
      <c r="E28" s="51">
        <f>+E17</f>
        <v>86513000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525399000</v>
      </c>
      <c r="D31" s="51">
        <v>526740000</v>
      </c>
      <c r="E31" s="52">
        <v>580733000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632746000</v>
      </c>
      <c r="D32" s="51">
        <v>599967000</v>
      </c>
      <c r="E32" s="51">
        <v>655514000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-32812000</v>
      </c>
      <c r="D33" s="51">
        <f>+D32-C32</f>
        <v>-32779000</v>
      </c>
      <c r="E33" s="51">
        <f>+E32-D32</f>
        <v>55547000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0.95069999999999999</v>
      </c>
      <c r="D34" s="171">
        <f>IF(C32=0,0,+D33/C32)</f>
        <v>-5.1804357514705746E-2</v>
      </c>
      <c r="E34" s="171">
        <f>IF(D32=0,0,+E33/D32)</f>
        <v>9.2583425421731522E-2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3.5719023422404992</v>
      </c>
      <c r="D38" s="269">
        <f>IF(+D40=0,0,+D39/+D40)</f>
        <v>3.2882262567215634</v>
      </c>
      <c r="E38" s="269">
        <f>IF(+E40=0,0,+E39/+E40)</f>
        <v>2.709918454637132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619300000</v>
      </c>
      <c r="D39" s="270">
        <v>702010000</v>
      </c>
      <c r="E39" s="270">
        <v>623433000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173381000</v>
      </c>
      <c r="D40" s="270">
        <v>213492000</v>
      </c>
      <c r="E40" s="270">
        <v>230056000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155.29877595062698</v>
      </c>
      <c r="D42" s="271">
        <f>IF((D48/365)=0,0,+D45/(D48/365))</f>
        <v>161.59835900581004</v>
      </c>
      <c r="E42" s="271">
        <f>IF((E48/365)=0,0,+E45/(E48/365))</f>
        <v>118.13711081193972</v>
      </c>
    </row>
    <row r="43" spans="1:14" ht="24" customHeight="1" x14ac:dyDescent="0.2">
      <c r="A43" s="17">
        <v>5</v>
      </c>
      <c r="B43" s="188" t="s">
        <v>16</v>
      </c>
      <c r="C43" s="272">
        <v>25781000</v>
      </c>
      <c r="D43" s="272">
        <v>60217000</v>
      </c>
      <c r="E43" s="272">
        <v>74032000</v>
      </c>
    </row>
    <row r="44" spans="1:14" ht="24" customHeight="1" x14ac:dyDescent="0.2">
      <c r="A44" s="17">
        <v>6</v>
      </c>
      <c r="B44" s="273" t="s">
        <v>17</v>
      </c>
      <c r="C44" s="274">
        <v>421368000</v>
      </c>
      <c r="D44" s="274">
        <v>456660000</v>
      </c>
      <c r="E44" s="274">
        <v>342847000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447149000</v>
      </c>
      <c r="D45" s="270">
        <f>+D43+D44</f>
        <v>516877000</v>
      </c>
      <c r="E45" s="270">
        <f>+E43+E44</f>
        <v>416879000</v>
      </c>
    </row>
    <row r="46" spans="1:14" ht="24" customHeight="1" x14ac:dyDescent="0.2">
      <c r="A46" s="17">
        <v>8</v>
      </c>
      <c r="B46" s="45" t="s">
        <v>324</v>
      </c>
      <c r="C46" s="270">
        <f>+C14</f>
        <v>1093889000</v>
      </c>
      <c r="D46" s="270">
        <f>+D14</f>
        <v>1211988000</v>
      </c>
      <c r="E46" s="270">
        <f>+E14</f>
        <v>1341219000</v>
      </c>
    </row>
    <row r="47" spans="1:14" ht="24" customHeight="1" x14ac:dyDescent="0.2">
      <c r="A47" s="17">
        <v>9</v>
      </c>
      <c r="B47" s="45" t="s">
        <v>347</v>
      </c>
      <c r="C47" s="270">
        <v>42951000</v>
      </c>
      <c r="D47" s="270">
        <v>44525000</v>
      </c>
      <c r="E47" s="270">
        <v>53217000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1050938000</v>
      </c>
      <c r="D48" s="270">
        <f>+D46-D47</f>
        <v>1167463000</v>
      </c>
      <c r="E48" s="270">
        <f>+E46-E47</f>
        <v>1288002000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41.864767366571087</v>
      </c>
      <c r="D50" s="278">
        <f>IF((D55/365)=0,0,+D54/(D55/365))</f>
        <v>37.832394623119548</v>
      </c>
      <c r="E50" s="278">
        <f>IF((E55/365)=0,0,+E54/(E55/365))</f>
        <v>37.113287653772957</v>
      </c>
    </row>
    <row r="51" spans="1:5" ht="24" customHeight="1" x14ac:dyDescent="0.2">
      <c r="A51" s="17">
        <v>12</v>
      </c>
      <c r="B51" s="188" t="s">
        <v>350</v>
      </c>
      <c r="C51" s="279">
        <v>124000000</v>
      </c>
      <c r="D51" s="279">
        <v>128416000</v>
      </c>
      <c r="E51" s="279">
        <v>138810000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0</v>
      </c>
      <c r="D53" s="270">
        <v>0</v>
      </c>
      <c r="E53" s="270">
        <v>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124000000</v>
      </c>
      <c r="D54" s="280">
        <f>+D51+D52-D53</f>
        <v>128416000</v>
      </c>
      <c r="E54" s="280">
        <f>+E51+E52-E53</f>
        <v>138810000</v>
      </c>
    </row>
    <row r="55" spans="1:5" ht="24" customHeight="1" x14ac:dyDescent="0.2">
      <c r="A55" s="17">
        <v>16</v>
      </c>
      <c r="B55" s="45" t="s">
        <v>75</v>
      </c>
      <c r="C55" s="270">
        <f>+C11</f>
        <v>1081100000</v>
      </c>
      <c r="D55" s="270">
        <f>+D11</f>
        <v>1238934000</v>
      </c>
      <c r="E55" s="270">
        <f>+E11</f>
        <v>1365162000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60.216744470178071</v>
      </c>
      <c r="D57" s="283">
        <f>IF((D61/365)=0,0,+D58/(D61/365))</f>
        <v>66.746937590313351</v>
      </c>
      <c r="E57" s="283">
        <f>IF((E61/365)=0,0,+E58/(E61/365))</f>
        <v>65.19433976034199</v>
      </c>
    </row>
    <row r="58" spans="1:5" ht="24" customHeight="1" x14ac:dyDescent="0.2">
      <c r="A58" s="17">
        <v>18</v>
      </c>
      <c r="B58" s="45" t="s">
        <v>54</v>
      </c>
      <c r="C58" s="281">
        <f>+C40</f>
        <v>173381000</v>
      </c>
      <c r="D58" s="281">
        <f>+D40</f>
        <v>213492000</v>
      </c>
      <c r="E58" s="281">
        <f>+E40</f>
        <v>230056000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1093889000</v>
      </c>
      <c r="D59" s="281">
        <f t="shared" si="0"/>
        <v>1211988000</v>
      </c>
      <c r="E59" s="281">
        <f t="shared" si="0"/>
        <v>1341219000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42951000</v>
      </c>
      <c r="D60" s="176">
        <f t="shared" si="0"/>
        <v>44525000</v>
      </c>
      <c r="E60" s="176">
        <f t="shared" si="0"/>
        <v>53217000</v>
      </c>
    </row>
    <row r="61" spans="1:5" ht="24" customHeight="1" x14ac:dyDescent="0.2">
      <c r="A61" s="17">
        <v>21</v>
      </c>
      <c r="B61" s="45" t="s">
        <v>353</v>
      </c>
      <c r="C61" s="281">
        <f>+C59-C60</f>
        <v>1050938000</v>
      </c>
      <c r="D61" s="281">
        <f>+D59-D60</f>
        <v>1167463000</v>
      </c>
      <c r="E61" s="281">
        <f>+E59-E60</f>
        <v>1288002000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42.8626104934295</v>
      </c>
      <c r="D65" s="284">
        <f>IF(D67=0,0,(D66/D67)*100)</f>
        <v>37.483834207379473</v>
      </c>
      <c r="E65" s="284">
        <f>IF(E67=0,0,(E66/E67)*100)</f>
        <v>36.597177248263698</v>
      </c>
    </row>
    <row r="66" spans="1:5" ht="24" customHeight="1" x14ac:dyDescent="0.2">
      <c r="A66" s="17">
        <v>2</v>
      </c>
      <c r="B66" s="45" t="s">
        <v>67</v>
      </c>
      <c r="C66" s="281">
        <f>+C32</f>
        <v>632746000</v>
      </c>
      <c r="D66" s="281">
        <f>+D32</f>
        <v>599967000</v>
      </c>
      <c r="E66" s="281">
        <f>+E32</f>
        <v>655514000</v>
      </c>
    </row>
    <row r="67" spans="1:5" ht="24" customHeight="1" x14ac:dyDescent="0.2">
      <c r="A67" s="17">
        <v>3</v>
      </c>
      <c r="B67" s="45" t="s">
        <v>43</v>
      </c>
      <c r="C67" s="281">
        <v>1476219000</v>
      </c>
      <c r="D67" s="281">
        <v>1600602000</v>
      </c>
      <c r="E67" s="281">
        <v>1791160000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7.1554869954658953</v>
      </c>
      <c r="D69" s="284">
        <f>IF(D75=0,0,(D72/D75)*100)</f>
        <v>15.997318125113727</v>
      </c>
      <c r="E69" s="284">
        <f>IF(E75=0,0,(E72/E75)*100)</f>
        <v>19.294393813863572</v>
      </c>
    </row>
    <row r="70" spans="1:5" ht="24" customHeight="1" x14ac:dyDescent="0.2">
      <c r="A70" s="17">
        <v>5</v>
      </c>
      <c r="B70" s="45" t="s">
        <v>358</v>
      </c>
      <c r="C70" s="281">
        <f>+C28</f>
        <v>-1714000</v>
      </c>
      <c r="D70" s="281">
        <f>+D28</f>
        <v>53062000</v>
      </c>
      <c r="E70" s="281">
        <f>+E28</f>
        <v>86513000</v>
      </c>
    </row>
    <row r="71" spans="1:5" ht="24" customHeight="1" x14ac:dyDescent="0.2">
      <c r="A71" s="17">
        <v>6</v>
      </c>
      <c r="B71" s="45" t="s">
        <v>347</v>
      </c>
      <c r="C71" s="176">
        <f>+C47</f>
        <v>42951000</v>
      </c>
      <c r="D71" s="176">
        <f>+D47</f>
        <v>44525000</v>
      </c>
      <c r="E71" s="176">
        <f>+E47</f>
        <v>53217000</v>
      </c>
    </row>
    <row r="72" spans="1:5" ht="24" customHeight="1" x14ac:dyDescent="0.2">
      <c r="A72" s="17">
        <v>7</v>
      </c>
      <c r="B72" s="45" t="s">
        <v>359</v>
      </c>
      <c r="C72" s="281">
        <f>+C70+C71</f>
        <v>41237000</v>
      </c>
      <c r="D72" s="281">
        <f>+D70+D71</f>
        <v>97587000</v>
      </c>
      <c r="E72" s="281">
        <f>+E70+E71</f>
        <v>139730000</v>
      </c>
    </row>
    <row r="73" spans="1:5" ht="24" customHeight="1" x14ac:dyDescent="0.2">
      <c r="A73" s="17">
        <v>8</v>
      </c>
      <c r="B73" s="45" t="s">
        <v>54</v>
      </c>
      <c r="C73" s="270">
        <f>+C40</f>
        <v>173381000</v>
      </c>
      <c r="D73" s="270">
        <f>+D40</f>
        <v>213492000</v>
      </c>
      <c r="E73" s="270">
        <f>+E40</f>
        <v>230056000</v>
      </c>
    </row>
    <row r="74" spans="1:5" ht="24" customHeight="1" x14ac:dyDescent="0.2">
      <c r="A74" s="17">
        <v>9</v>
      </c>
      <c r="B74" s="45" t="s">
        <v>58</v>
      </c>
      <c r="C74" s="281">
        <v>402918000</v>
      </c>
      <c r="D74" s="281">
        <v>396529000</v>
      </c>
      <c r="E74" s="281">
        <v>494144000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576299000</v>
      </c>
      <c r="D75" s="270">
        <f>+D73+D74</f>
        <v>610021000</v>
      </c>
      <c r="E75" s="270">
        <f>+E73+E74</f>
        <v>724200000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38.90431645784733</v>
      </c>
      <c r="D77" s="286">
        <f>IF(D80=0,0,(D78/D80)*100)</f>
        <v>39.792332332493061</v>
      </c>
      <c r="E77" s="286">
        <f>IF(E80=0,0,(E78/E80)*100)</f>
        <v>42.981825899528381</v>
      </c>
    </row>
    <row r="78" spans="1:5" ht="24" customHeight="1" x14ac:dyDescent="0.2">
      <c r="A78" s="17">
        <v>12</v>
      </c>
      <c r="B78" s="45" t="s">
        <v>58</v>
      </c>
      <c r="C78" s="270">
        <f>+C74</f>
        <v>402918000</v>
      </c>
      <c r="D78" s="270">
        <f>+D74</f>
        <v>396529000</v>
      </c>
      <c r="E78" s="270">
        <f>+E74</f>
        <v>494144000</v>
      </c>
    </row>
    <row r="79" spans="1:5" ht="24" customHeight="1" x14ac:dyDescent="0.2">
      <c r="A79" s="17">
        <v>13</v>
      </c>
      <c r="B79" s="45" t="s">
        <v>67</v>
      </c>
      <c r="C79" s="270">
        <f>+C32</f>
        <v>632746000</v>
      </c>
      <c r="D79" s="270">
        <f>+D32</f>
        <v>599967000</v>
      </c>
      <c r="E79" s="270">
        <f>+E32</f>
        <v>655514000</v>
      </c>
    </row>
    <row r="80" spans="1:5" ht="24" customHeight="1" x14ac:dyDescent="0.2">
      <c r="A80" s="17">
        <v>14</v>
      </c>
      <c r="B80" s="45" t="s">
        <v>362</v>
      </c>
      <c r="C80" s="270">
        <f>+C78+C79</f>
        <v>1035664000</v>
      </c>
      <c r="D80" s="270">
        <f>+D78+D79</f>
        <v>996496000</v>
      </c>
      <c r="E80" s="270">
        <f>+E78+E79</f>
        <v>1149658000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FILING&amp;R&amp;8YNH NETWORK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SheetLayoutView="75" workbookViewId="0">
      <selection activeCell="B3" sqref="B3"/>
    </sheetView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495</v>
      </c>
      <c r="G7" s="126" t="s">
        <v>495</v>
      </c>
      <c r="H7" s="125"/>
      <c r="I7" s="289"/>
    </row>
    <row r="8" spans="1:9" ht="15.75" customHeight="1" x14ac:dyDescent="0.25">
      <c r="A8" s="287"/>
      <c r="B8" s="126"/>
      <c r="C8" s="126" t="s">
        <v>496</v>
      </c>
      <c r="D8" s="126" t="s">
        <v>497</v>
      </c>
      <c r="E8" s="126" t="s">
        <v>498</v>
      </c>
      <c r="F8" s="126" t="s">
        <v>499</v>
      </c>
      <c r="G8" s="126" t="s">
        <v>500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501</v>
      </c>
      <c r="D9" s="292" t="s">
        <v>502</v>
      </c>
      <c r="E9" s="292" t="s">
        <v>503</v>
      </c>
      <c r="F9" s="292" t="s">
        <v>502</v>
      </c>
      <c r="G9" s="292" t="s">
        <v>503</v>
      </c>
      <c r="H9" s="125"/>
      <c r="I9" s="56"/>
    </row>
    <row r="10" spans="1:9" ht="15.75" customHeight="1" x14ac:dyDescent="0.25">
      <c r="A10" s="293" t="s">
        <v>504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505</v>
      </c>
      <c r="C11" s="296">
        <v>160848</v>
      </c>
      <c r="D11" s="297">
        <v>498</v>
      </c>
      <c r="E11" s="297">
        <v>501</v>
      </c>
      <c r="F11" s="298">
        <f>IF(D11=0,0,$C11/(D11*365))</f>
        <v>0.88489849810199706</v>
      </c>
      <c r="G11" s="298">
        <f>IF(E11=0,0,$C11/(E11*365))</f>
        <v>0.87959970470018867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506</v>
      </c>
      <c r="C13" s="296">
        <v>31498</v>
      </c>
      <c r="D13" s="297">
        <v>107</v>
      </c>
      <c r="E13" s="297">
        <v>114</v>
      </c>
      <c r="F13" s="298">
        <f>IF(D13=0,0,$C13/(D13*365))</f>
        <v>0.80650364870055047</v>
      </c>
      <c r="G13" s="298">
        <f>IF(E13=0,0,$C13/(E13*365))</f>
        <v>0.75698149483297283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507</v>
      </c>
      <c r="C15" s="296">
        <v>4411</v>
      </c>
      <c r="D15" s="297">
        <v>13</v>
      </c>
      <c r="E15" s="297">
        <v>15</v>
      </c>
      <c r="F15" s="298">
        <f t="shared" ref="F15:G17" si="0">IF(D15=0,0,$C15/(D15*365))</f>
        <v>0.92961011591148579</v>
      </c>
      <c r="G15" s="298">
        <f t="shared" si="0"/>
        <v>0.80566210045662101</v>
      </c>
      <c r="H15" s="125"/>
      <c r="I15" s="299"/>
    </row>
    <row r="16" spans="1:9" ht="15" customHeight="1" x14ac:dyDescent="0.2">
      <c r="A16" s="294">
        <v>4</v>
      </c>
      <c r="B16" s="295" t="s">
        <v>508</v>
      </c>
      <c r="C16" s="296">
        <v>26155</v>
      </c>
      <c r="D16" s="297">
        <v>73</v>
      </c>
      <c r="E16" s="297">
        <v>73</v>
      </c>
      <c r="F16" s="298">
        <f t="shared" si="0"/>
        <v>0.98161005817226499</v>
      </c>
      <c r="G16" s="298">
        <f t="shared" si="0"/>
        <v>0.98161005817226499</v>
      </c>
      <c r="H16" s="125"/>
      <c r="I16" s="299"/>
    </row>
    <row r="17" spans="1:9" ht="15.75" customHeight="1" x14ac:dyDescent="0.25">
      <c r="A17" s="293"/>
      <c r="B17" s="135" t="s">
        <v>509</v>
      </c>
      <c r="C17" s="300">
        <f>SUM(C15:C16)</f>
        <v>30566</v>
      </c>
      <c r="D17" s="300">
        <f>SUM(D15:D16)</f>
        <v>86</v>
      </c>
      <c r="E17" s="300">
        <f>SUM(E15:E16)</f>
        <v>88</v>
      </c>
      <c r="F17" s="301">
        <f t="shared" si="0"/>
        <v>0.9737496017840076</v>
      </c>
      <c r="G17" s="301">
        <f t="shared" si="0"/>
        <v>0.95161892901618927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510</v>
      </c>
      <c r="C19" s="296">
        <v>0</v>
      </c>
      <c r="D19" s="297">
        <v>0</v>
      </c>
      <c r="E19" s="297">
        <v>0</v>
      </c>
      <c r="F19" s="298">
        <f>IF(D19=0,0,$C19/(D19*365))</f>
        <v>0</v>
      </c>
      <c r="G19" s="298">
        <f>IF(E19=0,0,$C19/(E19*365))</f>
        <v>0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511</v>
      </c>
      <c r="C21" s="296">
        <v>15771</v>
      </c>
      <c r="D21" s="297">
        <v>51</v>
      </c>
      <c r="E21" s="297">
        <v>55</v>
      </c>
      <c r="F21" s="298">
        <f>IF(D21=0,0,$C21/(D21*365))</f>
        <v>0.84721998388396458</v>
      </c>
      <c r="G21" s="298">
        <f>IF(E21=0,0,$C21/(E21*365))</f>
        <v>0.7856039850560399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512</v>
      </c>
      <c r="C23" s="296">
        <v>9114</v>
      </c>
      <c r="D23" s="297">
        <v>27</v>
      </c>
      <c r="E23" s="297">
        <v>40</v>
      </c>
      <c r="F23" s="298">
        <f>IF(D23=0,0,$C23/(D23*365))</f>
        <v>0.92480974124809745</v>
      </c>
      <c r="G23" s="298">
        <f>IF(E23=0,0,$C23/(E23*365))</f>
        <v>0.62424657534246575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17054</v>
      </c>
      <c r="D25" s="297">
        <v>47</v>
      </c>
      <c r="E25" s="297">
        <v>52</v>
      </c>
      <c r="F25" s="298">
        <f>IF(D25=0,0,$C25/(D25*365))</f>
        <v>0.99411250364325265</v>
      </c>
      <c r="G25" s="298">
        <f>IF(E25=0,0,$C25/(E25*365))</f>
        <v>0.8985247629083245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513</v>
      </c>
      <c r="C27" s="296">
        <v>19854</v>
      </c>
      <c r="D27" s="297">
        <v>55</v>
      </c>
      <c r="E27" s="297">
        <v>69</v>
      </c>
      <c r="F27" s="298">
        <f>IF(D27=0,0,$C27/(D27*365))</f>
        <v>0.98899128268991288</v>
      </c>
      <c r="G27" s="298">
        <f>IF(E27=0,0,$C27/(E27*365))</f>
        <v>0.78832638475282901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514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515</v>
      </c>
      <c r="C31" s="300">
        <f>SUM(C10:C29)-C17-C23</f>
        <v>275591</v>
      </c>
      <c r="D31" s="300">
        <f>SUM(D10:D29)-D17-D23</f>
        <v>844</v>
      </c>
      <c r="E31" s="300">
        <f>SUM(E10:E29)-E17-E23</f>
        <v>879</v>
      </c>
      <c r="F31" s="301">
        <f>IF(D31=0,0,$C31/(D31*365))</f>
        <v>0.89460170096734404</v>
      </c>
      <c r="G31" s="301">
        <f>IF(E31=0,0,$C31/(E31*365))</f>
        <v>0.85898047282871259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516</v>
      </c>
      <c r="C33" s="300">
        <f>SUM(C10:C29)-C17</f>
        <v>284705</v>
      </c>
      <c r="D33" s="300">
        <f>SUM(D10:D29)-D17</f>
        <v>871</v>
      </c>
      <c r="E33" s="300">
        <f>SUM(E10:E29)-E17</f>
        <v>919</v>
      </c>
      <c r="F33" s="301">
        <f>IF(D33=0,0,$C33/(D33*365))</f>
        <v>0.8955381155340264</v>
      </c>
      <c r="G33" s="301">
        <f>IF(E33=0,0,$C33/(E33*365))</f>
        <v>0.84876354584345703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517</v>
      </c>
      <c r="C36" s="300">
        <f>+C33</f>
        <v>284705</v>
      </c>
      <c r="D36" s="300">
        <f>+D33</f>
        <v>871</v>
      </c>
      <c r="E36" s="300">
        <f>+E33</f>
        <v>919</v>
      </c>
      <c r="F36" s="301">
        <f>+F33</f>
        <v>0.8955381155340264</v>
      </c>
      <c r="G36" s="301">
        <f>+G33</f>
        <v>0.84876354584345703</v>
      </c>
      <c r="H36" s="125"/>
      <c r="I36" s="299"/>
    </row>
    <row r="37" spans="1:9" ht="15.75" customHeight="1" x14ac:dyDescent="0.25">
      <c r="A37" s="293"/>
      <c r="B37" s="135" t="s">
        <v>518</v>
      </c>
      <c r="C37" s="300">
        <v>279599</v>
      </c>
      <c r="D37" s="302">
        <v>851</v>
      </c>
      <c r="E37" s="302">
        <v>895</v>
      </c>
      <c r="F37" s="301">
        <f>IF(D37=0,0,$C37/(D37*365))</f>
        <v>0.90014648358900895</v>
      </c>
      <c r="G37" s="301">
        <f>IF(E37=0,0,$C37/(E37*365))</f>
        <v>0.85589347210530342</v>
      </c>
      <c r="H37" s="125"/>
      <c r="I37" s="299"/>
    </row>
    <row r="38" spans="1:9" ht="15.75" customHeight="1" x14ac:dyDescent="0.25">
      <c r="A38" s="293"/>
      <c r="B38" s="135" t="s">
        <v>519</v>
      </c>
      <c r="C38" s="300">
        <f>+C36-C37</f>
        <v>5106</v>
      </c>
      <c r="D38" s="300">
        <f>+D36-D37</f>
        <v>20</v>
      </c>
      <c r="E38" s="300">
        <f>+E36-E37</f>
        <v>24</v>
      </c>
      <c r="F38" s="301">
        <f>+F36-F37</f>
        <v>-4.6083680549825479E-3</v>
      </c>
      <c r="G38" s="301">
        <f>+G36-G37</f>
        <v>-7.1299262618463866E-3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520</v>
      </c>
      <c r="C40" s="148">
        <f>IF(C37=0,0,C38/C37)</f>
        <v>1.8261867889370134E-2</v>
      </c>
      <c r="D40" s="148">
        <f>IF(D37=0,0,D38/D37)</f>
        <v>2.3501762632197415E-2</v>
      </c>
      <c r="E40" s="148">
        <f>IF(E37=0,0,E38/E37)</f>
        <v>2.6815642458100558E-2</v>
      </c>
      <c r="F40" s="148">
        <f>IF(F37=0,0,F38/F37)</f>
        <v>-5.1195756901791642E-3</v>
      </c>
      <c r="G40" s="148">
        <f>IF(G37=0,0,G38/G37)</f>
        <v>-8.3303898139430697E-3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521</v>
      </c>
      <c r="C42" s="295">
        <v>944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522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504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FILING&amp;RYALE-NEW HAVEN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A3" sqref="A3:F3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523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524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525</v>
      </c>
      <c r="C12" s="296">
        <v>36496</v>
      </c>
      <c r="D12" s="296">
        <v>36398</v>
      </c>
      <c r="E12" s="296">
        <f>+D12-C12</f>
        <v>-98</v>
      </c>
      <c r="F12" s="316">
        <f>IF(C12=0,0,+E12/C12)</f>
        <v>-2.6852257781674704E-3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526</v>
      </c>
      <c r="C13" s="296">
        <v>42452</v>
      </c>
      <c r="D13" s="296">
        <v>39332</v>
      </c>
      <c r="E13" s="296">
        <f>+D13-C13</f>
        <v>-3120</v>
      </c>
      <c r="F13" s="316">
        <f>IF(C13=0,0,+E13/C13)</f>
        <v>-7.3494770564402151E-2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527</v>
      </c>
      <c r="C14" s="296">
        <v>17340</v>
      </c>
      <c r="D14" s="296">
        <v>16065</v>
      </c>
      <c r="E14" s="296">
        <f>+D14-C14</f>
        <v>-1275</v>
      </c>
      <c r="F14" s="316">
        <f>IF(C14=0,0,+E14/C14)</f>
        <v>-7.3529411764705885E-2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528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529</v>
      </c>
      <c r="C16" s="300">
        <f>SUM(C12:C15)</f>
        <v>96288</v>
      </c>
      <c r="D16" s="300">
        <f>SUM(D12:D15)</f>
        <v>91795</v>
      </c>
      <c r="E16" s="300">
        <f>+D16-C16</f>
        <v>-4493</v>
      </c>
      <c r="F16" s="309">
        <f>IF(C16=0,0,+E16/C16)</f>
        <v>-4.666209704220671E-2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530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525</v>
      </c>
      <c r="C19" s="296">
        <v>7102</v>
      </c>
      <c r="D19" s="296">
        <v>7535</v>
      </c>
      <c r="E19" s="296">
        <f>+D19-C19</f>
        <v>433</v>
      </c>
      <c r="F19" s="316">
        <f>IF(C19=0,0,+E19/C19)</f>
        <v>6.0968741199662065E-2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526</v>
      </c>
      <c r="C20" s="296">
        <v>18433</v>
      </c>
      <c r="D20" s="296">
        <v>24535</v>
      </c>
      <c r="E20" s="296">
        <f>+D20-C20</f>
        <v>6102</v>
      </c>
      <c r="F20" s="316">
        <f>IF(C20=0,0,+E20/C20)</f>
        <v>0.33103672760809416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527</v>
      </c>
      <c r="C21" s="296">
        <v>7529</v>
      </c>
      <c r="D21" s="296">
        <v>9948</v>
      </c>
      <c r="E21" s="296">
        <f>+D21-C21</f>
        <v>2419</v>
      </c>
      <c r="F21" s="316">
        <f>IF(C21=0,0,+E21/C21)</f>
        <v>0.32129100810200556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528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531</v>
      </c>
      <c r="C23" s="300">
        <f>SUM(C19:C22)</f>
        <v>33064</v>
      </c>
      <c r="D23" s="300">
        <f>SUM(D19:D22)</f>
        <v>42018</v>
      </c>
      <c r="E23" s="300">
        <f>+D23-C23</f>
        <v>8954</v>
      </c>
      <c r="F23" s="309">
        <f>IF(C23=0,0,+E23/C23)</f>
        <v>0.27080812968787804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532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525</v>
      </c>
      <c r="C26" s="296">
        <v>29</v>
      </c>
      <c r="D26" s="296">
        <v>356</v>
      </c>
      <c r="E26" s="296">
        <f>+D26-C26</f>
        <v>327</v>
      </c>
      <c r="F26" s="316">
        <f>IF(C26=0,0,+E26/C26)</f>
        <v>11.275862068965518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526</v>
      </c>
      <c r="C27" s="296">
        <v>89</v>
      </c>
      <c r="D27" s="296">
        <v>1819</v>
      </c>
      <c r="E27" s="296">
        <f>+D27-C27</f>
        <v>1730</v>
      </c>
      <c r="F27" s="316">
        <f>IF(C27=0,0,+E27/C27)</f>
        <v>19.438202247191011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527</v>
      </c>
      <c r="C28" s="296">
        <v>36</v>
      </c>
      <c r="D28" s="296">
        <v>743</v>
      </c>
      <c r="E28" s="296">
        <f>+D28-C28</f>
        <v>707</v>
      </c>
      <c r="F28" s="316">
        <f>IF(C28=0,0,+E28/C28)</f>
        <v>19.638888888888889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528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533</v>
      </c>
      <c r="C30" s="300">
        <f>SUM(C26:C29)</f>
        <v>154</v>
      </c>
      <c r="D30" s="300">
        <f>SUM(D26:D29)</f>
        <v>2918</v>
      </c>
      <c r="E30" s="300">
        <f>+D30-C30</f>
        <v>2764</v>
      </c>
      <c r="F30" s="309">
        <f>IF(C30=0,0,+E30/C30)</f>
        <v>17.948051948051948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534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525</v>
      </c>
      <c r="C33" s="296">
        <v>169</v>
      </c>
      <c r="D33" s="296">
        <v>192</v>
      </c>
      <c r="E33" s="296">
        <f>+D33-C33</f>
        <v>23</v>
      </c>
      <c r="F33" s="316">
        <f>IF(C33=0,0,+E33/C33)</f>
        <v>0.13609467455621302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526</v>
      </c>
      <c r="C34" s="296">
        <v>1375</v>
      </c>
      <c r="D34" s="296">
        <v>1321</v>
      </c>
      <c r="E34" s="296">
        <f>+D34-C34</f>
        <v>-54</v>
      </c>
      <c r="F34" s="316">
        <f>IF(C34=0,0,+E34/C34)</f>
        <v>-3.9272727272727272E-2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527</v>
      </c>
      <c r="C35" s="296">
        <v>562</v>
      </c>
      <c r="D35" s="296">
        <v>539</v>
      </c>
      <c r="E35" s="296">
        <f>+D35-C35</f>
        <v>-23</v>
      </c>
      <c r="F35" s="316">
        <f>IF(C35=0,0,+E35/C35)</f>
        <v>-4.0925266903914591E-2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528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535</v>
      </c>
      <c r="C37" s="300">
        <f>SUM(C33:C36)</f>
        <v>2106</v>
      </c>
      <c r="D37" s="300">
        <f>SUM(D33:D36)</f>
        <v>2052</v>
      </c>
      <c r="E37" s="300">
        <f>+D37-C37</f>
        <v>-54</v>
      </c>
      <c r="F37" s="309">
        <f>IF(C37=0,0,+E37/C37)</f>
        <v>-2.564102564102564E-2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536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537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538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539</v>
      </c>
      <c r="C43" s="296">
        <v>1170</v>
      </c>
      <c r="D43" s="296">
        <v>1257</v>
      </c>
      <c r="E43" s="296">
        <f>+D43-C43</f>
        <v>87</v>
      </c>
      <c r="F43" s="316">
        <f>IF(C43=0,0,+E43/C43)</f>
        <v>7.4358974358974358E-2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540</v>
      </c>
      <c r="C44" s="296">
        <v>26329</v>
      </c>
      <c r="D44" s="296">
        <v>25702</v>
      </c>
      <c r="E44" s="296">
        <f>+D44-C44</f>
        <v>-627</v>
      </c>
      <c r="F44" s="316">
        <f>IF(C44=0,0,+E44/C44)</f>
        <v>-2.3814045349234685E-2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541</v>
      </c>
      <c r="C45" s="300">
        <f>SUM(C43:C44)</f>
        <v>27499</v>
      </c>
      <c r="D45" s="300">
        <f>SUM(D43:D44)</f>
        <v>26959</v>
      </c>
      <c r="E45" s="300">
        <f>+D45-C45</f>
        <v>-540</v>
      </c>
      <c r="F45" s="309">
        <f>IF(C45=0,0,+E45/C45)</f>
        <v>-1.9637077711916796E-2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542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539</v>
      </c>
      <c r="C48" s="296">
        <v>3038</v>
      </c>
      <c r="D48" s="296">
        <v>3173</v>
      </c>
      <c r="E48" s="296">
        <f>+D48-C48</f>
        <v>135</v>
      </c>
      <c r="F48" s="316">
        <f>IF(C48=0,0,+E48/C48)</f>
        <v>4.4437129690585914E-2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540</v>
      </c>
      <c r="C49" s="296">
        <v>1265</v>
      </c>
      <c r="D49" s="296">
        <v>1242</v>
      </c>
      <c r="E49" s="296">
        <f>+D49-C49</f>
        <v>-23</v>
      </c>
      <c r="F49" s="316">
        <f>IF(C49=0,0,+E49/C49)</f>
        <v>-1.8181818181818181E-2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543</v>
      </c>
      <c r="C50" s="300">
        <f>SUM(C48:C49)</f>
        <v>4303</v>
      </c>
      <c r="D50" s="300">
        <f>SUM(D48:D49)</f>
        <v>4415</v>
      </c>
      <c r="E50" s="300">
        <f>+D50-C50</f>
        <v>112</v>
      </c>
      <c r="F50" s="309">
        <f>IF(C50=0,0,+E50/C50)</f>
        <v>2.6028352312340228E-2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544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545</v>
      </c>
      <c r="C53" s="296">
        <v>9</v>
      </c>
      <c r="D53" s="296">
        <v>10</v>
      </c>
      <c r="E53" s="296">
        <f>+D53-C53</f>
        <v>1</v>
      </c>
      <c r="F53" s="316">
        <f>IF(C53=0,0,+E53/C53)</f>
        <v>0.1111111111111111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546</v>
      </c>
      <c r="C54" s="296">
        <v>1271</v>
      </c>
      <c r="D54" s="296">
        <v>1347</v>
      </c>
      <c r="E54" s="296">
        <f>+D54-C54</f>
        <v>76</v>
      </c>
      <c r="F54" s="316">
        <f>IF(C54=0,0,+E54/C54)</f>
        <v>5.9795436664044063E-2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547</v>
      </c>
      <c r="C55" s="300">
        <f>SUM(C53:C54)</f>
        <v>1280</v>
      </c>
      <c r="D55" s="300">
        <f>SUM(D53:D54)</f>
        <v>1357</v>
      </c>
      <c r="E55" s="300">
        <f>+D55-C55</f>
        <v>77</v>
      </c>
      <c r="F55" s="309">
        <f>IF(C55=0,0,+E55/C55)</f>
        <v>6.0156250000000001E-2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548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549</v>
      </c>
      <c r="C58" s="296">
        <v>400</v>
      </c>
      <c r="D58" s="296">
        <v>689</v>
      </c>
      <c r="E58" s="296">
        <f>+D58-C58</f>
        <v>289</v>
      </c>
      <c r="F58" s="316">
        <f>IF(C58=0,0,+E58/C58)</f>
        <v>0.72250000000000003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550</v>
      </c>
      <c r="C59" s="296">
        <v>90</v>
      </c>
      <c r="D59" s="296">
        <v>104</v>
      </c>
      <c r="E59" s="296">
        <f>+D59-C59</f>
        <v>14</v>
      </c>
      <c r="F59" s="316">
        <f>IF(C59=0,0,+E59/C59)</f>
        <v>0.15555555555555556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551</v>
      </c>
      <c r="C60" s="300">
        <f>SUM(C58:C59)</f>
        <v>490</v>
      </c>
      <c r="D60" s="300">
        <f>SUM(D58:D59)</f>
        <v>793</v>
      </c>
      <c r="E60" s="300">
        <f>SUM(E58:E59)</f>
        <v>303</v>
      </c>
      <c r="F60" s="309">
        <f>IF(C60=0,0,+E60/C60)</f>
        <v>0.61836734693877549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552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553</v>
      </c>
      <c r="C63" s="296">
        <v>13202</v>
      </c>
      <c r="D63" s="296">
        <v>15239</v>
      </c>
      <c r="E63" s="296">
        <f>+D63-C63</f>
        <v>2037</v>
      </c>
      <c r="F63" s="316">
        <f>IF(C63=0,0,+E63/C63)</f>
        <v>0.15429480381760338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554</v>
      </c>
      <c r="C64" s="296">
        <v>21118</v>
      </c>
      <c r="D64" s="296">
        <v>21676</v>
      </c>
      <c r="E64" s="296">
        <f>+D64-C64</f>
        <v>558</v>
      </c>
      <c r="F64" s="316">
        <f>IF(C64=0,0,+E64/C64)</f>
        <v>2.6422956719386305E-2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555</v>
      </c>
      <c r="C65" s="300">
        <f>SUM(C63:C64)</f>
        <v>34320</v>
      </c>
      <c r="D65" s="300">
        <f>SUM(D63:D64)</f>
        <v>36915</v>
      </c>
      <c r="E65" s="300">
        <f>+D65-C65</f>
        <v>2595</v>
      </c>
      <c r="F65" s="309">
        <f>IF(C65=0,0,+E65/C65)</f>
        <v>7.5611888111888112E-2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556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557</v>
      </c>
      <c r="C68" s="296">
        <v>251</v>
      </c>
      <c r="D68" s="296">
        <v>212</v>
      </c>
      <c r="E68" s="296">
        <f>+D68-C68</f>
        <v>-39</v>
      </c>
      <c r="F68" s="316">
        <f>IF(C68=0,0,+E68/C68)</f>
        <v>-0.15537848605577689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558</v>
      </c>
      <c r="C69" s="296">
        <v>13220</v>
      </c>
      <c r="D69" s="296">
        <v>11433</v>
      </c>
      <c r="E69" s="296">
        <f>+D69-C69</f>
        <v>-1787</v>
      </c>
      <c r="F69" s="318">
        <f>IF(C69=0,0,+E69/C69)</f>
        <v>-0.13517397881996973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559</v>
      </c>
      <c r="C70" s="300">
        <f>SUM(C68:C69)</f>
        <v>13471</v>
      </c>
      <c r="D70" s="300">
        <f>SUM(D68:D69)</f>
        <v>11645</v>
      </c>
      <c r="E70" s="300">
        <f>+D70-C70</f>
        <v>-1826</v>
      </c>
      <c r="F70" s="309">
        <f>IF(C70=0,0,+E70/C70)</f>
        <v>-0.13555044168955535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560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561</v>
      </c>
      <c r="C73" s="319">
        <v>26820</v>
      </c>
      <c r="D73" s="319">
        <v>28571</v>
      </c>
      <c r="E73" s="296">
        <f>+D73-C73</f>
        <v>1751</v>
      </c>
      <c r="F73" s="316">
        <f>IF(C73=0,0,+E73/C73)</f>
        <v>6.5287099179716632E-2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562</v>
      </c>
      <c r="C74" s="319">
        <v>101582</v>
      </c>
      <c r="D74" s="319">
        <v>93579</v>
      </c>
      <c r="E74" s="296">
        <f>+D74-C74</f>
        <v>-8003</v>
      </c>
      <c r="F74" s="316">
        <f>IF(C74=0,0,+E74/C74)</f>
        <v>-7.8783642771357132E-2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128402</v>
      </c>
      <c r="D75" s="300">
        <f>SUM(D73:D74)</f>
        <v>122150</v>
      </c>
      <c r="E75" s="300">
        <f>SUM(E73:E74)</f>
        <v>-6252</v>
      </c>
      <c r="F75" s="309">
        <f>IF(C75=0,0,+E75/C75)</f>
        <v>-4.8690830360897802E-2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563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564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565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566</v>
      </c>
      <c r="C81" s="319">
        <v>1192</v>
      </c>
      <c r="D81" s="319">
        <v>1417</v>
      </c>
      <c r="E81" s="296">
        <f t="shared" si="0"/>
        <v>225</v>
      </c>
      <c r="F81" s="316">
        <f t="shared" si="1"/>
        <v>0.18875838926174496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567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568</v>
      </c>
      <c r="C83" s="319">
        <v>83631</v>
      </c>
      <c r="D83" s="319">
        <v>120453</v>
      </c>
      <c r="E83" s="296">
        <f t="shared" si="0"/>
        <v>36822</v>
      </c>
      <c r="F83" s="316">
        <f t="shared" si="1"/>
        <v>0.44029127954944935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569</v>
      </c>
      <c r="C84" s="320">
        <f>SUM(C79:C83)</f>
        <v>84823</v>
      </c>
      <c r="D84" s="320">
        <f>SUM(D79:D83)</f>
        <v>121870</v>
      </c>
      <c r="E84" s="300">
        <f t="shared" si="0"/>
        <v>37047</v>
      </c>
      <c r="F84" s="309">
        <f t="shared" si="1"/>
        <v>0.43675654008936254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570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571</v>
      </c>
      <c r="C87" s="322">
        <v>0</v>
      </c>
      <c r="D87" s="322">
        <v>0</v>
      </c>
      <c r="E87" s="323">
        <f t="shared" ref="E87:E92" si="2">+D87-C87</f>
        <v>0</v>
      </c>
      <c r="F87" s="318">
        <f t="shared" ref="F87:F92" si="3">IF(C87=0,0,+E87/C87)</f>
        <v>0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0</v>
      </c>
      <c r="D88" s="322">
        <v>0</v>
      </c>
      <c r="E88" s="296">
        <f t="shared" si="2"/>
        <v>0</v>
      </c>
      <c r="F88" s="316">
        <f t="shared" si="3"/>
        <v>0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572</v>
      </c>
      <c r="C89" s="322">
        <v>25440</v>
      </c>
      <c r="D89" s="322">
        <v>28217</v>
      </c>
      <c r="E89" s="296">
        <f t="shared" si="2"/>
        <v>2777</v>
      </c>
      <c r="F89" s="316">
        <f t="shared" si="3"/>
        <v>0.10915880503144654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573</v>
      </c>
      <c r="C90" s="322">
        <v>12180</v>
      </c>
      <c r="D90" s="322">
        <v>15540</v>
      </c>
      <c r="E90" s="296">
        <f t="shared" si="2"/>
        <v>3360</v>
      </c>
      <c r="F90" s="316">
        <f t="shared" si="3"/>
        <v>0.27586206896551724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574</v>
      </c>
      <c r="C91" s="322">
        <v>544140</v>
      </c>
      <c r="D91" s="322">
        <v>556388</v>
      </c>
      <c r="E91" s="296">
        <f t="shared" si="2"/>
        <v>12248</v>
      </c>
      <c r="F91" s="316">
        <f t="shared" si="3"/>
        <v>2.2508913147351785E-2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575</v>
      </c>
      <c r="C92" s="320">
        <f>SUM(C87:C91)</f>
        <v>581760</v>
      </c>
      <c r="D92" s="320">
        <f>SUM(D87:D91)</f>
        <v>600145</v>
      </c>
      <c r="E92" s="300">
        <f t="shared" si="2"/>
        <v>18385</v>
      </c>
      <c r="F92" s="309">
        <f t="shared" si="3"/>
        <v>3.1602378987898791E-2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576</v>
      </c>
      <c r="B95" s="291" t="s">
        <v>577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578</v>
      </c>
      <c r="C96" s="325">
        <v>2226.6999999999998</v>
      </c>
      <c r="D96" s="325">
        <v>2371.6999999999998</v>
      </c>
      <c r="E96" s="326">
        <f>+D96-C96</f>
        <v>145</v>
      </c>
      <c r="F96" s="316">
        <f>IF(C96=0,0,+E96/C96)</f>
        <v>6.5118785646921459E-2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579</v>
      </c>
      <c r="C97" s="325">
        <v>705.9</v>
      </c>
      <c r="D97" s="325">
        <v>738.4</v>
      </c>
      <c r="E97" s="326">
        <f>+D97-C97</f>
        <v>32.5</v>
      </c>
      <c r="F97" s="316">
        <f>IF(C97=0,0,+E97/C97)</f>
        <v>4.6040515653775323E-2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580</v>
      </c>
      <c r="C98" s="325">
        <v>3715.4</v>
      </c>
      <c r="D98" s="325">
        <v>3968.7</v>
      </c>
      <c r="E98" s="326">
        <f>+D98-C98</f>
        <v>253.29999999999973</v>
      </c>
      <c r="F98" s="316">
        <f>IF(C98=0,0,+E98/C98)</f>
        <v>6.8175701135813033E-2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581</v>
      </c>
      <c r="C99" s="327">
        <f>SUM(C96:C98)</f>
        <v>6648</v>
      </c>
      <c r="D99" s="327">
        <f>SUM(D96:D98)</f>
        <v>7078.7999999999993</v>
      </c>
      <c r="E99" s="327">
        <f>+D99-C99</f>
        <v>430.79999999999927</v>
      </c>
      <c r="F99" s="309">
        <f>IF(C99=0,0,+E99/C99)</f>
        <v>6.4801444043321194E-2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FILING&amp;RYALE-NEW HAVEN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75" zoomScaleSheetLayoutView="90" workbookViewId="0">
      <selection activeCell="A2" sqref="A2:F2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554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583</v>
      </c>
      <c r="C12" s="296">
        <v>5145</v>
      </c>
      <c r="D12" s="296">
        <v>2955</v>
      </c>
      <c r="E12" s="296">
        <f>+D12-C12</f>
        <v>-2190</v>
      </c>
      <c r="F12" s="316">
        <f>IF(C12=0,0,+E12/C12)</f>
        <v>-0.42565597667638483</v>
      </c>
    </row>
    <row r="13" spans="1:16" ht="15.75" customHeight="1" x14ac:dyDescent="0.2">
      <c r="A13" s="294">
        <v>2</v>
      </c>
      <c r="B13" s="295" t="s">
        <v>584</v>
      </c>
      <c r="C13" s="296">
        <v>15973</v>
      </c>
      <c r="D13" s="296">
        <v>18721</v>
      </c>
      <c r="E13" s="296">
        <f>+D13-C13</f>
        <v>2748</v>
      </c>
      <c r="F13" s="316">
        <f>IF(C13=0,0,+E13/C13)</f>
        <v>0.1720403180366869</v>
      </c>
    </row>
    <row r="14" spans="1:16" ht="15.75" customHeight="1" x14ac:dyDescent="0.25">
      <c r="A14" s="294"/>
      <c r="B14" s="135" t="s">
        <v>585</v>
      </c>
      <c r="C14" s="300">
        <f>SUM(C11:C13)</f>
        <v>21118</v>
      </c>
      <c r="D14" s="300">
        <f>SUM(D11:D13)</f>
        <v>21676</v>
      </c>
      <c r="E14" s="300">
        <f>+D14-C14</f>
        <v>558</v>
      </c>
      <c r="F14" s="309">
        <f>IF(C14=0,0,+E14/C14)</f>
        <v>2.6422956719386305E-2</v>
      </c>
    </row>
    <row r="15" spans="1:16" ht="15.75" customHeight="1" x14ac:dyDescent="0.25">
      <c r="A15" s="293"/>
      <c r="B15" s="135"/>
      <c r="C15" s="300"/>
      <c r="D15" s="300"/>
      <c r="E15" s="300"/>
      <c r="F15" s="309"/>
    </row>
    <row r="16" spans="1:16" ht="15.75" customHeight="1" x14ac:dyDescent="0.25">
      <c r="A16" s="293" t="s">
        <v>124</v>
      </c>
      <c r="B16" s="291" t="s">
        <v>558</v>
      </c>
      <c r="C16" s="296"/>
      <c r="D16" s="296"/>
      <c r="E16" s="296"/>
      <c r="F16" s="316"/>
    </row>
    <row r="17" spans="1:6" ht="15.75" customHeight="1" x14ac:dyDescent="0.2">
      <c r="A17" s="294">
        <v>1</v>
      </c>
      <c r="B17" s="295" t="s">
        <v>583</v>
      </c>
      <c r="C17" s="296">
        <v>6991</v>
      </c>
      <c r="D17" s="296">
        <v>6223</v>
      </c>
      <c r="E17" s="296">
        <f>+D17-C17</f>
        <v>-768</v>
      </c>
      <c r="F17" s="316">
        <f>IF(C17=0,0,+E17/C17)</f>
        <v>-0.10985552853669003</v>
      </c>
    </row>
    <row r="18" spans="1:6" ht="15.75" customHeight="1" x14ac:dyDescent="0.2">
      <c r="A18" s="294">
        <v>2</v>
      </c>
      <c r="B18" s="295" t="s">
        <v>584</v>
      </c>
      <c r="C18" s="296">
        <v>6229</v>
      </c>
      <c r="D18" s="296">
        <v>5210</v>
      </c>
      <c r="E18" s="296">
        <f>+D18-C18</f>
        <v>-1019</v>
      </c>
      <c r="F18" s="316">
        <f>IF(C18=0,0,+E18/C18)</f>
        <v>-0.16358966126183977</v>
      </c>
    </row>
    <row r="19" spans="1:6" ht="15.75" customHeight="1" x14ac:dyDescent="0.25">
      <c r="A19" s="294"/>
      <c r="B19" s="135" t="s">
        <v>586</v>
      </c>
      <c r="C19" s="300">
        <f>SUM(C16:C18)</f>
        <v>13220</v>
      </c>
      <c r="D19" s="300">
        <f>SUM(D16:D18)</f>
        <v>11433</v>
      </c>
      <c r="E19" s="300">
        <f>+D19-C19</f>
        <v>-1787</v>
      </c>
      <c r="F19" s="309">
        <f>IF(C19=0,0,+E19/C19)</f>
        <v>-0.13517397881996973</v>
      </c>
    </row>
    <row r="20" spans="1:6" ht="15.75" customHeight="1" x14ac:dyDescent="0.25">
      <c r="A20" s="293"/>
      <c r="B20" s="135"/>
      <c r="C20" s="300"/>
      <c r="D20" s="300"/>
      <c r="E20" s="300"/>
      <c r="F20" s="309"/>
    </row>
    <row r="21" spans="1:6" ht="15.75" customHeight="1" x14ac:dyDescent="0.25">
      <c r="A21" s="293" t="s">
        <v>141</v>
      </c>
      <c r="B21" s="291" t="s">
        <v>587</v>
      </c>
      <c r="C21" s="296"/>
      <c r="D21" s="296"/>
      <c r="E21" s="296"/>
      <c r="F21" s="316"/>
    </row>
    <row r="22" spans="1:6" ht="15.75" customHeight="1" x14ac:dyDescent="0.2">
      <c r="A22" s="294">
        <v>1</v>
      </c>
      <c r="B22" s="295" t="s">
        <v>588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</row>
    <row r="23" spans="1:6" ht="15.75" customHeight="1" x14ac:dyDescent="0.2">
      <c r="A23" s="294">
        <v>2</v>
      </c>
      <c r="B23" s="295" t="s">
        <v>589</v>
      </c>
      <c r="C23" s="296">
        <v>21819</v>
      </c>
      <c r="D23" s="296">
        <v>20100</v>
      </c>
      <c r="E23" s="296">
        <f>+D23-C23</f>
        <v>-1719</v>
      </c>
      <c r="F23" s="316">
        <f>IF(C23=0,0,+E23/C23)</f>
        <v>-7.8784545579540774E-2</v>
      </c>
    </row>
    <row r="24" spans="1:6" ht="15.75" customHeight="1" x14ac:dyDescent="0.2">
      <c r="A24" s="294">
        <v>3</v>
      </c>
      <c r="B24" s="295" t="s">
        <v>584</v>
      </c>
      <c r="C24" s="296">
        <v>79763</v>
      </c>
      <c r="D24" s="296">
        <v>73479</v>
      </c>
      <c r="E24" s="296">
        <f>+D24-C24</f>
        <v>-6284</v>
      </c>
      <c r="F24" s="316">
        <f>IF(C24=0,0,+E24/C24)</f>
        <v>-7.8783395810087378E-2</v>
      </c>
    </row>
    <row r="25" spans="1:6" ht="15.75" customHeight="1" x14ac:dyDescent="0.25">
      <c r="A25" s="294"/>
      <c r="B25" s="135" t="s">
        <v>590</v>
      </c>
      <c r="C25" s="300">
        <f>SUM(C21:C24)</f>
        <v>101582</v>
      </c>
      <c r="D25" s="300">
        <f>SUM(D21:D24)</f>
        <v>93579</v>
      </c>
      <c r="E25" s="300">
        <f>+D25-C25</f>
        <v>-8003</v>
      </c>
      <c r="F25" s="309">
        <f>IF(C25=0,0,+E25/C25)</f>
        <v>-7.8783642771357132E-2</v>
      </c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591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  <row r="29" spans="1:6" ht="15.75" customHeight="1" x14ac:dyDescent="0.25">
      <c r="B29" s="699" t="s">
        <v>592</v>
      </c>
      <c r="C29" s="700"/>
      <c r="D29" s="700"/>
      <c r="E29" s="700"/>
      <c r="F29" s="701"/>
    </row>
    <row r="30" spans="1:6" ht="15.75" customHeight="1" x14ac:dyDescent="0.25">
      <c r="A30" s="293"/>
      <c r="B30" s="135"/>
      <c r="C30" s="300"/>
      <c r="D30" s="300"/>
      <c r="E30" s="300"/>
      <c r="F30" s="309"/>
    </row>
    <row r="31" spans="1:6" ht="15.75" customHeight="1" x14ac:dyDescent="0.25">
      <c r="B31" s="699" t="s">
        <v>593</v>
      </c>
      <c r="C31" s="700"/>
      <c r="D31" s="700"/>
      <c r="E31" s="700"/>
      <c r="F31" s="701"/>
    </row>
    <row r="32" spans="1:6" ht="15.75" customHeight="1" x14ac:dyDescent="0.25">
      <c r="A32" s="293"/>
      <c r="B32" s="135"/>
      <c r="C32" s="300"/>
      <c r="D32" s="300"/>
      <c r="E32" s="300"/>
      <c r="F32" s="309"/>
    </row>
  </sheetData>
  <mergeCells count="7">
    <mergeCell ref="B31:F31"/>
    <mergeCell ref="A1:F1"/>
    <mergeCell ref="A2:F2"/>
    <mergeCell ref="A3:F3"/>
    <mergeCell ref="A4:F4"/>
    <mergeCell ref="B27:F27"/>
    <mergeCell ref="B29:F29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FILING&amp;RYALE-NEW HAVEN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594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595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596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597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598</v>
      </c>
      <c r="D7" s="341" t="s">
        <v>598</v>
      </c>
      <c r="E7" s="341" t="s">
        <v>599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600</v>
      </c>
      <c r="D8" s="344" t="s">
        <v>601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602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603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604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605</v>
      </c>
      <c r="C15" s="361">
        <v>828626611</v>
      </c>
      <c r="D15" s="361">
        <v>925659420</v>
      </c>
      <c r="E15" s="361">
        <f t="shared" ref="E15:E24" si="0">D15-C15</f>
        <v>97032809</v>
      </c>
      <c r="F15" s="362">
        <f t="shared" ref="F15:F24" si="1">IF(C15=0,0,E15/C15)</f>
        <v>0.11710076373591144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606</v>
      </c>
      <c r="C16" s="361">
        <v>288806494</v>
      </c>
      <c r="D16" s="361">
        <v>323184765</v>
      </c>
      <c r="E16" s="361">
        <f t="shared" si="0"/>
        <v>34378271</v>
      </c>
      <c r="F16" s="362">
        <f t="shared" si="1"/>
        <v>0.11903565783392668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607</v>
      </c>
      <c r="C17" s="366">
        <f>IF(C15=0,0,C16/C15)</f>
        <v>0.34853634938354638</v>
      </c>
      <c r="D17" s="366">
        <f>IF(LN_IA1=0,0,LN_IA2/LN_IA1)</f>
        <v>0.34914003792021042</v>
      </c>
      <c r="E17" s="367">
        <f t="shared" si="0"/>
        <v>6.0368853666403766E-4</v>
      </c>
      <c r="F17" s="362">
        <f t="shared" si="1"/>
        <v>1.7320676530059979E-3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16762</v>
      </c>
      <c r="D18" s="369">
        <v>17357</v>
      </c>
      <c r="E18" s="369">
        <f t="shared" si="0"/>
        <v>595</v>
      </c>
      <c r="F18" s="362">
        <f t="shared" si="1"/>
        <v>3.5496957403651115E-2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608</v>
      </c>
      <c r="C19" s="372">
        <v>1.6653</v>
      </c>
      <c r="D19" s="372">
        <v>1.6712</v>
      </c>
      <c r="E19" s="373">
        <f t="shared" si="0"/>
        <v>5.9000000000000163E-3</v>
      </c>
      <c r="F19" s="362">
        <f t="shared" si="1"/>
        <v>3.5429051822494545E-3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609</v>
      </c>
      <c r="C20" s="376">
        <f>C18*C19</f>
        <v>27913.758600000001</v>
      </c>
      <c r="D20" s="376">
        <f>LN_IA4*LN_IA5</f>
        <v>29007.018400000001</v>
      </c>
      <c r="E20" s="376">
        <f t="shared" si="0"/>
        <v>1093.2597999999998</v>
      </c>
      <c r="F20" s="362">
        <f t="shared" si="1"/>
        <v>3.9165624940240035E-2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610</v>
      </c>
      <c r="C21" s="378">
        <f>IF(C20=0,0,C16/C20)</f>
        <v>10346.385026056649</v>
      </c>
      <c r="D21" s="378">
        <f>IF(LN_IA6=0,0,LN_IA2/LN_IA6)</f>
        <v>11141.605819093767</v>
      </c>
      <c r="E21" s="378">
        <f t="shared" si="0"/>
        <v>795.22079303711871</v>
      </c>
      <c r="F21" s="362">
        <f t="shared" si="1"/>
        <v>7.6859771894667625E-2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100798</v>
      </c>
      <c r="D22" s="369">
        <v>98192</v>
      </c>
      <c r="E22" s="369">
        <f t="shared" si="0"/>
        <v>-2606</v>
      </c>
      <c r="F22" s="362">
        <f t="shared" si="1"/>
        <v>-2.5853687573166133E-2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611</v>
      </c>
      <c r="C23" s="378">
        <f>IF(C22=0,0,C16/C22)</f>
        <v>2865.2006389015655</v>
      </c>
      <c r="D23" s="378">
        <f>IF(LN_IA8=0,0,LN_IA2/LN_IA8)</f>
        <v>3291.3553548150562</v>
      </c>
      <c r="E23" s="378">
        <f t="shared" si="0"/>
        <v>426.15471591349069</v>
      </c>
      <c r="F23" s="362">
        <f t="shared" si="1"/>
        <v>0.14873468549723134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612</v>
      </c>
      <c r="C24" s="379">
        <f>IF(C18=0,0,C22/C18)</f>
        <v>6.0134828779381939</v>
      </c>
      <c r="D24" s="379">
        <f>IF(LN_IA4=0,0,LN_IA8/LN_IA4)</f>
        <v>5.6571988246816849</v>
      </c>
      <c r="E24" s="379">
        <f t="shared" si="0"/>
        <v>-0.35628405325650903</v>
      </c>
      <c r="F24" s="362">
        <f t="shared" si="1"/>
        <v>-5.9247537656358297E-2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613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614</v>
      </c>
      <c r="C27" s="361">
        <v>307602656</v>
      </c>
      <c r="D27" s="361">
        <v>328954688</v>
      </c>
      <c r="E27" s="361">
        <f t="shared" ref="E27:E32" si="2">D27-C27</f>
        <v>21352032</v>
      </c>
      <c r="F27" s="362">
        <f t="shared" ref="F27:F32" si="3">IF(C27=0,0,E27/C27)</f>
        <v>6.941432911424536E-2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615</v>
      </c>
      <c r="C28" s="361">
        <v>75909578</v>
      </c>
      <c r="D28" s="361">
        <v>73407846</v>
      </c>
      <c r="E28" s="361">
        <f t="shared" si="2"/>
        <v>-2501732</v>
      </c>
      <c r="F28" s="362">
        <f t="shared" si="3"/>
        <v>-3.2956737027308988E-2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616</v>
      </c>
      <c r="C29" s="366">
        <f>IF(C27=0,0,C28/C27)</f>
        <v>0.24677803172154664</v>
      </c>
      <c r="D29" s="366">
        <f>IF(LN_IA11=0,0,LN_IA12/LN_IA11)</f>
        <v>0.2231548863045843</v>
      </c>
      <c r="E29" s="367">
        <f t="shared" si="2"/>
        <v>-2.3623145416962338E-2</v>
      </c>
      <c r="F29" s="362">
        <f t="shared" si="3"/>
        <v>-9.5726289946333823E-2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617</v>
      </c>
      <c r="C30" s="366">
        <f>IF(C15=0,0,C27/C15)</f>
        <v>0.37121986177680216</v>
      </c>
      <c r="D30" s="366">
        <f>IF(LN_IA1=0,0,LN_IA11/LN_IA1)</f>
        <v>0.35537334887166167</v>
      </c>
      <c r="E30" s="367">
        <f t="shared" si="2"/>
        <v>-1.5846512905140497E-2</v>
      </c>
      <c r="F30" s="362">
        <f t="shared" si="3"/>
        <v>-4.268767524801325E-2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618</v>
      </c>
      <c r="C31" s="376">
        <f>C30*C18</f>
        <v>6222.3873231027583</v>
      </c>
      <c r="D31" s="376">
        <f>LN_IA14*LN_IA4</f>
        <v>6168.2152163654318</v>
      </c>
      <c r="E31" s="376">
        <f t="shared" si="2"/>
        <v>-54.17210673732643</v>
      </c>
      <c r="F31" s="362">
        <f t="shared" si="3"/>
        <v>-8.7060004343017684E-3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619</v>
      </c>
      <c r="C32" s="378">
        <f>IF(C31=0,0,C28/C31)</f>
        <v>12199.429906614703</v>
      </c>
      <c r="D32" s="378">
        <f>IF(LN_IA15=0,0,LN_IA12/LN_IA15)</f>
        <v>11900.986496910033</v>
      </c>
      <c r="E32" s="378">
        <f t="shared" si="2"/>
        <v>-298.44340970467056</v>
      </c>
      <c r="F32" s="362">
        <f t="shared" si="3"/>
        <v>-2.4463717730190845E-2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620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621</v>
      </c>
      <c r="C35" s="361">
        <f>C15+C27</f>
        <v>1136229267</v>
      </c>
      <c r="D35" s="361">
        <f>LN_IA1+LN_IA11</f>
        <v>1254614108</v>
      </c>
      <c r="E35" s="361">
        <f>D35-C35</f>
        <v>118384841</v>
      </c>
      <c r="F35" s="362">
        <f>IF(C35=0,0,E35/C35)</f>
        <v>0.10419098014661507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622</v>
      </c>
      <c r="C36" s="361">
        <f>C16+C28</f>
        <v>364716072</v>
      </c>
      <c r="D36" s="361">
        <f>LN_IA2+LN_IA12</f>
        <v>396592611</v>
      </c>
      <c r="E36" s="361">
        <f>D36-C36</f>
        <v>31876539</v>
      </c>
      <c r="F36" s="362">
        <f>IF(C36=0,0,E36/C36)</f>
        <v>8.7400971460341897E-2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623</v>
      </c>
      <c r="C37" s="361">
        <f>C35-C36</f>
        <v>771513195</v>
      </c>
      <c r="D37" s="361">
        <f>LN_IA17-LN_IA18</f>
        <v>858021497</v>
      </c>
      <c r="E37" s="361">
        <f>D37-C37</f>
        <v>86508302</v>
      </c>
      <c r="F37" s="362">
        <f>IF(C37=0,0,E37/C37)</f>
        <v>0.11212809134132826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624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625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605</v>
      </c>
      <c r="C42" s="361">
        <v>937631389</v>
      </c>
      <c r="D42" s="361">
        <v>996775285</v>
      </c>
      <c r="E42" s="361">
        <f t="shared" ref="E42:E53" si="4">D42-C42</f>
        <v>59143896</v>
      </c>
      <c r="F42" s="362">
        <f t="shared" ref="F42:F53" si="5">IF(C42=0,0,E42/C42)</f>
        <v>6.3077982130139626E-2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606</v>
      </c>
      <c r="C43" s="361">
        <v>355346824</v>
      </c>
      <c r="D43" s="361">
        <v>371533140</v>
      </c>
      <c r="E43" s="361">
        <f t="shared" si="4"/>
        <v>16186316</v>
      </c>
      <c r="F43" s="362">
        <f t="shared" si="5"/>
        <v>4.555075466215508E-2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607</v>
      </c>
      <c r="C44" s="366">
        <f>IF(C42=0,0,C43/C42)</f>
        <v>0.37898349838627254</v>
      </c>
      <c r="D44" s="366">
        <f>IF(LN_IB1=0,0,LN_IB2/LN_IB1)</f>
        <v>0.37273510448245112</v>
      </c>
      <c r="E44" s="367">
        <f t="shared" si="4"/>
        <v>-6.2483939038214253E-3</v>
      </c>
      <c r="F44" s="362">
        <f t="shared" si="5"/>
        <v>-1.6487245303363724E-2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23910</v>
      </c>
      <c r="D45" s="369">
        <v>23401</v>
      </c>
      <c r="E45" s="369">
        <f t="shared" si="4"/>
        <v>-509</v>
      </c>
      <c r="F45" s="362">
        <f t="shared" si="5"/>
        <v>-2.1288163948138854E-2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608</v>
      </c>
      <c r="C46" s="372">
        <v>1.2747999999999999</v>
      </c>
      <c r="D46" s="372">
        <v>1.2417</v>
      </c>
      <c r="E46" s="373">
        <f t="shared" si="4"/>
        <v>-3.3099999999999907E-2</v>
      </c>
      <c r="F46" s="362">
        <f t="shared" si="5"/>
        <v>-2.596485723250699E-2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609</v>
      </c>
      <c r="C47" s="376">
        <f>C45*C46</f>
        <v>30480.467999999997</v>
      </c>
      <c r="D47" s="376">
        <f>LN_IB4*LN_IB5</f>
        <v>29057.021700000001</v>
      </c>
      <c r="E47" s="376">
        <f t="shared" si="4"/>
        <v>-1423.446299999996</v>
      </c>
      <c r="F47" s="362">
        <f t="shared" si="5"/>
        <v>-4.6700277042990158E-2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610</v>
      </c>
      <c r="C48" s="378">
        <f>IF(C47=0,0,C43/C47)</f>
        <v>11658.181363881948</v>
      </c>
      <c r="D48" s="378">
        <f>IF(LN_IB6=0,0,LN_IB2/LN_IB6)</f>
        <v>12786.346234514462</v>
      </c>
      <c r="E48" s="378">
        <f t="shared" si="4"/>
        <v>1128.1648706325141</v>
      </c>
      <c r="F48" s="362">
        <f t="shared" si="5"/>
        <v>9.6770228170207251E-2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626</v>
      </c>
      <c r="C49" s="378">
        <f>C21-C48</f>
        <v>-1311.7963378252989</v>
      </c>
      <c r="D49" s="378">
        <f>LN_IA7-LN_IB7</f>
        <v>-1644.7404154206943</v>
      </c>
      <c r="E49" s="378">
        <f t="shared" si="4"/>
        <v>-332.94407759539536</v>
      </c>
      <c r="F49" s="362">
        <f t="shared" si="5"/>
        <v>0.25380775048309051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627</v>
      </c>
      <c r="C50" s="391">
        <f>C49*C47</f>
        <v>-39984166.297601208</v>
      </c>
      <c r="D50" s="391">
        <f>LN_IB8*LN_IB6</f>
        <v>-47791257.941746131</v>
      </c>
      <c r="E50" s="391">
        <f t="shared" si="4"/>
        <v>-7807091.6441449225</v>
      </c>
      <c r="F50" s="362">
        <f t="shared" si="5"/>
        <v>0.19525458117688194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104196</v>
      </c>
      <c r="D51" s="369">
        <v>97851</v>
      </c>
      <c r="E51" s="369">
        <f t="shared" si="4"/>
        <v>-6345</v>
      </c>
      <c r="F51" s="362">
        <f t="shared" si="5"/>
        <v>-6.0894852009674073E-2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611</v>
      </c>
      <c r="C52" s="378">
        <f>IF(C51=0,0,C43/C51)</f>
        <v>3410.369150447234</v>
      </c>
      <c r="D52" s="378">
        <f>IF(LN_IB10=0,0,LN_IB2/LN_IB10)</f>
        <v>3796.9273691633198</v>
      </c>
      <c r="E52" s="378">
        <f t="shared" si="4"/>
        <v>386.55821871608578</v>
      </c>
      <c r="F52" s="362">
        <f t="shared" si="5"/>
        <v>0.11334791093374533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612</v>
      </c>
      <c r="C53" s="379">
        <f>IF(C45=0,0,C51/C45)</f>
        <v>4.3578419071518191</v>
      </c>
      <c r="D53" s="379">
        <f>IF(LN_IB4=0,0,LN_IB10/LN_IB4)</f>
        <v>4.1814879705995471</v>
      </c>
      <c r="E53" s="379">
        <f t="shared" si="4"/>
        <v>-0.17635393655227194</v>
      </c>
      <c r="F53" s="362">
        <f t="shared" si="5"/>
        <v>-4.0468181340596779E-2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628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614</v>
      </c>
      <c r="C56" s="361">
        <v>660456962</v>
      </c>
      <c r="D56" s="361">
        <v>695687882</v>
      </c>
      <c r="E56" s="361">
        <f t="shared" ref="E56:E63" si="6">D56-C56</f>
        <v>35230920</v>
      </c>
      <c r="F56" s="362">
        <f t="shared" ref="F56:F63" si="7">IF(C56=0,0,E56/C56)</f>
        <v>5.3343248730868854E-2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615</v>
      </c>
      <c r="C57" s="361">
        <v>274465481</v>
      </c>
      <c r="D57" s="361">
        <v>314887575</v>
      </c>
      <c r="E57" s="361">
        <f t="shared" si="6"/>
        <v>40422094</v>
      </c>
      <c r="F57" s="362">
        <f t="shared" si="7"/>
        <v>0.14727569329565346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616</v>
      </c>
      <c r="C58" s="366">
        <f>IF(C56=0,0,C57/C56)</f>
        <v>0.41556906322686321</v>
      </c>
      <c r="D58" s="366">
        <f>IF(LN_IB13=0,0,LN_IB14/LN_IB13)</f>
        <v>0.45262765551520706</v>
      </c>
      <c r="E58" s="367">
        <f t="shared" si="6"/>
        <v>3.705859228834385E-2</v>
      </c>
      <c r="F58" s="362">
        <f t="shared" si="7"/>
        <v>8.9175531981583539E-2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617</v>
      </c>
      <c r="C59" s="366">
        <f>IF(C42=0,0,C56/C42)</f>
        <v>0.70438870727694891</v>
      </c>
      <c r="D59" s="366">
        <f>IF(LN_IB1=0,0,LN_IB13/LN_IB1)</f>
        <v>0.69793853486244894</v>
      </c>
      <c r="E59" s="367">
        <f t="shared" si="6"/>
        <v>-6.4501724144999661E-3</v>
      </c>
      <c r="F59" s="362">
        <f t="shared" si="7"/>
        <v>-9.1571207031913866E-3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618</v>
      </c>
      <c r="C60" s="376">
        <f>C59*C45</f>
        <v>16841.933990991849</v>
      </c>
      <c r="D60" s="376">
        <f>LN_IB16*LN_IB4</f>
        <v>16332.459654316168</v>
      </c>
      <c r="E60" s="376">
        <f t="shared" si="6"/>
        <v>-509.47433667568112</v>
      </c>
      <c r="F60" s="362">
        <f t="shared" si="7"/>
        <v>-3.0250346364507831E-2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619</v>
      </c>
      <c r="C61" s="378">
        <f>IF(C60=0,0,C57/C60)</f>
        <v>16296.553658671375</v>
      </c>
      <c r="D61" s="378">
        <f>IF(LN_IB17=0,0,LN_IB14/LN_IB17)</f>
        <v>19279.862412933307</v>
      </c>
      <c r="E61" s="378">
        <f t="shared" si="6"/>
        <v>2983.3087542619323</v>
      </c>
      <c r="F61" s="362">
        <f t="shared" si="7"/>
        <v>0.18306378248719585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629</v>
      </c>
      <c r="C62" s="378">
        <f>C32-C61</f>
        <v>-4097.1237520566719</v>
      </c>
      <c r="D62" s="378">
        <f>LN_IA16-LN_IB18</f>
        <v>-7378.8759160232748</v>
      </c>
      <c r="E62" s="378">
        <f t="shared" si="6"/>
        <v>-3281.7521639666029</v>
      </c>
      <c r="F62" s="362">
        <f t="shared" si="7"/>
        <v>0.80098927017257671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630</v>
      </c>
      <c r="C63" s="361">
        <f>C62*C60</f>
        <v>-69003487.785063326</v>
      </c>
      <c r="D63" s="361">
        <f>LN_IB19*LN_IB17</f>
        <v>-120515193.19265538</v>
      </c>
      <c r="E63" s="361">
        <f t="shared" si="6"/>
        <v>-51511705.407592058</v>
      </c>
      <c r="F63" s="362">
        <f t="shared" si="7"/>
        <v>0.746508720951094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631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621</v>
      </c>
      <c r="C66" s="361">
        <f>C42+C56</f>
        <v>1598088351</v>
      </c>
      <c r="D66" s="361">
        <f>LN_IB1+LN_IB13</f>
        <v>1692463167</v>
      </c>
      <c r="E66" s="361">
        <f>D66-C66</f>
        <v>94374816</v>
      </c>
      <c r="F66" s="362">
        <f>IF(C66=0,0,E66/C66)</f>
        <v>5.9054817551823832E-2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622</v>
      </c>
      <c r="C67" s="361">
        <f>C43+C57</f>
        <v>629812305</v>
      </c>
      <c r="D67" s="361">
        <f>LN_IB2+LN_IB14</f>
        <v>686420715</v>
      </c>
      <c r="E67" s="361">
        <f>D67-C67</f>
        <v>56608410</v>
      </c>
      <c r="F67" s="362">
        <f>IF(C67=0,0,E67/C67)</f>
        <v>8.9881397283909842E-2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623</v>
      </c>
      <c r="C68" s="361">
        <f>C66-C67</f>
        <v>968276046</v>
      </c>
      <c r="D68" s="361">
        <f>LN_IB21-LN_IB22</f>
        <v>1006042452</v>
      </c>
      <c r="E68" s="361">
        <f>D68-C68</f>
        <v>37766406</v>
      </c>
      <c r="F68" s="362">
        <f>IF(C68=0,0,E68/C68)</f>
        <v>3.9003759471294405E-2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632</v>
      </c>
      <c r="C70" s="353">
        <f>C50+C63</f>
        <v>-108987654.08266453</v>
      </c>
      <c r="D70" s="353">
        <f>LN_IB9+LN_IB20</f>
        <v>-168306451.1344015</v>
      </c>
      <c r="E70" s="361">
        <f>D70-C70</f>
        <v>-59318797.051736966</v>
      </c>
      <c r="F70" s="362">
        <f>IF(C70=0,0,E70/C70)</f>
        <v>0.5442707942566144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633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634</v>
      </c>
      <c r="C73" s="400">
        <v>1470510479</v>
      </c>
      <c r="D73" s="400">
        <v>1566246297</v>
      </c>
      <c r="E73" s="400">
        <f>D73-C73</f>
        <v>95735818</v>
      </c>
      <c r="F73" s="401">
        <f>IF(C73=0,0,E73/C73)</f>
        <v>6.5103798556473941E-2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635</v>
      </c>
      <c r="C74" s="400">
        <v>656779736</v>
      </c>
      <c r="D74" s="400">
        <v>714995462</v>
      </c>
      <c r="E74" s="400">
        <f>D74-C74</f>
        <v>58215726</v>
      </c>
      <c r="F74" s="401">
        <f>IF(C74=0,0,E74/C74)</f>
        <v>8.863812753199804E-2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636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637</v>
      </c>
      <c r="C76" s="353">
        <f>C73-C74</f>
        <v>813730743</v>
      </c>
      <c r="D76" s="353">
        <f>LN_IB32-LN_IB33</f>
        <v>851250835</v>
      </c>
      <c r="E76" s="400">
        <f>D76-C76</f>
        <v>37520092</v>
      </c>
      <c r="F76" s="401">
        <f>IF(C76=0,0,E76/C76)</f>
        <v>4.6108731079366382E-2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638</v>
      </c>
      <c r="C77" s="366">
        <f>IF(C73=0,0,C76/C73)</f>
        <v>0.55336616407750194</v>
      </c>
      <c r="D77" s="366">
        <f>IF(LN_IB1=0,0,LN_IB34/LN_IB32)</f>
        <v>0.54349742861674588</v>
      </c>
      <c r="E77" s="405">
        <f>D77-C77</f>
        <v>-9.8687354607560618E-3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639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640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605</v>
      </c>
      <c r="C83" s="361">
        <v>47689294</v>
      </c>
      <c r="D83" s="361">
        <v>51128104</v>
      </c>
      <c r="E83" s="361">
        <f t="shared" ref="E83:E95" si="8">D83-C83</f>
        <v>3438810</v>
      </c>
      <c r="F83" s="362">
        <f t="shared" ref="F83:F95" si="9">IF(C83=0,0,E83/C83)</f>
        <v>7.2108637213207649E-2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606</v>
      </c>
      <c r="C84" s="361">
        <v>2265747</v>
      </c>
      <c r="D84" s="361">
        <v>2292001</v>
      </c>
      <c r="E84" s="361">
        <f t="shared" si="8"/>
        <v>26254</v>
      </c>
      <c r="F84" s="362">
        <f t="shared" si="9"/>
        <v>1.1587348455056986E-2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607</v>
      </c>
      <c r="C85" s="366">
        <f>IF(C83=0,0,C84/C83)</f>
        <v>4.7510600597274515E-2</v>
      </c>
      <c r="D85" s="366">
        <f>IF(LN_IC1=0,0,LN_IC2/LN_IC1)</f>
        <v>4.482859368303585E-2</v>
      </c>
      <c r="E85" s="367">
        <f t="shared" si="8"/>
        <v>-2.6820069142386646E-3</v>
      </c>
      <c r="F85" s="362">
        <f t="shared" si="9"/>
        <v>-5.6450705327276376E-2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1533</v>
      </c>
      <c r="D86" s="369">
        <v>1436</v>
      </c>
      <c r="E86" s="369">
        <f t="shared" si="8"/>
        <v>-97</v>
      </c>
      <c r="F86" s="362">
        <f t="shared" si="9"/>
        <v>-6.3274624918460531E-2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608</v>
      </c>
      <c r="C87" s="372">
        <v>1.2775000000000001</v>
      </c>
      <c r="D87" s="372">
        <v>1.3184</v>
      </c>
      <c r="E87" s="373">
        <f t="shared" si="8"/>
        <v>4.0899999999999936E-2</v>
      </c>
      <c r="F87" s="362">
        <f t="shared" si="9"/>
        <v>3.2015655577299358E-2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609</v>
      </c>
      <c r="C88" s="376">
        <f>C86*C87</f>
        <v>1958.4075</v>
      </c>
      <c r="D88" s="376">
        <f>LN_IC4*LN_IC5</f>
        <v>1893.2224000000001</v>
      </c>
      <c r="E88" s="376">
        <f t="shared" si="8"/>
        <v>-65.18509999999992</v>
      </c>
      <c r="F88" s="362">
        <f t="shared" si="9"/>
        <v>-3.3284747939333323E-2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610</v>
      </c>
      <c r="C89" s="378">
        <f>IF(C88=0,0,C84/C88)</f>
        <v>1156.9333757147069</v>
      </c>
      <c r="D89" s="378">
        <f>IF(LN_IC6=0,0,LN_IC2/LN_IC6)</f>
        <v>1210.6348414216945</v>
      </c>
      <c r="E89" s="378">
        <f t="shared" si="8"/>
        <v>53.701465706987619</v>
      </c>
      <c r="F89" s="362">
        <f t="shared" si="9"/>
        <v>4.6417077105942263E-2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641</v>
      </c>
      <c r="C90" s="378">
        <f>C48-C89</f>
        <v>10501.247988167241</v>
      </c>
      <c r="D90" s="378">
        <f>LN_IB7-LN_IC7</f>
        <v>11575.711393092766</v>
      </c>
      <c r="E90" s="378">
        <f t="shared" si="8"/>
        <v>1074.4634049255255</v>
      </c>
      <c r="F90" s="362">
        <f t="shared" si="9"/>
        <v>0.1023176870155077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642</v>
      </c>
      <c r="C91" s="378">
        <f>C21-C89</f>
        <v>9189.4516503419418</v>
      </c>
      <c r="D91" s="378">
        <f>LN_IA7-LN_IC7</f>
        <v>9930.9709776720738</v>
      </c>
      <c r="E91" s="378">
        <f t="shared" si="8"/>
        <v>741.519327330132</v>
      </c>
      <c r="F91" s="362">
        <f t="shared" si="9"/>
        <v>8.0692445593588805E-2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627</v>
      </c>
      <c r="C92" s="353">
        <f>C91*C88</f>
        <v>17996691.032917038</v>
      </c>
      <c r="D92" s="353">
        <f>LN_IC9*LN_IC6</f>
        <v>18801536.70867867</v>
      </c>
      <c r="E92" s="353">
        <f t="shared" si="8"/>
        <v>804845.67576163262</v>
      </c>
      <c r="F92" s="362">
        <f t="shared" si="9"/>
        <v>4.472186994206441E-2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6345</v>
      </c>
      <c r="D93" s="369">
        <v>5967</v>
      </c>
      <c r="E93" s="369">
        <f t="shared" si="8"/>
        <v>-378</v>
      </c>
      <c r="F93" s="362">
        <f t="shared" si="9"/>
        <v>-5.9574468085106386E-2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611</v>
      </c>
      <c r="C94" s="411">
        <f>IF(C93=0,0,C84/C93)</f>
        <v>357.09172576832151</v>
      </c>
      <c r="D94" s="411">
        <f>IF(LN_IC11=0,0,LN_IC2/LN_IC11)</f>
        <v>384.11278699513991</v>
      </c>
      <c r="E94" s="411">
        <f t="shared" si="8"/>
        <v>27.021061226818404</v>
      </c>
      <c r="F94" s="362">
        <f t="shared" si="9"/>
        <v>7.5669804918273215E-2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612</v>
      </c>
      <c r="C95" s="379">
        <f>IF(C86=0,0,C93/C86)</f>
        <v>4.1389432485322892</v>
      </c>
      <c r="D95" s="379">
        <f>IF(LN_IC4=0,0,LN_IC11/LN_IC4)</f>
        <v>4.1552924791086348</v>
      </c>
      <c r="E95" s="379">
        <f t="shared" si="8"/>
        <v>1.6349230576345519E-2</v>
      </c>
      <c r="F95" s="362">
        <f t="shared" si="9"/>
        <v>3.9500977893676412E-3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643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614</v>
      </c>
      <c r="C98" s="361">
        <v>61677977</v>
      </c>
      <c r="D98" s="361">
        <v>54157729</v>
      </c>
      <c r="E98" s="361">
        <f t="shared" ref="E98:E106" si="10">D98-C98</f>
        <v>-7520248</v>
      </c>
      <c r="F98" s="362">
        <f t="shared" ref="F98:F106" si="11">IF(C98=0,0,E98/C98)</f>
        <v>-0.12192760472672443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615</v>
      </c>
      <c r="C99" s="361">
        <v>16658247</v>
      </c>
      <c r="D99" s="361">
        <v>17830957</v>
      </c>
      <c r="E99" s="361">
        <f t="shared" si="10"/>
        <v>1172710</v>
      </c>
      <c r="F99" s="362">
        <f t="shared" si="11"/>
        <v>7.0398163744360379E-2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616</v>
      </c>
      <c r="C100" s="366">
        <f>IF(C98=0,0,C99/C98)</f>
        <v>0.27008419877325096</v>
      </c>
      <c r="D100" s="366">
        <f>IF(LN_IC14=0,0,LN_IC15/LN_IC14)</f>
        <v>0.32924122427659402</v>
      </c>
      <c r="E100" s="367">
        <f t="shared" si="10"/>
        <v>5.9157025503343064E-2</v>
      </c>
      <c r="F100" s="362">
        <f t="shared" si="11"/>
        <v>0.21903178998267986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617</v>
      </c>
      <c r="C101" s="366">
        <f>IF(C83=0,0,C98/C83)</f>
        <v>1.2933296307552802</v>
      </c>
      <c r="D101" s="366">
        <f>IF(LN_IC1=0,0,LN_IC14/LN_IC1)</f>
        <v>1.0592555710651816</v>
      </c>
      <c r="E101" s="367">
        <f t="shared" si="10"/>
        <v>-0.23407405969009853</v>
      </c>
      <c r="F101" s="362">
        <f t="shared" si="11"/>
        <v>-0.18098561582742342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618</v>
      </c>
      <c r="C102" s="376">
        <f>C101*C86</f>
        <v>1982.6743239478444</v>
      </c>
      <c r="D102" s="376">
        <f>LN_IC17*LN_IC4</f>
        <v>1521.0910000496008</v>
      </c>
      <c r="E102" s="376">
        <f t="shared" si="10"/>
        <v>-461.58332389824363</v>
      </c>
      <c r="F102" s="362">
        <f t="shared" si="11"/>
        <v>-0.23280844378876714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619</v>
      </c>
      <c r="C103" s="378">
        <f>IF(C102=0,0,C99/C102)</f>
        <v>8401.9078669615155</v>
      </c>
      <c r="D103" s="378">
        <f>IF(LN_IC18=0,0,LN_IC15/LN_IC18)</f>
        <v>11722.478799373974</v>
      </c>
      <c r="E103" s="378">
        <f t="shared" si="10"/>
        <v>3320.5709324124582</v>
      </c>
      <c r="F103" s="362">
        <f t="shared" si="11"/>
        <v>0.39521629908247458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644</v>
      </c>
      <c r="C104" s="378">
        <f>C61-C103</f>
        <v>7894.6457917098596</v>
      </c>
      <c r="D104" s="378">
        <f>LN_IB18-LN_IC19</f>
        <v>7557.3836135593338</v>
      </c>
      <c r="E104" s="378">
        <f t="shared" si="10"/>
        <v>-337.26217815052587</v>
      </c>
      <c r="F104" s="362">
        <f t="shared" si="11"/>
        <v>-4.2720368595217245E-2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645</v>
      </c>
      <c r="C105" s="378">
        <f>C32-C103</f>
        <v>3797.5220396531877</v>
      </c>
      <c r="D105" s="378">
        <f>LN_IA16-LN_IC19</f>
        <v>178.50769753605891</v>
      </c>
      <c r="E105" s="378">
        <f t="shared" si="10"/>
        <v>-3619.0143421171288</v>
      </c>
      <c r="F105" s="362">
        <f t="shared" si="11"/>
        <v>-0.9529936375162259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630</v>
      </c>
      <c r="C106" s="361">
        <f>C105*C102</f>
        <v>7529249.4426464234</v>
      </c>
      <c r="D106" s="361">
        <f>LN_IC21*LN_IC18</f>
        <v>271526.45216167549</v>
      </c>
      <c r="E106" s="361">
        <f t="shared" si="10"/>
        <v>-7257722.990484748</v>
      </c>
      <c r="F106" s="362">
        <f t="shared" si="11"/>
        <v>-0.96393711561424411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646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621</v>
      </c>
      <c r="C109" s="361">
        <f>C83+C98</f>
        <v>109367271</v>
      </c>
      <c r="D109" s="361">
        <f>LN_IC1+LN_IC14</f>
        <v>105285833</v>
      </c>
      <c r="E109" s="361">
        <f>D109-C109</f>
        <v>-4081438</v>
      </c>
      <c r="F109" s="362">
        <f>IF(C109=0,0,E109/C109)</f>
        <v>-3.7318641698575433E-2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622</v>
      </c>
      <c r="C110" s="361">
        <f>C84+C99</f>
        <v>18923994</v>
      </c>
      <c r="D110" s="361">
        <f>LN_IC2+LN_IC15</f>
        <v>20122958</v>
      </c>
      <c r="E110" s="361">
        <f>D110-C110</f>
        <v>1198964</v>
      </c>
      <c r="F110" s="362">
        <f>IF(C110=0,0,E110/C110)</f>
        <v>6.335681569123304E-2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623</v>
      </c>
      <c r="C111" s="361">
        <f>C109-C110</f>
        <v>90443277</v>
      </c>
      <c r="D111" s="361">
        <f>LN_IC23-LN_IC24</f>
        <v>85162875</v>
      </c>
      <c r="E111" s="361">
        <f>D111-C111</f>
        <v>-5280402</v>
      </c>
      <c r="F111" s="362">
        <f>IF(C111=0,0,E111/C111)</f>
        <v>-5.8383576702998055E-2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632</v>
      </c>
      <c r="C113" s="361">
        <f>C92+C106</f>
        <v>25525940.475563459</v>
      </c>
      <c r="D113" s="361">
        <f>LN_IC10+LN_IC22</f>
        <v>19073063.160840347</v>
      </c>
      <c r="E113" s="361">
        <f>D113-C113</f>
        <v>-6452877.3147231117</v>
      </c>
      <c r="F113" s="362">
        <f>IF(C113=0,0,E113/C113)</f>
        <v>-0.25279684879390019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647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648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605</v>
      </c>
      <c r="C118" s="361">
        <v>475067233</v>
      </c>
      <c r="D118" s="361">
        <v>553272849</v>
      </c>
      <c r="E118" s="361">
        <f t="shared" ref="E118:E130" si="12">D118-C118</f>
        <v>78205616</v>
      </c>
      <c r="F118" s="362">
        <f t="shared" ref="F118:F130" si="13">IF(C118=0,0,E118/C118)</f>
        <v>0.16462010125627841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606</v>
      </c>
      <c r="C119" s="361">
        <v>85102278</v>
      </c>
      <c r="D119" s="361">
        <v>96997730</v>
      </c>
      <c r="E119" s="361">
        <f t="shared" si="12"/>
        <v>11895452</v>
      </c>
      <c r="F119" s="362">
        <f t="shared" si="13"/>
        <v>0.1397783029967776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607</v>
      </c>
      <c r="C120" s="366">
        <f>IF(C118=0,0,C119/C118)</f>
        <v>0.17913733486224254</v>
      </c>
      <c r="D120" s="366">
        <f>IF(LN_ID1=0,0,LN_1D2/LN_ID1)</f>
        <v>0.17531626606170223</v>
      </c>
      <c r="E120" s="367">
        <f t="shared" si="12"/>
        <v>-3.8210688005403115E-3</v>
      </c>
      <c r="F120" s="362">
        <f t="shared" si="13"/>
        <v>-2.1330387679814104E-2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10822</v>
      </c>
      <c r="D121" s="369">
        <v>12396</v>
      </c>
      <c r="E121" s="369">
        <f t="shared" si="12"/>
        <v>1574</v>
      </c>
      <c r="F121" s="362">
        <f t="shared" si="13"/>
        <v>0.145444464978747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608</v>
      </c>
      <c r="C122" s="372">
        <v>1.1298999999999999</v>
      </c>
      <c r="D122" s="372">
        <v>1.1359999999999999</v>
      </c>
      <c r="E122" s="373">
        <f t="shared" si="12"/>
        <v>6.0999999999999943E-3</v>
      </c>
      <c r="F122" s="362">
        <f t="shared" si="13"/>
        <v>5.3987078502522297E-3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609</v>
      </c>
      <c r="C123" s="376">
        <f>C121*C122</f>
        <v>12227.7778</v>
      </c>
      <c r="D123" s="376">
        <f>LN_ID4*LN_ID5</f>
        <v>14081.855999999998</v>
      </c>
      <c r="E123" s="376">
        <f t="shared" si="12"/>
        <v>1854.0781999999981</v>
      </c>
      <c r="F123" s="362">
        <f t="shared" si="13"/>
        <v>0.15162838500385559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610</v>
      </c>
      <c r="C124" s="378">
        <f>IF(C123=0,0,C119/C123)</f>
        <v>6959.75011910995</v>
      </c>
      <c r="D124" s="378">
        <f>IF(LN_ID6=0,0,LN_1D2/LN_ID6)</f>
        <v>6888.1353423866867</v>
      </c>
      <c r="E124" s="378">
        <f t="shared" si="12"/>
        <v>-71.614776723263276</v>
      </c>
      <c r="F124" s="362">
        <f t="shared" si="13"/>
        <v>-1.0289848844806193E-2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649</v>
      </c>
      <c r="C125" s="378">
        <f>C48-C124</f>
        <v>4698.4312447719976</v>
      </c>
      <c r="D125" s="378">
        <f>LN_IB7-LN_ID7</f>
        <v>5898.210892127775</v>
      </c>
      <c r="E125" s="378">
        <f t="shared" si="12"/>
        <v>1199.7796473557773</v>
      </c>
      <c r="F125" s="362">
        <f t="shared" si="13"/>
        <v>0.25535749803528296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650</v>
      </c>
      <c r="C126" s="378">
        <f>C21-C124</f>
        <v>3386.6349069466987</v>
      </c>
      <c r="D126" s="378">
        <f>LN_IA7-LN_ID7</f>
        <v>4253.4704767070807</v>
      </c>
      <c r="E126" s="378">
        <f t="shared" si="12"/>
        <v>866.83556976038199</v>
      </c>
      <c r="F126" s="362">
        <f t="shared" si="13"/>
        <v>0.25595778511061834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627</v>
      </c>
      <c r="C127" s="391">
        <f>C126*C123</f>
        <v>41411019.131867908</v>
      </c>
      <c r="D127" s="391">
        <f>LN_ID9*LN_ID6</f>
        <v>59896758.753240459</v>
      </c>
      <c r="E127" s="391">
        <f t="shared" si="12"/>
        <v>18485739.621372551</v>
      </c>
      <c r="F127" s="362">
        <f t="shared" si="13"/>
        <v>0.44639663569996091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59098</v>
      </c>
      <c r="D128" s="369">
        <v>70465</v>
      </c>
      <c r="E128" s="369">
        <f t="shared" si="12"/>
        <v>11367</v>
      </c>
      <c r="F128" s="362">
        <f t="shared" si="13"/>
        <v>0.19234153440048732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611</v>
      </c>
      <c r="C129" s="378">
        <f>IF(C128=0,0,C119/C128)</f>
        <v>1440.0195945717282</v>
      </c>
      <c r="D129" s="378">
        <f>IF(LN_ID11=0,0,LN_1D2/LN_ID11)</f>
        <v>1376.5377137586036</v>
      </c>
      <c r="E129" s="378">
        <f t="shared" si="12"/>
        <v>-63.48188081312469</v>
      </c>
      <c r="F129" s="362">
        <f t="shared" si="13"/>
        <v>-4.4084039586978423E-2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612</v>
      </c>
      <c r="C130" s="379">
        <f>IF(C121=0,0,C128/C121)</f>
        <v>5.4609129550914801</v>
      </c>
      <c r="D130" s="379">
        <f>IF(LN_ID4=0,0,LN_ID11/LN_ID4)</f>
        <v>5.684494998386576</v>
      </c>
      <c r="E130" s="379">
        <f t="shared" si="12"/>
        <v>0.2235820432950959</v>
      </c>
      <c r="F130" s="362">
        <f t="shared" si="13"/>
        <v>4.0942246311880738E-2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651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614</v>
      </c>
      <c r="C133" s="361">
        <v>147283576</v>
      </c>
      <c r="D133" s="361">
        <v>201168572</v>
      </c>
      <c r="E133" s="361">
        <f t="shared" ref="E133:E141" si="14">D133-C133</f>
        <v>53884996</v>
      </c>
      <c r="F133" s="362">
        <f t="shared" ref="F133:F141" si="15">IF(C133=0,0,E133/C133)</f>
        <v>0.36585882461191738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615</v>
      </c>
      <c r="C134" s="361">
        <v>45582372</v>
      </c>
      <c r="D134" s="361">
        <v>54137060</v>
      </c>
      <c r="E134" s="361">
        <f t="shared" si="14"/>
        <v>8554688</v>
      </c>
      <c r="F134" s="362">
        <f t="shared" si="15"/>
        <v>0.18767535836002566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616</v>
      </c>
      <c r="C135" s="366">
        <f>IF(C133=0,0,C134/C133)</f>
        <v>0.30948713521187182</v>
      </c>
      <c r="D135" s="366">
        <f>IF(LN_ID14=0,0,LN_ID15/LN_ID14)</f>
        <v>0.26911291093720147</v>
      </c>
      <c r="E135" s="367">
        <f t="shared" si="14"/>
        <v>-4.0374224274670356E-2</v>
      </c>
      <c r="F135" s="362">
        <f t="shared" si="15"/>
        <v>-0.13045525865568067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617</v>
      </c>
      <c r="C136" s="366">
        <f>IF(C118=0,0,C133/C118)</f>
        <v>0.31002680414289907</v>
      </c>
      <c r="D136" s="366">
        <f>IF(LN_ID1=0,0,LN_ID14/LN_ID1)</f>
        <v>0.36359740472281876</v>
      </c>
      <c r="E136" s="367">
        <f t="shared" si="14"/>
        <v>5.3570600579919692E-2</v>
      </c>
      <c r="F136" s="362">
        <f t="shared" si="15"/>
        <v>0.17279344838592622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618</v>
      </c>
      <c r="C137" s="376">
        <f>C136*C121</f>
        <v>3355.110074434454</v>
      </c>
      <c r="D137" s="376">
        <f>LN_ID17*LN_ID4</f>
        <v>4507.1534289440615</v>
      </c>
      <c r="E137" s="376">
        <f t="shared" si="14"/>
        <v>1152.0433545096075</v>
      </c>
      <c r="F137" s="362">
        <f t="shared" si="15"/>
        <v>0.34336976401699693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619</v>
      </c>
      <c r="C138" s="378">
        <f>IF(C137=0,0,C134/C137)</f>
        <v>13585.954257457106</v>
      </c>
      <c r="D138" s="378">
        <f>IF(LN_ID18=0,0,LN_ID15/LN_ID18)</f>
        <v>12011.363902622517</v>
      </c>
      <c r="E138" s="378">
        <f t="shared" si="14"/>
        <v>-1574.5903548345887</v>
      </c>
      <c r="F138" s="362">
        <f t="shared" si="15"/>
        <v>-0.11589839955263517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652</v>
      </c>
      <c r="C139" s="378">
        <f>C61-C138</f>
        <v>2710.5994012142692</v>
      </c>
      <c r="D139" s="378">
        <f>LN_IB18-LN_ID19</f>
        <v>7268.4985103107902</v>
      </c>
      <c r="E139" s="378">
        <f t="shared" si="14"/>
        <v>4557.899109096521</v>
      </c>
      <c r="F139" s="362">
        <f t="shared" si="15"/>
        <v>1.6815096716448457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653</v>
      </c>
      <c r="C140" s="378">
        <f>C32-C138</f>
        <v>-1386.5243508424028</v>
      </c>
      <c r="D140" s="378">
        <f>LN_IA16-LN_ID19</f>
        <v>-110.37740571248469</v>
      </c>
      <c r="E140" s="378">
        <f t="shared" si="14"/>
        <v>1276.1469451299181</v>
      </c>
      <c r="F140" s="362">
        <f t="shared" si="15"/>
        <v>-0.92039273912108122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630</v>
      </c>
      <c r="C141" s="353">
        <f>C140*C137</f>
        <v>-4651941.8179600369</v>
      </c>
      <c r="D141" s="353">
        <f>LN_ID21*LN_ID18</f>
        <v>-497487.90263497521</v>
      </c>
      <c r="E141" s="353">
        <f t="shared" si="14"/>
        <v>4154453.9153250619</v>
      </c>
      <c r="F141" s="362">
        <f t="shared" si="15"/>
        <v>-0.89305801273904739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654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621</v>
      </c>
      <c r="C144" s="361">
        <f>C118+C133</f>
        <v>622350809</v>
      </c>
      <c r="D144" s="361">
        <f>LN_ID1+LN_ID14</f>
        <v>754441421</v>
      </c>
      <c r="E144" s="361">
        <f>D144-C144</f>
        <v>132090612</v>
      </c>
      <c r="F144" s="362">
        <f>IF(C144=0,0,E144/C144)</f>
        <v>0.21224462166642738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622</v>
      </c>
      <c r="C145" s="361">
        <f>C119+C134</f>
        <v>130684650</v>
      </c>
      <c r="D145" s="361">
        <f>LN_1D2+LN_ID15</f>
        <v>151134790</v>
      </c>
      <c r="E145" s="361">
        <f>D145-C145</f>
        <v>20450140</v>
      </c>
      <c r="F145" s="362">
        <f>IF(C145=0,0,E145/C145)</f>
        <v>0.15648463687204273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623</v>
      </c>
      <c r="C146" s="361">
        <f>C144-C145</f>
        <v>491666159</v>
      </c>
      <c r="D146" s="361">
        <f>LN_ID23-LN_ID24</f>
        <v>603306631</v>
      </c>
      <c r="E146" s="361">
        <f>D146-C146</f>
        <v>111640472</v>
      </c>
      <c r="F146" s="362">
        <f>IF(C146=0,0,E146/C146)</f>
        <v>0.22706560123451572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632</v>
      </c>
      <c r="C148" s="361">
        <f>C127+C141</f>
        <v>36759077.313907869</v>
      </c>
      <c r="D148" s="361">
        <f>LN_ID10+LN_ID22</f>
        <v>59399270.85060548</v>
      </c>
      <c r="E148" s="361">
        <f>D148-C148</f>
        <v>22640193.536697611</v>
      </c>
      <c r="F148" s="415">
        <f>IF(C148=0,0,E148/C148)</f>
        <v>0.61590755783556217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655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656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605</v>
      </c>
      <c r="C153" s="361">
        <v>105510597</v>
      </c>
      <c r="D153" s="361">
        <v>134657674</v>
      </c>
      <c r="E153" s="361">
        <f t="shared" ref="E153:E165" si="16">D153-C153</f>
        <v>29147077</v>
      </c>
      <c r="F153" s="362">
        <f t="shared" ref="F153:F165" si="17">IF(C153=0,0,E153/C153)</f>
        <v>0.27624786352028696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606</v>
      </c>
      <c r="C154" s="361">
        <v>12917081</v>
      </c>
      <c r="D154" s="361">
        <v>21404615</v>
      </c>
      <c r="E154" s="361">
        <f t="shared" si="16"/>
        <v>8487534</v>
      </c>
      <c r="F154" s="362">
        <f t="shared" si="17"/>
        <v>0.65707832907450225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607</v>
      </c>
      <c r="C155" s="366">
        <f>IF(C153=0,0,C154/C153)</f>
        <v>0.12242448974106364</v>
      </c>
      <c r="D155" s="366">
        <f>IF(LN_IE1=0,0,LN_IE2/LN_IE1)</f>
        <v>0.15895577551710866</v>
      </c>
      <c r="E155" s="367">
        <f t="shared" si="16"/>
        <v>3.6531285776045017E-2</v>
      </c>
      <c r="F155" s="362">
        <f t="shared" si="17"/>
        <v>0.29839851367411246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2609</v>
      </c>
      <c r="D156" s="419">
        <v>3125</v>
      </c>
      <c r="E156" s="419">
        <f t="shared" si="16"/>
        <v>516</v>
      </c>
      <c r="F156" s="362">
        <f t="shared" si="17"/>
        <v>0.19777692602529706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608</v>
      </c>
      <c r="C157" s="372">
        <v>1.2302</v>
      </c>
      <c r="D157" s="372">
        <v>1.1940999999999999</v>
      </c>
      <c r="E157" s="373">
        <f t="shared" si="16"/>
        <v>-3.6100000000000021E-2</v>
      </c>
      <c r="F157" s="362">
        <f t="shared" si="17"/>
        <v>-2.9344821980165844E-2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609</v>
      </c>
      <c r="C158" s="376">
        <f>C156*C157</f>
        <v>3209.5917999999997</v>
      </c>
      <c r="D158" s="376">
        <f>LN_IE4*LN_IE5</f>
        <v>3731.5625</v>
      </c>
      <c r="E158" s="376">
        <f t="shared" si="16"/>
        <v>521.97070000000031</v>
      </c>
      <c r="F158" s="362">
        <f t="shared" si="17"/>
        <v>0.16262837535913457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610</v>
      </c>
      <c r="C159" s="378">
        <f>IF(C158=0,0,C154/C158)</f>
        <v>4024.5245516890968</v>
      </c>
      <c r="D159" s="378">
        <f>IF(LN_IE6=0,0,LN_IE2/LN_IE6)</f>
        <v>5736.0998241353318</v>
      </c>
      <c r="E159" s="378">
        <f t="shared" si="16"/>
        <v>1711.575272446235</v>
      </c>
      <c r="F159" s="362">
        <f t="shared" si="17"/>
        <v>0.42528632897217267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657</v>
      </c>
      <c r="C160" s="378">
        <f>C48-C159</f>
        <v>7633.6568121928503</v>
      </c>
      <c r="D160" s="378">
        <f>LN_IB7-LN_IE7</f>
        <v>7050.2464103791299</v>
      </c>
      <c r="E160" s="378">
        <f t="shared" si="16"/>
        <v>-583.41040181372045</v>
      </c>
      <c r="F160" s="362">
        <f t="shared" si="17"/>
        <v>-7.6426071562697026E-2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658</v>
      </c>
      <c r="C161" s="378">
        <f>C21-C159</f>
        <v>6321.8604743675514</v>
      </c>
      <c r="D161" s="378">
        <f>LN_IA7-LN_IE7</f>
        <v>5405.5059949584356</v>
      </c>
      <c r="E161" s="378">
        <f t="shared" si="16"/>
        <v>-916.35447940911581</v>
      </c>
      <c r="F161" s="362">
        <f t="shared" si="17"/>
        <v>-0.14495012712231509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627</v>
      </c>
      <c r="C162" s="391">
        <f>C161*C158</f>
        <v>20290591.539274201</v>
      </c>
      <c r="D162" s="391">
        <f>LN_IE9*LN_IE6</f>
        <v>20170983.464312088</v>
      </c>
      <c r="E162" s="391">
        <f t="shared" si="16"/>
        <v>-119608.07496211305</v>
      </c>
      <c r="F162" s="362">
        <f t="shared" si="17"/>
        <v>-5.8947554451826232E-3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14399</v>
      </c>
      <c r="D163" s="369">
        <v>16469</v>
      </c>
      <c r="E163" s="419">
        <f t="shared" si="16"/>
        <v>2070</v>
      </c>
      <c r="F163" s="362">
        <f t="shared" si="17"/>
        <v>0.14375998333217585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611</v>
      </c>
      <c r="C164" s="378">
        <f>IF(C163=0,0,C154/C163)</f>
        <v>897.08181123689144</v>
      </c>
      <c r="D164" s="378">
        <f>IF(LN_IE11=0,0,LN_IE2/LN_IE11)</f>
        <v>1299.6912380836723</v>
      </c>
      <c r="E164" s="378">
        <f t="shared" si="16"/>
        <v>402.60942684678082</v>
      </c>
      <c r="F164" s="362">
        <f t="shared" si="17"/>
        <v>0.44879900785377108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612</v>
      </c>
      <c r="C165" s="379">
        <f>IF(C156=0,0,C163/C156)</f>
        <v>5.5189727865082405</v>
      </c>
      <c r="D165" s="379">
        <f>IF(LN_IE4=0,0,LN_IE11/LN_IE4)</f>
        <v>5.2700800000000001</v>
      </c>
      <c r="E165" s="379">
        <f t="shared" si="16"/>
        <v>-0.24889278650824043</v>
      </c>
      <c r="F165" s="362">
        <f t="shared" si="17"/>
        <v>-4.5097665115632984E-2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659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614</v>
      </c>
      <c r="C168" s="424">
        <v>36281683</v>
      </c>
      <c r="D168" s="424">
        <v>42816317</v>
      </c>
      <c r="E168" s="424">
        <f t="shared" ref="E168:E176" si="18">D168-C168</f>
        <v>6534634</v>
      </c>
      <c r="F168" s="362">
        <f t="shared" ref="F168:F176" si="19">IF(C168=0,0,E168/C168)</f>
        <v>0.18010834833654216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615</v>
      </c>
      <c r="C169" s="424">
        <v>7619154</v>
      </c>
      <c r="D169" s="424">
        <v>8339594</v>
      </c>
      <c r="E169" s="424">
        <f t="shared" si="18"/>
        <v>720440</v>
      </c>
      <c r="F169" s="362">
        <f t="shared" si="19"/>
        <v>9.4556429755849533E-2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616</v>
      </c>
      <c r="C170" s="366">
        <f>IF(C168=0,0,C169/C168)</f>
        <v>0.21000001571040683</v>
      </c>
      <c r="D170" s="366">
        <f>IF(LN_IE14=0,0,LN_IE15/LN_IE14)</f>
        <v>0.19477607100115593</v>
      </c>
      <c r="E170" s="367">
        <f t="shared" si="18"/>
        <v>-1.5223944709250897E-2</v>
      </c>
      <c r="F170" s="362">
        <f t="shared" si="19"/>
        <v>-7.2494969382502078E-2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617</v>
      </c>
      <c r="C171" s="366">
        <f>IF(C153=0,0,C168/C153)</f>
        <v>0.34386766857171702</v>
      </c>
      <c r="D171" s="366">
        <f>IF(LN_IE1=0,0,LN_IE14/LN_IE1)</f>
        <v>0.31796418078631006</v>
      </c>
      <c r="E171" s="367">
        <f t="shared" si="18"/>
        <v>-2.5903487785406965E-2</v>
      </c>
      <c r="F171" s="362">
        <f t="shared" si="19"/>
        <v>-7.5329814788925212E-2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618</v>
      </c>
      <c r="C172" s="376">
        <f>C171*C156</f>
        <v>897.15074730360971</v>
      </c>
      <c r="D172" s="376">
        <f>LN_IE17*LN_IE4</f>
        <v>993.63806495721894</v>
      </c>
      <c r="E172" s="376">
        <f t="shared" si="18"/>
        <v>96.487317653609239</v>
      </c>
      <c r="F172" s="362">
        <f t="shared" si="19"/>
        <v>0.10754861202936326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619</v>
      </c>
      <c r="C173" s="378">
        <f>IF(C172=0,0,C169/C172)</f>
        <v>8492.6128890817945</v>
      </c>
      <c r="D173" s="378">
        <f>IF(LN_IE18=0,0,LN_IE15/LN_IE18)</f>
        <v>8392.989654999843</v>
      </c>
      <c r="E173" s="378">
        <f t="shared" si="18"/>
        <v>-99.623234081951523</v>
      </c>
      <c r="F173" s="362">
        <f t="shared" si="19"/>
        <v>-1.173057519318093E-2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660</v>
      </c>
      <c r="C174" s="378">
        <f>C61-C173</f>
        <v>7803.9407695895807</v>
      </c>
      <c r="D174" s="378">
        <f>LN_IB18-LN_IE19</f>
        <v>10886.872757933465</v>
      </c>
      <c r="E174" s="378">
        <f t="shared" si="18"/>
        <v>3082.9319883438839</v>
      </c>
      <c r="F174" s="362">
        <f t="shared" si="19"/>
        <v>0.39504810189711614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661</v>
      </c>
      <c r="C175" s="378">
        <f>C32-C173</f>
        <v>3706.8170175329087</v>
      </c>
      <c r="D175" s="378">
        <f>LN_IA16-LN_IE19</f>
        <v>3507.9968419101897</v>
      </c>
      <c r="E175" s="378">
        <f t="shared" si="18"/>
        <v>-198.82017562271903</v>
      </c>
      <c r="F175" s="362">
        <f t="shared" si="19"/>
        <v>-5.3636360975553313E-2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630</v>
      </c>
      <c r="C176" s="353">
        <f>C175*C172</f>
        <v>3325573.6573973866</v>
      </c>
      <c r="D176" s="353">
        <f>LN_IE21*LN_IE18</f>
        <v>3485679.193871676</v>
      </c>
      <c r="E176" s="353">
        <f t="shared" si="18"/>
        <v>160105.53647428937</v>
      </c>
      <c r="F176" s="362">
        <f t="shared" si="19"/>
        <v>4.8143734876583341E-2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662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621</v>
      </c>
      <c r="C179" s="361">
        <f>C153+C168</f>
        <v>141792280</v>
      </c>
      <c r="D179" s="361">
        <f>LN_IE1+LN_IE14</f>
        <v>177473991</v>
      </c>
      <c r="E179" s="361">
        <f>D179-C179</f>
        <v>35681711</v>
      </c>
      <c r="F179" s="362">
        <f>IF(C179=0,0,E179/C179)</f>
        <v>0.2516477695400624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622</v>
      </c>
      <c r="C180" s="361">
        <f>C154+C169</f>
        <v>20536235</v>
      </c>
      <c r="D180" s="361">
        <f>LN_IE15+LN_IE2</f>
        <v>29744209</v>
      </c>
      <c r="E180" s="361">
        <f>D180-C180</f>
        <v>9207974</v>
      </c>
      <c r="F180" s="362">
        <f>IF(C180=0,0,E180/C180)</f>
        <v>0.4483769298510657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623</v>
      </c>
      <c r="C181" s="361">
        <f>C179-C180</f>
        <v>121256045</v>
      </c>
      <c r="D181" s="361">
        <f>LN_IE23-LN_IE24</f>
        <v>147729782</v>
      </c>
      <c r="E181" s="361">
        <f>D181-C181</f>
        <v>26473737</v>
      </c>
      <c r="F181" s="362">
        <f>IF(C181=0,0,E181/C181)</f>
        <v>0.21832921401980412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663</v>
      </c>
      <c r="C183" s="361">
        <f>C162+C176</f>
        <v>23616165.196671586</v>
      </c>
      <c r="D183" s="361">
        <f>LN_IE10+LN_IE22</f>
        <v>23656662.658183765</v>
      </c>
      <c r="E183" s="353">
        <f>D183-C183</f>
        <v>40497.461512178183</v>
      </c>
      <c r="F183" s="362">
        <f>IF(C183=0,0,E183/C183)</f>
        <v>1.7148195388591628E-3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664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665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605</v>
      </c>
      <c r="C188" s="361">
        <f>C118+C153</f>
        <v>580577830</v>
      </c>
      <c r="D188" s="361">
        <f>LN_ID1+LN_IE1</f>
        <v>687930523</v>
      </c>
      <c r="E188" s="361">
        <f t="shared" ref="E188:E200" si="20">D188-C188</f>
        <v>107352693</v>
      </c>
      <c r="F188" s="362">
        <f t="shared" ref="F188:F200" si="21">IF(C188=0,0,E188/C188)</f>
        <v>0.18490663517068848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606</v>
      </c>
      <c r="C189" s="361">
        <f>C119+C154</f>
        <v>98019359</v>
      </c>
      <c r="D189" s="361">
        <f>LN_1D2+LN_IE2</f>
        <v>118402345</v>
      </c>
      <c r="E189" s="361">
        <f t="shared" si="20"/>
        <v>20382986</v>
      </c>
      <c r="F189" s="362">
        <f t="shared" si="21"/>
        <v>0.20794857473001838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607</v>
      </c>
      <c r="C190" s="366">
        <f>IF(C188=0,0,C189/C188)</f>
        <v>0.16883069579146692</v>
      </c>
      <c r="D190" s="366">
        <f>IF(LN_IF1=0,0,LN_IF2/LN_IF1)</f>
        <v>0.1721138124292822</v>
      </c>
      <c r="E190" s="367">
        <f t="shared" si="20"/>
        <v>3.2831166378152754E-3</v>
      </c>
      <c r="F190" s="362">
        <f t="shared" si="21"/>
        <v>1.9446206878578839E-2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13431</v>
      </c>
      <c r="D191" s="369">
        <f>LN_ID4+LN_IE4</f>
        <v>15521</v>
      </c>
      <c r="E191" s="369">
        <f t="shared" si="20"/>
        <v>2090</v>
      </c>
      <c r="F191" s="362">
        <f t="shared" si="21"/>
        <v>0.15561015561015562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608</v>
      </c>
      <c r="C192" s="372">
        <f>IF((C121+C156)=0,0,(C123+C158)/(C121+C156))</f>
        <v>1.149383485965304</v>
      </c>
      <c r="D192" s="372">
        <f>IF((LN_ID4+LN_IE4)=0,0,(LN_ID6+LN_IE6)/(LN_ID4+LN_IE4))</f>
        <v>1.1476978609625668</v>
      </c>
      <c r="E192" s="373">
        <f t="shared" si="20"/>
        <v>-1.6856250027372788E-3</v>
      </c>
      <c r="F192" s="362">
        <f t="shared" si="21"/>
        <v>-1.466547086607578E-3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609</v>
      </c>
      <c r="C193" s="376">
        <f>C123+C158</f>
        <v>15437.3696</v>
      </c>
      <c r="D193" s="376">
        <f>LN_IF4*LN_IF5</f>
        <v>17813.4185</v>
      </c>
      <c r="E193" s="376">
        <f t="shared" si="20"/>
        <v>2376.0488999999998</v>
      </c>
      <c r="F193" s="362">
        <f t="shared" si="21"/>
        <v>0.15391539890319136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610</v>
      </c>
      <c r="C194" s="378">
        <f>IF(C193=0,0,C189/C193)</f>
        <v>6349.4857958184793</v>
      </c>
      <c r="D194" s="378">
        <f>IF(LN_IF6=0,0,LN_IF2/LN_IF6)</f>
        <v>6646.8064509908645</v>
      </c>
      <c r="E194" s="378">
        <f t="shared" si="20"/>
        <v>297.32065517238516</v>
      </c>
      <c r="F194" s="362">
        <f t="shared" si="21"/>
        <v>4.682594224688065E-2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666</v>
      </c>
      <c r="C195" s="378">
        <f>C48-C194</f>
        <v>5308.6955680634683</v>
      </c>
      <c r="D195" s="378">
        <f>LN_IB7-LN_IF7</f>
        <v>6139.5397835235972</v>
      </c>
      <c r="E195" s="378">
        <f t="shared" si="20"/>
        <v>830.84421546012891</v>
      </c>
      <c r="F195" s="362">
        <f t="shared" si="21"/>
        <v>0.15650628385217583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667</v>
      </c>
      <c r="C196" s="378">
        <f>C21-C194</f>
        <v>3996.8992302381694</v>
      </c>
      <c r="D196" s="378">
        <f>LN_IA7-LN_IF7</f>
        <v>4494.7993681029029</v>
      </c>
      <c r="E196" s="378">
        <f t="shared" si="20"/>
        <v>497.90013786473355</v>
      </c>
      <c r="F196" s="362">
        <f t="shared" si="21"/>
        <v>0.12457160142990756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627</v>
      </c>
      <c r="C197" s="391">
        <f>C127+C162</f>
        <v>61701610.671142109</v>
      </c>
      <c r="D197" s="391">
        <f>LN_IF9*LN_IF6</f>
        <v>80067742.217552558</v>
      </c>
      <c r="E197" s="391">
        <f t="shared" si="20"/>
        <v>18366131.546410449</v>
      </c>
      <c r="F197" s="362">
        <f t="shared" si="21"/>
        <v>0.29766048805919265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73497</v>
      </c>
      <c r="D198" s="369">
        <f>LN_ID11+LN_IE11</f>
        <v>86934</v>
      </c>
      <c r="E198" s="369">
        <f t="shared" si="20"/>
        <v>13437</v>
      </c>
      <c r="F198" s="362">
        <f t="shared" si="21"/>
        <v>0.18282378872607044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611</v>
      </c>
      <c r="C199" s="432">
        <f>IF(C198=0,0,C189/C198)</f>
        <v>1333.6511558294897</v>
      </c>
      <c r="D199" s="432">
        <f>IF(LN_IF11=0,0,LN_IF2/LN_IF11)</f>
        <v>1361.979720247544</v>
      </c>
      <c r="E199" s="432">
        <f t="shared" si="20"/>
        <v>28.328564418054384</v>
      </c>
      <c r="F199" s="362">
        <f t="shared" si="21"/>
        <v>2.1241360076979722E-2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612</v>
      </c>
      <c r="C200" s="379">
        <f>IF(C191=0,0,C198/C191)</f>
        <v>5.4721911994639267</v>
      </c>
      <c r="D200" s="379">
        <f>IF(LN_IF4=0,0,LN_IF11/LN_IF4)</f>
        <v>5.6010566329489082</v>
      </c>
      <c r="E200" s="379">
        <f t="shared" si="20"/>
        <v>0.12886543348498147</v>
      </c>
      <c r="F200" s="362">
        <f t="shared" si="21"/>
        <v>2.354914672893841E-2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668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614</v>
      </c>
      <c r="C203" s="361">
        <f>C133+C168</f>
        <v>183565259</v>
      </c>
      <c r="D203" s="361">
        <f>LN_ID14+LN_IE14</f>
        <v>243984889</v>
      </c>
      <c r="E203" s="361">
        <f t="shared" ref="E203:E211" si="22">D203-C203</f>
        <v>60419630</v>
      </c>
      <c r="F203" s="362">
        <f t="shared" ref="F203:F211" si="23">IF(C203=0,0,E203/C203)</f>
        <v>0.32914523330365036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615</v>
      </c>
      <c r="C204" s="361">
        <f>C134+C169</f>
        <v>53201526</v>
      </c>
      <c r="D204" s="361">
        <f>LN_ID15+LN_IE15</f>
        <v>62476654</v>
      </c>
      <c r="E204" s="361">
        <f t="shared" si="22"/>
        <v>9275128</v>
      </c>
      <c r="F204" s="362">
        <f t="shared" si="23"/>
        <v>0.17433951048697363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616</v>
      </c>
      <c r="C205" s="366">
        <f>IF(C203=0,0,C204/C203)</f>
        <v>0.2898235008618924</v>
      </c>
      <c r="D205" s="366">
        <f>IF(LN_IF14=0,0,LN_IF15/LN_IF14)</f>
        <v>0.25606771901353287</v>
      </c>
      <c r="E205" s="367">
        <f t="shared" si="22"/>
        <v>-3.3755781848359534E-2</v>
      </c>
      <c r="F205" s="362">
        <f t="shared" si="23"/>
        <v>-0.11647013353980892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617</v>
      </c>
      <c r="C206" s="366">
        <f>IF(C188=0,0,C203/C188)</f>
        <v>0.31617683196755891</v>
      </c>
      <c r="D206" s="366">
        <f>IF(LN_IF1=0,0,LN_IF14/LN_IF1)</f>
        <v>0.35466501462386779</v>
      </c>
      <c r="E206" s="367">
        <f t="shared" si="22"/>
        <v>3.8488182656308878E-2</v>
      </c>
      <c r="F206" s="362">
        <f t="shared" si="23"/>
        <v>0.12172992694245835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618</v>
      </c>
      <c r="C207" s="376">
        <f>C137+C172</f>
        <v>4252.2608217380639</v>
      </c>
      <c r="D207" s="376">
        <f>LN_ID18+LN_IE18</f>
        <v>5500.7914939012808</v>
      </c>
      <c r="E207" s="376">
        <f t="shared" si="22"/>
        <v>1248.5306721632169</v>
      </c>
      <c r="F207" s="362">
        <f t="shared" si="23"/>
        <v>0.2936157316081317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619</v>
      </c>
      <c r="C208" s="378">
        <f>IF(C207=0,0,C204/C207)</f>
        <v>12511.350603901685</v>
      </c>
      <c r="D208" s="378">
        <f>IF(LN_IF18=0,0,LN_IF15/LN_IF18)</f>
        <v>11357.757164449475</v>
      </c>
      <c r="E208" s="378">
        <f t="shared" si="22"/>
        <v>-1153.5934394522101</v>
      </c>
      <c r="F208" s="362">
        <f t="shared" si="23"/>
        <v>-9.2203749696892046E-2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669</v>
      </c>
      <c r="C209" s="378">
        <f>C61-C208</f>
        <v>3785.2030547696904</v>
      </c>
      <c r="D209" s="378">
        <f>LN_IB18-LN_IF19</f>
        <v>7922.1052484838328</v>
      </c>
      <c r="E209" s="378">
        <f t="shared" si="22"/>
        <v>4136.9021937141424</v>
      </c>
      <c r="F209" s="362">
        <f t="shared" si="23"/>
        <v>1.0929142066767805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670</v>
      </c>
      <c r="C210" s="378">
        <f>C32-C208</f>
        <v>-311.92069728698152</v>
      </c>
      <c r="D210" s="378">
        <f>LN_IA16-LN_IF19</f>
        <v>543.229332460558</v>
      </c>
      <c r="E210" s="378">
        <f t="shared" si="22"/>
        <v>855.15002974753952</v>
      </c>
      <c r="F210" s="362">
        <f t="shared" si="23"/>
        <v>-2.7415623175552271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630</v>
      </c>
      <c r="C211" s="391">
        <f>C141+C176</f>
        <v>-1326368.1605626503</v>
      </c>
      <c r="D211" s="353">
        <f>LN_IF21*LN_IF18</f>
        <v>2988191.2912367084</v>
      </c>
      <c r="E211" s="353">
        <f t="shared" si="22"/>
        <v>4314559.4517993592</v>
      </c>
      <c r="F211" s="362">
        <f t="shared" si="23"/>
        <v>-3.2529124115653585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671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621</v>
      </c>
      <c r="C214" s="361">
        <f>C188+C203</f>
        <v>764143089</v>
      </c>
      <c r="D214" s="361">
        <f>LN_IF1+LN_IF14</f>
        <v>931915412</v>
      </c>
      <c r="E214" s="361">
        <f>D214-C214</f>
        <v>167772323</v>
      </c>
      <c r="F214" s="362">
        <f>IF(C214=0,0,E214/C214)</f>
        <v>0.21955616090116861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622</v>
      </c>
      <c r="C215" s="361">
        <f>C189+C204</f>
        <v>151220885</v>
      </c>
      <c r="D215" s="361">
        <f>LN_IF2+LN_IF15</f>
        <v>180878999</v>
      </c>
      <c r="E215" s="361">
        <f>D215-C215</f>
        <v>29658114</v>
      </c>
      <c r="F215" s="362">
        <f>IF(C215=0,0,E215/C215)</f>
        <v>0.19612445727982614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623</v>
      </c>
      <c r="C216" s="361">
        <f>C214-C215</f>
        <v>612922204</v>
      </c>
      <c r="D216" s="361">
        <f>LN_IF23-LN_IF24</f>
        <v>751036413</v>
      </c>
      <c r="E216" s="361">
        <f>D216-C216</f>
        <v>138114209</v>
      </c>
      <c r="F216" s="362">
        <f>IF(C216=0,0,E216/C216)</f>
        <v>0.22533725829909729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672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673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605</v>
      </c>
      <c r="C221" s="361">
        <v>11355606</v>
      </c>
      <c r="D221" s="361">
        <v>16820452</v>
      </c>
      <c r="E221" s="361">
        <f t="shared" ref="E221:E230" si="24">D221-C221</f>
        <v>5464846</v>
      </c>
      <c r="F221" s="362">
        <f t="shared" ref="F221:F230" si="25">IF(C221=0,0,E221/C221)</f>
        <v>0.48124653144887203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606</v>
      </c>
      <c r="C222" s="361">
        <v>3296905</v>
      </c>
      <c r="D222" s="361">
        <v>3524787</v>
      </c>
      <c r="E222" s="361">
        <f t="shared" si="24"/>
        <v>227882</v>
      </c>
      <c r="F222" s="362">
        <f t="shared" si="25"/>
        <v>6.9119977676032521E-2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607</v>
      </c>
      <c r="C223" s="366">
        <f>IF(C221=0,0,C222/C221)</f>
        <v>0.29033281006755607</v>
      </c>
      <c r="D223" s="366">
        <f>IF(LN_IG1=0,0,LN_IG2/LN_IG1)</f>
        <v>0.2095536433860398</v>
      </c>
      <c r="E223" s="367">
        <f t="shared" si="24"/>
        <v>-8.0779166681516273E-2</v>
      </c>
      <c r="F223" s="362">
        <f t="shared" si="25"/>
        <v>-0.27822954857468635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305</v>
      </c>
      <c r="D224" s="369">
        <v>323</v>
      </c>
      <c r="E224" s="369">
        <f t="shared" si="24"/>
        <v>18</v>
      </c>
      <c r="F224" s="362">
        <f t="shared" si="25"/>
        <v>5.9016393442622953E-2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608</v>
      </c>
      <c r="C225" s="372">
        <v>1.4928999999999999</v>
      </c>
      <c r="D225" s="372">
        <v>1.2423</v>
      </c>
      <c r="E225" s="373">
        <f t="shared" si="24"/>
        <v>-0.25059999999999993</v>
      </c>
      <c r="F225" s="362">
        <f t="shared" si="25"/>
        <v>-0.16786120972603655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609</v>
      </c>
      <c r="C226" s="376">
        <f>C224*C225</f>
        <v>455.33449999999999</v>
      </c>
      <c r="D226" s="376">
        <f>LN_IG3*LN_IG4</f>
        <v>401.2629</v>
      </c>
      <c r="E226" s="376">
        <f t="shared" si="24"/>
        <v>-54.071599999999989</v>
      </c>
      <c r="F226" s="362">
        <f t="shared" si="25"/>
        <v>-0.11875137948036002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610</v>
      </c>
      <c r="C227" s="378">
        <f>IF(C226=0,0,C222/C226)</f>
        <v>7240.6220042628001</v>
      </c>
      <c r="D227" s="378">
        <f>IF(LN_IG5=0,0,LN_IG2/LN_IG5)</f>
        <v>8784.2334788489043</v>
      </c>
      <c r="E227" s="378">
        <f t="shared" si="24"/>
        <v>1543.6114745861041</v>
      </c>
      <c r="F227" s="362">
        <f t="shared" si="25"/>
        <v>0.21318768935560062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1108</v>
      </c>
      <c r="D228" s="369">
        <v>1728</v>
      </c>
      <c r="E228" s="369">
        <f t="shared" si="24"/>
        <v>620</v>
      </c>
      <c r="F228" s="362">
        <f t="shared" si="25"/>
        <v>0.55956678700361007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611</v>
      </c>
      <c r="C229" s="378">
        <f>IF(C228=0,0,C222/C228)</f>
        <v>2975.5460288808663</v>
      </c>
      <c r="D229" s="378">
        <f>IF(LN_IG6=0,0,LN_IG2/LN_IG6)</f>
        <v>2039.8072916666667</v>
      </c>
      <c r="E229" s="378">
        <f t="shared" si="24"/>
        <v>-935.73873721419955</v>
      </c>
      <c r="F229" s="362">
        <f t="shared" si="25"/>
        <v>-0.31447631061050685</v>
      </c>
      <c r="Q229" s="330"/>
      <c r="U229" s="375"/>
    </row>
    <row r="230" spans="1:21" ht="11.25" customHeight="1" x14ac:dyDescent="0.2">
      <c r="A230" s="364">
        <v>10</v>
      </c>
      <c r="B230" s="360" t="s">
        <v>612</v>
      </c>
      <c r="C230" s="379">
        <f>IF(C224=0,0,C228/C224)</f>
        <v>3.6327868852459018</v>
      </c>
      <c r="D230" s="379">
        <f>IF(LN_IG3=0,0,LN_IG6/LN_IG3)</f>
        <v>5.3498452012383897</v>
      </c>
      <c r="E230" s="379">
        <f t="shared" si="24"/>
        <v>1.7170583159924879</v>
      </c>
      <c r="F230" s="362">
        <f t="shared" si="25"/>
        <v>0.47265594438421371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674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614</v>
      </c>
      <c r="C233" s="361">
        <v>6731377</v>
      </c>
      <c r="D233" s="361">
        <v>6247026</v>
      </c>
      <c r="E233" s="361">
        <f>D233-C233</f>
        <v>-484351</v>
      </c>
      <c r="F233" s="362">
        <f>IF(C233=0,0,E233/C233)</f>
        <v>-7.1954222739270143E-2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615</v>
      </c>
      <c r="C234" s="361">
        <v>1708262</v>
      </c>
      <c r="D234" s="361">
        <v>2463260</v>
      </c>
      <c r="E234" s="361">
        <f>D234-C234</f>
        <v>754998</v>
      </c>
      <c r="F234" s="362">
        <f>IF(C234=0,0,E234/C234)</f>
        <v>0.44196850366044554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675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621</v>
      </c>
      <c r="C237" s="361">
        <f>C221+C233</f>
        <v>18086983</v>
      </c>
      <c r="D237" s="361">
        <f>LN_IG1+LN_IG9</f>
        <v>23067478</v>
      </c>
      <c r="E237" s="361">
        <f>D237-C237</f>
        <v>4980495</v>
      </c>
      <c r="F237" s="362">
        <f>IF(C237=0,0,E237/C237)</f>
        <v>0.27536350313371777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622</v>
      </c>
      <c r="C238" s="361">
        <f>C222+C234</f>
        <v>5005167</v>
      </c>
      <c r="D238" s="361">
        <f>LN_IG2+LN_IG10</f>
        <v>5988047</v>
      </c>
      <c r="E238" s="361">
        <f>D238-C238</f>
        <v>982880</v>
      </c>
      <c r="F238" s="362">
        <f>IF(C238=0,0,E238/C238)</f>
        <v>0.19637306807145496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623</v>
      </c>
      <c r="C239" s="361">
        <f>C237-C238</f>
        <v>13081816</v>
      </c>
      <c r="D239" s="361">
        <f>LN_IG13-LN_IG14</f>
        <v>17079431</v>
      </c>
      <c r="E239" s="361">
        <f>D239-C239</f>
        <v>3997615</v>
      </c>
      <c r="F239" s="362">
        <f>IF(C239=0,0,E239/C239)</f>
        <v>0.30558563123040411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676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677</v>
      </c>
      <c r="C243" s="361">
        <v>11389417</v>
      </c>
      <c r="D243" s="361">
        <v>11389417</v>
      </c>
      <c r="E243" s="353">
        <f>D243-C243</f>
        <v>0</v>
      </c>
      <c r="F243" s="415">
        <f>IF(C243=0,0,E243/C243)</f>
        <v>0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678</v>
      </c>
      <c r="C244" s="361">
        <v>1169696000</v>
      </c>
      <c r="D244" s="361">
        <v>1297936000</v>
      </c>
      <c r="E244" s="353">
        <f>D244-C244</f>
        <v>128240000</v>
      </c>
      <c r="F244" s="415">
        <f>IF(C244=0,0,E244/C244)</f>
        <v>0.10963532405000957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679</v>
      </c>
      <c r="C245" s="400">
        <v>11037310</v>
      </c>
      <c r="D245" s="400">
        <v>11001260</v>
      </c>
      <c r="E245" s="400">
        <f>D245-C245</f>
        <v>-36050</v>
      </c>
      <c r="F245" s="401">
        <f>IF(C245=0,0,E245/C245)</f>
        <v>-3.2661943897561996E-3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680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681</v>
      </c>
      <c r="C248" s="353">
        <v>27032315</v>
      </c>
      <c r="D248" s="353">
        <v>28159845</v>
      </c>
      <c r="E248" s="353">
        <f>D248-C248</f>
        <v>1127530</v>
      </c>
      <c r="F248" s="362">
        <f>IF(C248=0,0,E248/C248)</f>
        <v>4.1710449142073107E-2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682</v>
      </c>
      <c r="C249" s="353">
        <v>70527250</v>
      </c>
      <c r="D249" s="353">
        <v>61051690</v>
      </c>
      <c r="E249" s="353">
        <f>D249-C249</f>
        <v>-9475560</v>
      </c>
      <c r="F249" s="362">
        <f>IF(C249=0,0,E249/C249)</f>
        <v>-0.13435317554562243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683</v>
      </c>
      <c r="C250" s="353">
        <f>C248+C249</f>
        <v>97559565</v>
      </c>
      <c r="D250" s="353">
        <f>LN_IH4+LN_IH5</f>
        <v>89211535</v>
      </c>
      <c r="E250" s="353">
        <f>D250-C250</f>
        <v>-8348030</v>
      </c>
      <c r="F250" s="362">
        <f>IF(C250=0,0,E250/C250)</f>
        <v>-8.5568544714195893E-2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684</v>
      </c>
      <c r="C251" s="353">
        <f>C250*C313</f>
        <v>33812537.457132421</v>
      </c>
      <c r="D251" s="353">
        <f>LN_IH6*LN_III10</f>
        <v>30783717.12514868</v>
      </c>
      <c r="E251" s="353">
        <f>D251-C251</f>
        <v>-3028820.3319837414</v>
      </c>
      <c r="F251" s="362">
        <f>IF(C251=0,0,E251/C251)</f>
        <v>-8.9576842194221115E-2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685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621</v>
      </c>
      <c r="C254" s="353">
        <f>C188+C203</f>
        <v>764143089</v>
      </c>
      <c r="D254" s="353">
        <f>LN_IF23</f>
        <v>931915412</v>
      </c>
      <c r="E254" s="353">
        <f>D254-C254</f>
        <v>167772323</v>
      </c>
      <c r="F254" s="362">
        <f>IF(C254=0,0,E254/C254)</f>
        <v>0.21955616090116861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622</v>
      </c>
      <c r="C255" s="353">
        <f>C189+C204</f>
        <v>151220885</v>
      </c>
      <c r="D255" s="353">
        <f>LN_IF24</f>
        <v>180878999</v>
      </c>
      <c r="E255" s="353">
        <f>D255-C255</f>
        <v>29658114</v>
      </c>
      <c r="F255" s="362">
        <f>IF(C255=0,0,E255/C255)</f>
        <v>0.19612445727982614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686</v>
      </c>
      <c r="C256" s="353">
        <f>C254*C313</f>
        <v>264839401.64576763</v>
      </c>
      <c r="D256" s="353">
        <f>LN_IH8*LN_III10</f>
        <v>321570752.34244525</v>
      </c>
      <c r="E256" s="353">
        <f>D256-C256</f>
        <v>56731350.696677625</v>
      </c>
      <c r="F256" s="362">
        <f>IF(C256=0,0,E256/C256)</f>
        <v>0.21421038691424729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687</v>
      </c>
      <c r="C257" s="353">
        <f>C256-C255</f>
        <v>113618516.64576763</v>
      </c>
      <c r="D257" s="353">
        <f>LN_IH10-LN_IH9</f>
        <v>140691753.34244525</v>
      </c>
      <c r="E257" s="353">
        <f>D257-C257</f>
        <v>27073236.696677625</v>
      </c>
      <c r="F257" s="362">
        <f>IF(C257=0,0,E257/C257)</f>
        <v>0.23828190594218712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688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689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690</v>
      </c>
      <c r="C261" s="361">
        <f>C15+C42+C188+C221</f>
        <v>2358191436</v>
      </c>
      <c r="D261" s="361">
        <f>LN_IA1+LN_IB1+LN_IF1+LN_IG1</f>
        <v>2627185680</v>
      </c>
      <c r="E261" s="361">
        <f t="shared" ref="E261:E274" si="26">D261-C261</f>
        <v>268994244</v>
      </c>
      <c r="F261" s="415">
        <f t="shared" ref="F261:F274" si="27">IF(C261=0,0,E261/C261)</f>
        <v>0.11406802683342457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691</v>
      </c>
      <c r="C262" s="361">
        <f>C16+C43+C189+C222</f>
        <v>745469582</v>
      </c>
      <c r="D262" s="361">
        <f>+LN_IA2+LN_IB2+LN_IF2+LN_IG2</f>
        <v>816645037</v>
      </c>
      <c r="E262" s="361">
        <f t="shared" si="26"/>
        <v>71175455</v>
      </c>
      <c r="F262" s="415">
        <f t="shared" si="27"/>
        <v>9.5477343031281456E-2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692</v>
      </c>
      <c r="C263" s="366">
        <f>IF(C261=0,0,C262/C261)</f>
        <v>0.31611919652480663</v>
      </c>
      <c r="D263" s="366">
        <f>IF(LN_IIA1=0,0,LN_IIA2/LN_IIA1)</f>
        <v>0.31084405004826304</v>
      </c>
      <c r="E263" s="367">
        <f t="shared" si="26"/>
        <v>-5.2751464765435907E-3</v>
      </c>
      <c r="F263" s="371">
        <f t="shared" si="27"/>
        <v>-1.6687207023600156E-2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693</v>
      </c>
      <c r="C264" s="369">
        <f>C18+C45+C191+C224</f>
        <v>54408</v>
      </c>
      <c r="D264" s="369">
        <f>LN_IA4+LN_IB4+LN_IF4+LN_IG3</f>
        <v>56602</v>
      </c>
      <c r="E264" s="369">
        <f t="shared" si="26"/>
        <v>2194</v>
      </c>
      <c r="F264" s="415">
        <f t="shared" si="27"/>
        <v>4.0324952212909868E-2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694</v>
      </c>
      <c r="C265" s="439">
        <f>IF(C264=0,0,C266/C264)</f>
        <v>1.3653677896632848</v>
      </c>
      <c r="D265" s="439">
        <f>IF(LN_IIA4=0,0,LN_IIA6/LN_IIA4)</f>
        <v>1.3476329723331331</v>
      </c>
      <c r="E265" s="439">
        <f t="shared" si="26"/>
        <v>-1.7734817330151698E-2</v>
      </c>
      <c r="F265" s="415">
        <f t="shared" si="27"/>
        <v>-1.2989040362908594E-2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695</v>
      </c>
      <c r="C266" s="376">
        <f>C20+C47+C193+C226</f>
        <v>74286.930699999997</v>
      </c>
      <c r="D266" s="376">
        <f>LN_IA6+LN_IB6+LN_IF6+LN_IG5</f>
        <v>76278.7215</v>
      </c>
      <c r="E266" s="376">
        <f t="shared" si="26"/>
        <v>1991.7908000000025</v>
      </c>
      <c r="F266" s="415">
        <f t="shared" si="27"/>
        <v>2.6812129418075453E-2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696</v>
      </c>
      <c r="C267" s="361">
        <f>C27+C56+C203+C233</f>
        <v>1158356254</v>
      </c>
      <c r="D267" s="361">
        <f>LN_IA11+LN_IB13+LN_IF14+LN_IG9</f>
        <v>1274874485</v>
      </c>
      <c r="E267" s="361">
        <f t="shared" si="26"/>
        <v>116518231</v>
      </c>
      <c r="F267" s="415">
        <f t="shared" si="27"/>
        <v>0.10058928813794793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617</v>
      </c>
      <c r="C268" s="366">
        <f>IF(C261=0,0,C267/C261)</f>
        <v>0.49120535182878172</v>
      </c>
      <c r="D268" s="366">
        <f>IF(LN_IIA1=0,0,LN_IIA7/LN_IIA1)</f>
        <v>0.48526242157349153</v>
      </c>
      <c r="E268" s="367">
        <f t="shared" si="26"/>
        <v>-5.9429302552901908E-3</v>
      </c>
      <c r="F268" s="371">
        <f t="shared" si="27"/>
        <v>-1.2098667559635432E-2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697</v>
      </c>
      <c r="C269" s="361">
        <f>C28+C57+C204+C234</f>
        <v>405284847</v>
      </c>
      <c r="D269" s="361">
        <f>LN_IA12+LN_IB14+LN_IF15+LN_IG10</f>
        <v>453235335</v>
      </c>
      <c r="E269" s="361">
        <f t="shared" si="26"/>
        <v>47950488</v>
      </c>
      <c r="F269" s="415">
        <f t="shared" si="27"/>
        <v>0.11831305402839302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616</v>
      </c>
      <c r="C270" s="366">
        <f>IF(C267=0,0,C269/C267)</f>
        <v>0.34987927556870602</v>
      </c>
      <c r="D270" s="366">
        <f>IF(LN_IIA7=0,0,LN_IIA9/LN_IIA7)</f>
        <v>0.35551369200082467</v>
      </c>
      <c r="E270" s="367">
        <f t="shared" si="26"/>
        <v>5.6344164321186496E-3</v>
      </c>
      <c r="F270" s="371">
        <f t="shared" si="27"/>
        <v>1.61038873278798E-2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698</v>
      </c>
      <c r="C271" s="353">
        <f>C261+C267</f>
        <v>3516547690</v>
      </c>
      <c r="D271" s="353">
        <f>LN_IIA1+LN_IIA7</f>
        <v>3902060165</v>
      </c>
      <c r="E271" s="353">
        <f t="shared" si="26"/>
        <v>385512475</v>
      </c>
      <c r="F271" s="415">
        <f t="shared" si="27"/>
        <v>0.10962810943707121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699</v>
      </c>
      <c r="C272" s="353">
        <f>C262+C269</f>
        <v>1150754429</v>
      </c>
      <c r="D272" s="353">
        <f>LN_IIA2+LN_IIA9</f>
        <v>1269880372</v>
      </c>
      <c r="E272" s="353">
        <f t="shared" si="26"/>
        <v>119125943</v>
      </c>
      <c r="F272" s="415">
        <f t="shared" si="27"/>
        <v>0.10351986487987699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700</v>
      </c>
      <c r="C273" s="366">
        <f>IF(C271=0,0,C272/C271)</f>
        <v>0.32723981883493242</v>
      </c>
      <c r="D273" s="366">
        <f>IF(LN_IIA11=0,0,LN_IIA12/LN_IIA11)</f>
        <v>0.32543843977351899</v>
      </c>
      <c r="E273" s="367">
        <f t="shared" si="26"/>
        <v>-1.8013790614134217E-3</v>
      </c>
      <c r="F273" s="371">
        <f t="shared" si="27"/>
        <v>-5.5047673227141113E-3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279599</v>
      </c>
      <c r="D274" s="421">
        <f>LN_IA8+LN_IB10+LN_IF11+LN_IG6</f>
        <v>284705</v>
      </c>
      <c r="E274" s="442">
        <f t="shared" si="26"/>
        <v>5106</v>
      </c>
      <c r="F274" s="371">
        <f t="shared" si="27"/>
        <v>1.8261867889370134E-2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701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702</v>
      </c>
      <c r="C277" s="361">
        <f>C15+C188+C221</f>
        <v>1420560047</v>
      </c>
      <c r="D277" s="361">
        <f>LN_IA1+LN_IF1+LN_IG1</f>
        <v>1630410395</v>
      </c>
      <c r="E277" s="361">
        <f t="shared" ref="E277:E291" si="28">D277-C277</f>
        <v>209850348</v>
      </c>
      <c r="F277" s="415">
        <f t="shared" ref="F277:F291" si="29">IF(C277=0,0,E277/C277)</f>
        <v>0.14772367309862827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703</v>
      </c>
      <c r="C278" s="361">
        <f>C16+C189+C222</f>
        <v>390122758</v>
      </c>
      <c r="D278" s="361">
        <f>LN_IA2+LN_IF2+LN_IG2</f>
        <v>445111897</v>
      </c>
      <c r="E278" s="361">
        <f t="shared" si="28"/>
        <v>54989139</v>
      </c>
      <c r="F278" s="415">
        <f t="shared" si="29"/>
        <v>0.14095342522929666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704</v>
      </c>
      <c r="C279" s="366">
        <f>IF(C277=0,0,C278/C277)</f>
        <v>0.27462602430912941</v>
      </c>
      <c r="D279" s="366">
        <f>IF(D277=0,0,LN_IIB2/D277)</f>
        <v>0.27300604704498344</v>
      </c>
      <c r="E279" s="367">
        <f t="shared" si="28"/>
        <v>-1.6199772641459775E-3</v>
      </c>
      <c r="F279" s="371">
        <f t="shared" si="29"/>
        <v>-5.8988483273619769E-3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705</v>
      </c>
      <c r="C280" s="369">
        <f>C18+C191+C224</f>
        <v>30498</v>
      </c>
      <c r="D280" s="369">
        <f>LN_IA4+LN_IF4+LN_IG3</f>
        <v>33201</v>
      </c>
      <c r="E280" s="369">
        <f t="shared" si="28"/>
        <v>2703</v>
      </c>
      <c r="F280" s="415">
        <f t="shared" si="29"/>
        <v>8.8628762541806017E-2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706</v>
      </c>
      <c r="C281" s="439">
        <f>IF(C280=0,0,C282/C280)</f>
        <v>1.4363716538789428</v>
      </c>
      <c r="D281" s="439">
        <f>IF(LN_IIB4=0,0,LN_IIB6/LN_IIB4)</f>
        <v>1.4222975151350863</v>
      </c>
      <c r="E281" s="439">
        <f t="shared" si="28"/>
        <v>-1.4074138743856546E-2</v>
      </c>
      <c r="F281" s="415">
        <f t="shared" si="29"/>
        <v>-9.7983963313736568E-3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707</v>
      </c>
      <c r="C282" s="376">
        <f>C20+C193+C226</f>
        <v>43806.462699999996</v>
      </c>
      <c r="D282" s="376">
        <f>LN_IA6+LN_IF6+LN_IG5</f>
        <v>47221.699800000002</v>
      </c>
      <c r="E282" s="376">
        <f t="shared" si="28"/>
        <v>3415.2371000000057</v>
      </c>
      <c r="F282" s="415">
        <f t="shared" si="29"/>
        <v>7.7961946468688648E-2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708</v>
      </c>
      <c r="C283" s="361">
        <f>C27+C203+C233</f>
        <v>497899292</v>
      </c>
      <c r="D283" s="361">
        <f>LN_IA11+LN_IF14+LN_IG9</f>
        <v>579186603</v>
      </c>
      <c r="E283" s="361">
        <f t="shared" si="28"/>
        <v>81287311</v>
      </c>
      <c r="F283" s="415">
        <f t="shared" si="29"/>
        <v>0.16326054747633584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709</v>
      </c>
      <c r="C284" s="366">
        <f>IF(C277=0,0,C283/C277)</f>
        <v>0.35049506921688051</v>
      </c>
      <c r="D284" s="366">
        <f>IF(D277=0,0,LN_IIB7/D277)</f>
        <v>0.35523976342165065</v>
      </c>
      <c r="E284" s="367">
        <f t="shared" si="28"/>
        <v>4.744694204770139E-3</v>
      </c>
      <c r="F284" s="371">
        <f t="shared" si="29"/>
        <v>1.3537121122335108E-2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710</v>
      </c>
      <c r="C285" s="361">
        <f>C28+C204+C234</f>
        <v>130819366</v>
      </c>
      <c r="D285" s="361">
        <f>LN_IA12+LN_IF15+LN_IG10</f>
        <v>138347760</v>
      </c>
      <c r="E285" s="361">
        <f t="shared" si="28"/>
        <v>7528394</v>
      </c>
      <c r="F285" s="415">
        <f t="shared" si="29"/>
        <v>5.7548008602946447E-2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711</v>
      </c>
      <c r="C286" s="366">
        <f>IF(C283=0,0,C285/C283)</f>
        <v>0.26274262306040796</v>
      </c>
      <c r="D286" s="366">
        <f>IF(LN_IIB7=0,0,LN_IIB9/LN_IIB7)</f>
        <v>0.23886560787732861</v>
      </c>
      <c r="E286" s="367">
        <f t="shared" si="28"/>
        <v>-2.3877015183079359E-2</v>
      </c>
      <c r="F286" s="371">
        <f t="shared" si="29"/>
        <v>-9.0876063064917037E-2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712</v>
      </c>
      <c r="C287" s="353">
        <f>C277+C283</f>
        <v>1918459339</v>
      </c>
      <c r="D287" s="353">
        <f>D277+LN_IIB7</f>
        <v>2209596998</v>
      </c>
      <c r="E287" s="353">
        <f t="shared" si="28"/>
        <v>291137659</v>
      </c>
      <c r="F287" s="415">
        <f t="shared" si="29"/>
        <v>0.15175597057572041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713</v>
      </c>
      <c r="C288" s="353">
        <f>C278+C285</f>
        <v>520942124</v>
      </c>
      <c r="D288" s="353">
        <f>LN_IIB2+LN_IIB9</f>
        <v>583459657</v>
      </c>
      <c r="E288" s="353">
        <f t="shared" si="28"/>
        <v>62517533</v>
      </c>
      <c r="F288" s="415">
        <f t="shared" si="29"/>
        <v>0.12000859619484333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714</v>
      </c>
      <c r="C289" s="366">
        <f>IF(C287=0,0,C288/C287)</f>
        <v>0.27154191564546887</v>
      </c>
      <c r="D289" s="366">
        <f>IF(LN_IIB11=0,0,LN_IIB12/LN_IIB11)</f>
        <v>0.26405704638814864</v>
      </c>
      <c r="E289" s="367">
        <f t="shared" si="28"/>
        <v>-7.4848692573202258E-3</v>
      </c>
      <c r="F289" s="371">
        <f t="shared" si="29"/>
        <v>-2.7564323686559818E-2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175403</v>
      </c>
      <c r="D290" s="421">
        <f>LN_IA8+LN_IF11+LN_IG6</f>
        <v>186854</v>
      </c>
      <c r="E290" s="442">
        <f t="shared" si="28"/>
        <v>11451</v>
      </c>
      <c r="F290" s="371">
        <f t="shared" si="29"/>
        <v>6.5283946112666261E-2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715</v>
      </c>
      <c r="C291" s="361">
        <f>C287-C288</f>
        <v>1397517215</v>
      </c>
      <c r="D291" s="429">
        <f>LN_IIB11-LN_IIB12</f>
        <v>1626137341</v>
      </c>
      <c r="E291" s="353">
        <f t="shared" si="28"/>
        <v>228620126</v>
      </c>
      <c r="F291" s="415">
        <f t="shared" si="29"/>
        <v>0.16359020378865244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612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603</v>
      </c>
      <c r="C294" s="379">
        <f>IF(C18=0,0,C22/C18)</f>
        <v>6.0134828779381939</v>
      </c>
      <c r="D294" s="379">
        <f>IF(LN_IA4=0,0,LN_IA8/LN_IA4)</f>
        <v>5.6571988246816849</v>
      </c>
      <c r="E294" s="379">
        <f t="shared" ref="E294:E300" si="30">D294-C294</f>
        <v>-0.35628405325650903</v>
      </c>
      <c r="F294" s="415">
        <f t="shared" ref="F294:F300" si="31">IF(C294=0,0,E294/C294)</f>
        <v>-5.9247537656358297E-2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624</v>
      </c>
      <c r="C295" s="379">
        <f>IF(C45=0,0,C51/C45)</f>
        <v>4.3578419071518191</v>
      </c>
      <c r="D295" s="379">
        <f>IF(LN_IB4=0,0,(LN_IB10)/(LN_IB4))</f>
        <v>4.1814879705995471</v>
      </c>
      <c r="E295" s="379">
        <f t="shared" si="30"/>
        <v>-0.17635393655227194</v>
      </c>
      <c r="F295" s="415">
        <f t="shared" si="31"/>
        <v>-4.0468181340596779E-2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639</v>
      </c>
      <c r="C296" s="379">
        <f>IF(C86=0,0,C93/C86)</f>
        <v>4.1389432485322892</v>
      </c>
      <c r="D296" s="379">
        <f>IF(LN_IC4=0,0,LN_IC11/LN_IC4)</f>
        <v>4.1552924791086348</v>
      </c>
      <c r="E296" s="379">
        <f t="shared" si="30"/>
        <v>1.6349230576345519E-2</v>
      </c>
      <c r="F296" s="415">
        <f t="shared" si="31"/>
        <v>3.9500977893676412E-3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5.4609129550914801</v>
      </c>
      <c r="D297" s="379">
        <f>IF(LN_ID4=0,0,LN_ID11/LN_ID4)</f>
        <v>5.684494998386576</v>
      </c>
      <c r="E297" s="379">
        <f t="shared" si="30"/>
        <v>0.2235820432950959</v>
      </c>
      <c r="F297" s="415">
        <f t="shared" si="31"/>
        <v>4.0942246311880738E-2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716</v>
      </c>
      <c r="C298" s="379">
        <f>IF(C156=0,0,C163/C156)</f>
        <v>5.5189727865082405</v>
      </c>
      <c r="D298" s="379">
        <f>IF(LN_IE4=0,0,LN_IE11/LN_IE4)</f>
        <v>5.2700800000000001</v>
      </c>
      <c r="E298" s="379">
        <f t="shared" si="30"/>
        <v>-0.24889278650824043</v>
      </c>
      <c r="F298" s="415">
        <f t="shared" si="31"/>
        <v>-4.5097665115632984E-2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3.6327868852459018</v>
      </c>
      <c r="D299" s="379">
        <f>IF(LN_IG3=0,0,LN_IG6/LN_IG3)</f>
        <v>5.3498452012383897</v>
      </c>
      <c r="E299" s="379">
        <f t="shared" si="30"/>
        <v>1.7170583159924879</v>
      </c>
      <c r="F299" s="415">
        <f t="shared" si="31"/>
        <v>0.47265594438421371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717</v>
      </c>
      <c r="C300" s="379">
        <f>IF(C264=0,0,C274/C264)</f>
        <v>5.1389317747390093</v>
      </c>
      <c r="D300" s="379">
        <f>IF(LN_IIA4=0,0,LN_IIA14/LN_IIA4)</f>
        <v>5.0299459383060672</v>
      </c>
      <c r="E300" s="379">
        <f t="shared" si="30"/>
        <v>-0.10898583643294213</v>
      </c>
      <c r="F300" s="415">
        <f t="shared" si="31"/>
        <v>-2.1207877669961319E-2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718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712</v>
      </c>
      <c r="C304" s="353">
        <f>C35+C66+C214+C221+C233</f>
        <v>3516547690</v>
      </c>
      <c r="D304" s="353">
        <f>LN_IIA11</f>
        <v>3902060165</v>
      </c>
      <c r="E304" s="353">
        <f t="shared" ref="E304:E316" si="32">D304-C304</f>
        <v>385512475</v>
      </c>
      <c r="F304" s="362">
        <f>IF(C304=0,0,E304/C304)</f>
        <v>0.10962810943707121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715</v>
      </c>
      <c r="C305" s="353">
        <f>C291</f>
        <v>1397517215</v>
      </c>
      <c r="D305" s="353">
        <f>LN_IIB14</f>
        <v>1626137341</v>
      </c>
      <c r="E305" s="353">
        <f t="shared" si="32"/>
        <v>228620126</v>
      </c>
      <c r="F305" s="362">
        <f>IF(C305=0,0,E305/C305)</f>
        <v>0.16359020378865244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719</v>
      </c>
      <c r="C306" s="353">
        <f>C250</f>
        <v>97559565</v>
      </c>
      <c r="D306" s="353">
        <f>LN_IH6</f>
        <v>89211535</v>
      </c>
      <c r="E306" s="353">
        <f t="shared" si="32"/>
        <v>-8348030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720</v>
      </c>
      <c r="C307" s="353">
        <f>C73-C74</f>
        <v>813730743</v>
      </c>
      <c r="D307" s="353">
        <f>LN_IB32-LN_IB33</f>
        <v>851250835</v>
      </c>
      <c r="E307" s="353">
        <f t="shared" si="32"/>
        <v>37520092</v>
      </c>
      <c r="F307" s="362">
        <f t="shared" ref="F307:F316" si="33">IF(C307=0,0,E307/C307)</f>
        <v>4.6108731079366382E-2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721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722</v>
      </c>
      <c r="C309" s="353">
        <f>C305+C307+C308+C306</f>
        <v>2308807523</v>
      </c>
      <c r="D309" s="353">
        <f>LN_III2+LN_III3+LN_III4+LN_III5</f>
        <v>2566599711</v>
      </c>
      <c r="E309" s="353">
        <f t="shared" si="32"/>
        <v>257792188</v>
      </c>
      <c r="F309" s="362">
        <f t="shared" si="33"/>
        <v>0.11165598926368363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723</v>
      </c>
      <c r="C310" s="353">
        <f>C304-C309</f>
        <v>1207740167</v>
      </c>
      <c r="D310" s="353">
        <f>LN_III1-LN_III6</f>
        <v>1335460454</v>
      </c>
      <c r="E310" s="353">
        <f t="shared" si="32"/>
        <v>127720287</v>
      </c>
      <c r="F310" s="362">
        <f t="shared" si="33"/>
        <v>0.10575146086037229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724</v>
      </c>
      <c r="C311" s="353">
        <f>C245</f>
        <v>11037310</v>
      </c>
      <c r="D311" s="353">
        <f>LN_IH3</f>
        <v>11001260</v>
      </c>
      <c r="E311" s="353">
        <f t="shared" si="32"/>
        <v>-36050</v>
      </c>
      <c r="F311" s="362">
        <f t="shared" si="33"/>
        <v>-3.2661943897561996E-3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725</v>
      </c>
      <c r="C312" s="353">
        <f>C310+C311</f>
        <v>1218777477</v>
      </c>
      <c r="D312" s="353">
        <f>LN_III7+LN_III8</f>
        <v>1346461714</v>
      </c>
      <c r="E312" s="353">
        <f t="shared" si="32"/>
        <v>127684237</v>
      </c>
      <c r="F312" s="362">
        <f t="shared" si="33"/>
        <v>0.10476419150302364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726</v>
      </c>
      <c r="C313" s="448">
        <f>IF(C304=0,0,C312/C304)</f>
        <v>0.34658352010007859</v>
      </c>
      <c r="D313" s="448">
        <f>IF(LN_III1=0,0,LN_III9/LN_III1)</f>
        <v>0.34506431399424614</v>
      </c>
      <c r="E313" s="448">
        <f t="shared" si="32"/>
        <v>-1.5192061058324491E-3</v>
      </c>
      <c r="F313" s="362">
        <f t="shared" si="33"/>
        <v>-4.3833766400484565E-3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684</v>
      </c>
      <c r="C314" s="353">
        <f>C306*C313</f>
        <v>33812537.457132421</v>
      </c>
      <c r="D314" s="353">
        <f>D313*LN_III5</f>
        <v>30783717.12514868</v>
      </c>
      <c r="E314" s="353">
        <f t="shared" si="32"/>
        <v>-3028820.3319837414</v>
      </c>
      <c r="F314" s="362">
        <f t="shared" si="33"/>
        <v>-8.9576842194221115E-2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687</v>
      </c>
      <c r="C315" s="353">
        <f>(C214*C313)-C215</f>
        <v>113618516.64576763</v>
      </c>
      <c r="D315" s="353">
        <f>D313*LN_IH8-LN_IH9</f>
        <v>140691753.34244525</v>
      </c>
      <c r="E315" s="353">
        <f t="shared" si="32"/>
        <v>27073236.696677625</v>
      </c>
      <c r="F315" s="362">
        <f t="shared" si="33"/>
        <v>0.23828190594218712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727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728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729</v>
      </c>
      <c r="C318" s="353">
        <f>C314+C315+C316</f>
        <v>147431054.10290006</v>
      </c>
      <c r="D318" s="353">
        <f>D314+D315+D316</f>
        <v>171475470.46759394</v>
      </c>
      <c r="E318" s="353">
        <f>D318-C318</f>
        <v>24044416.36469388</v>
      </c>
      <c r="F318" s="362">
        <f>IF(C318=0,0,E318/C318)</f>
        <v>0.16308922506863438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730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-4651941.8179600369</v>
      </c>
      <c r="D322" s="353">
        <f>LN_ID22</f>
        <v>-497487.90263497521</v>
      </c>
      <c r="E322" s="353">
        <f>LN_IV2-C322</f>
        <v>4154453.9153250619</v>
      </c>
      <c r="F322" s="362">
        <f>IF(C322=0,0,E322/C322)</f>
        <v>-0.89305801273904739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716</v>
      </c>
      <c r="C323" s="353">
        <f>C162+C176</f>
        <v>23616165.196671586</v>
      </c>
      <c r="D323" s="353">
        <f>LN_IE10+LN_IE22</f>
        <v>23656662.658183765</v>
      </c>
      <c r="E323" s="353">
        <f>LN_IV3-C323</f>
        <v>40497.461512178183</v>
      </c>
      <c r="F323" s="362">
        <f>IF(C323=0,0,E323/C323)</f>
        <v>1.7148195388591628E-3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731</v>
      </c>
      <c r="C324" s="353">
        <f>C92+C106</f>
        <v>25525940.475563459</v>
      </c>
      <c r="D324" s="353">
        <f>LN_IC10+LN_IC22</f>
        <v>19073063.160840347</v>
      </c>
      <c r="E324" s="353">
        <f>LN_IV1-C324</f>
        <v>-6452877.3147231117</v>
      </c>
      <c r="F324" s="362">
        <f>IF(C324=0,0,E324/C324)</f>
        <v>-0.25279684879390019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732</v>
      </c>
      <c r="C325" s="429">
        <f>C324+C322+C323</f>
        <v>44490163.854275003</v>
      </c>
      <c r="D325" s="429">
        <f>LN_IV1+LN_IV2+LN_IV3</f>
        <v>42232237.916389138</v>
      </c>
      <c r="E325" s="353">
        <f>LN_IV4-C325</f>
        <v>-2257925.9378858656</v>
      </c>
      <c r="F325" s="362">
        <f>IF(C325=0,0,E325/C325)</f>
        <v>-5.0751126592421043E-2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733</v>
      </c>
      <c r="B327" s="446" t="s">
        <v>734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735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736</v>
      </c>
      <c r="C330" s="429">
        <v>34852261</v>
      </c>
      <c r="D330" s="429">
        <v>37696368</v>
      </c>
      <c r="E330" s="431">
        <f t="shared" si="34"/>
        <v>2844107</v>
      </c>
      <c r="F330" s="463">
        <f t="shared" si="35"/>
        <v>8.1604662607111772E-2</v>
      </c>
    </row>
    <row r="331" spans="1:22" s="333" customFormat="1" ht="11.25" customHeight="1" x14ac:dyDescent="0.2">
      <c r="A331" s="339">
        <v>3</v>
      </c>
      <c r="B331" s="360" t="s">
        <v>737</v>
      </c>
      <c r="C331" s="429">
        <v>1196644000</v>
      </c>
      <c r="D331" s="429">
        <v>1318578000</v>
      </c>
      <c r="E331" s="431">
        <f t="shared" si="34"/>
        <v>121934000</v>
      </c>
      <c r="F331" s="462">
        <f t="shared" si="35"/>
        <v>0.10189663759647816</v>
      </c>
    </row>
    <row r="332" spans="1:22" s="333" customFormat="1" ht="11.25" customHeight="1" x14ac:dyDescent="0.2">
      <c r="A332" s="364">
        <v>4</v>
      </c>
      <c r="B332" s="360" t="s">
        <v>738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739</v>
      </c>
      <c r="C333" s="429">
        <v>3516547690</v>
      </c>
      <c r="D333" s="429">
        <v>3902060165</v>
      </c>
      <c r="E333" s="431">
        <f t="shared" si="34"/>
        <v>385512475</v>
      </c>
      <c r="F333" s="462">
        <f t="shared" si="35"/>
        <v>0.10962810943707121</v>
      </c>
    </row>
    <row r="334" spans="1:22" s="333" customFormat="1" ht="11.25" customHeight="1" x14ac:dyDescent="0.2">
      <c r="A334" s="339">
        <v>6</v>
      </c>
      <c r="B334" s="360" t="s">
        <v>740</v>
      </c>
      <c r="C334" s="429">
        <v>813614</v>
      </c>
      <c r="D334" s="429">
        <v>834500</v>
      </c>
      <c r="E334" s="429">
        <f t="shared" si="34"/>
        <v>20886</v>
      </c>
      <c r="F334" s="463">
        <f t="shared" si="35"/>
        <v>2.567064971841684E-2</v>
      </c>
    </row>
    <row r="335" spans="1:22" s="333" customFormat="1" ht="11.25" customHeight="1" x14ac:dyDescent="0.2">
      <c r="A335" s="364">
        <v>7</v>
      </c>
      <c r="B335" s="360" t="s">
        <v>741</v>
      </c>
      <c r="C335" s="429">
        <v>98373179</v>
      </c>
      <c r="D335" s="429">
        <v>90046035</v>
      </c>
      <c r="E335" s="429">
        <f t="shared" si="34"/>
        <v>-8327144</v>
      </c>
      <c r="F335" s="462">
        <f t="shared" si="35"/>
        <v>-8.4648519897888019E-2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FILING&amp;RYALE-NEW HAVEN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28515625" style="330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594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742</v>
      </c>
      <c r="B5" s="710"/>
      <c r="C5" s="710"/>
      <c r="D5" s="710"/>
      <c r="E5" s="710"/>
    </row>
    <row r="6" spans="1:5" s="338" customFormat="1" ht="15.75" customHeight="1" x14ac:dyDescent="0.25">
      <c r="A6" s="710" t="s">
        <v>743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744</v>
      </c>
      <c r="D9" s="494" t="s">
        <v>745</v>
      </c>
      <c r="E9" s="495" t="s">
        <v>746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747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748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624</v>
      </c>
      <c r="C14" s="513">
        <v>937631389</v>
      </c>
      <c r="D14" s="513">
        <v>996775285</v>
      </c>
      <c r="E14" s="514">
        <f t="shared" ref="E14:E22" si="0">D14-C14</f>
        <v>59143896</v>
      </c>
    </row>
    <row r="15" spans="1:5" s="506" customFormat="1" x14ac:dyDescent="0.2">
      <c r="A15" s="512">
        <v>2</v>
      </c>
      <c r="B15" s="511" t="s">
        <v>603</v>
      </c>
      <c r="C15" s="513">
        <v>828626611</v>
      </c>
      <c r="D15" s="515">
        <v>925659420</v>
      </c>
      <c r="E15" s="514">
        <f t="shared" si="0"/>
        <v>97032809</v>
      </c>
    </row>
    <row r="16" spans="1:5" s="506" customFormat="1" x14ac:dyDescent="0.2">
      <c r="A16" s="512">
        <v>3</v>
      </c>
      <c r="B16" s="511" t="s">
        <v>749</v>
      </c>
      <c r="C16" s="513">
        <v>580577830</v>
      </c>
      <c r="D16" s="515">
        <v>687930523</v>
      </c>
      <c r="E16" s="514">
        <f t="shared" si="0"/>
        <v>107352693</v>
      </c>
    </row>
    <row r="17" spans="1:5" s="506" customFormat="1" x14ac:dyDescent="0.2">
      <c r="A17" s="512">
        <v>4</v>
      </c>
      <c r="B17" s="511" t="s">
        <v>114</v>
      </c>
      <c r="C17" s="513">
        <v>475067233</v>
      </c>
      <c r="D17" s="515">
        <v>553272849</v>
      </c>
      <c r="E17" s="514">
        <f t="shared" si="0"/>
        <v>78205616</v>
      </c>
    </row>
    <row r="18" spans="1:5" s="506" customFormat="1" x14ac:dyDescent="0.2">
      <c r="A18" s="512">
        <v>5</v>
      </c>
      <c r="B18" s="511" t="s">
        <v>716</v>
      </c>
      <c r="C18" s="513">
        <v>105510597</v>
      </c>
      <c r="D18" s="515">
        <v>134657674</v>
      </c>
      <c r="E18" s="514">
        <f t="shared" si="0"/>
        <v>29147077</v>
      </c>
    </row>
    <row r="19" spans="1:5" s="506" customFormat="1" x14ac:dyDescent="0.2">
      <c r="A19" s="512">
        <v>6</v>
      </c>
      <c r="B19" s="511" t="s">
        <v>418</v>
      </c>
      <c r="C19" s="513">
        <v>11355606</v>
      </c>
      <c r="D19" s="515">
        <v>16820452</v>
      </c>
      <c r="E19" s="514">
        <f t="shared" si="0"/>
        <v>5464846</v>
      </c>
    </row>
    <row r="20" spans="1:5" s="506" customFormat="1" x14ac:dyDescent="0.2">
      <c r="A20" s="512">
        <v>7</v>
      </c>
      <c r="B20" s="511" t="s">
        <v>731</v>
      </c>
      <c r="C20" s="513">
        <v>47689294</v>
      </c>
      <c r="D20" s="515">
        <v>51128104</v>
      </c>
      <c r="E20" s="514">
        <f t="shared" si="0"/>
        <v>3438810</v>
      </c>
    </row>
    <row r="21" spans="1:5" s="506" customFormat="1" x14ac:dyDescent="0.2">
      <c r="A21" s="512"/>
      <c r="B21" s="516" t="s">
        <v>750</v>
      </c>
      <c r="C21" s="517">
        <f>SUM(C15+C16+C19)</f>
        <v>1420560047</v>
      </c>
      <c r="D21" s="517">
        <f>SUM(D15+D16+D19)</f>
        <v>1630410395</v>
      </c>
      <c r="E21" s="517">
        <f t="shared" si="0"/>
        <v>209850348</v>
      </c>
    </row>
    <row r="22" spans="1:5" s="506" customFormat="1" x14ac:dyDescent="0.2">
      <c r="A22" s="512"/>
      <c r="B22" s="516" t="s">
        <v>690</v>
      </c>
      <c r="C22" s="517">
        <f>SUM(C14+C21)</f>
        <v>2358191436</v>
      </c>
      <c r="D22" s="517">
        <f>SUM(D14+D21)</f>
        <v>2627185680</v>
      </c>
      <c r="E22" s="517">
        <f t="shared" si="0"/>
        <v>268994244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751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624</v>
      </c>
      <c r="C25" s="513">
        <v>660456962</v>
      </c>
      <c r="D25" s="513">
        <v>695687882</v>
      </c>
      <c r="E25" s="514">
        <f t="shared" ref="E25:E33" si="1">D25-C25</f>
        <v>35230920</v>
      </c>
    </row>
    <row r="26" spans="1:5" s="506" customFormat="1" x14ac:dyDescent="0.2">
      <c r="A26" s="512">
        <v>2</v>
      </c>
      <c r="B26" s="511" t="s">
        <v>603</v>
      </c>
      <c r="C26" s="513">
        <v>307602656</v>
      </c>
      <c r="D26" s="515">
        <v>328954688</v>
      </c>
      <c r="E26" s="514">
        <f t="shared" si="1"/>
        <v>21352032</v>
      </c>
    </row>
    <row r="27" spans="1:5" s="506" customFormat="1" x14ac:dyDescent="0.2">
      <c r="A27" s="512">
        <v>3</v>
      </c>
      <c r="B27" s="511" t="s">
        <v>749</v>
      </c>
      <c r="C27" s="513">
        <v>183565259</v>
      </c>
      <c r="D27" s="515">
        <v>243984889</v>
      </c>
      <c r="E27" s="514">
        <f t="shared" si="1"/>
        <v>60419630</v>
      </c>
    </row>
    <row r="28" spans="1:5" s="506" customFormat="1" x14ac:dyDescent="0.2">
      <c r="A28" s="512">
        <v>4</v>
      </c>
      <c r="B28" s="511" t="s">
        <v>114</v>
      </c>
      <c r="C28" s="513">
        <v>147283576</v>
      </c>
      <c r="D28" s="515">
        <v>201168572</v>
      </c>
      <c r="E28" s="514">
        <f t="shared" si="1"/>
        <v>53884996</v>
      </c>
    </row>
    <row r="29" spans="1:5" s="506" customFormat="1" x14ac:dyDescent="0.2">
      <c r="A29" s="512">
        <v>5</v>
      </c>
      <c r="B29" s="511" t="s">
        <v>716</v>
      </c>
      <c r="C29" s="513">
        <v>36281683</v>
      </c>
      <c r="D29" s="515">
        <v>42816317</v>
      </c>
      <c r="E29" s="514">
        <f t="shared" si="1"/>
        <v>6534634</v>
      </c>
    </row>
    <row r="30" spans="1:5" s="506" customFormat="1" x14ac:dyDescent="0.2">
      <c r="A30" s="512">
        <v>6</v>
      </c>
      <c r="B30" s="511" t="s">
        <v>418</v>
      </c>
      <c r="C30" s="513">
        <v>6731377</v>
      </c>
      <c r="D30" s="515">
        <v>6247026</v>
      </c>
      <c r="E30" s="514">
        <f t="shared" si="1"/>
        <v>-484351</v>
      </c>
    </row>
    <row r="31" spans="1:5" s="506" customFormat="1" x14ac:dyDescent="0.2">
      <c r="A31" s="512">
        <v>7</v>
      </c>
      <c r="B31" s="511" t="s">
        <v>731</v>
      </c>
      <c r="C31" s="514">
        <v>61677977</v>
      </c>
      <c r="D31" s="518">
        <v>54157729</v>
      </c>
      <c r="E31" s="514">
        <f t="shared" si="1"/>
        <v>-7520248</v>
      </c>
    </row>
    <row r="32" spans="1:5" s="506" customFormat="1" x14ac:dyDescent="0.2">
      <c r="A32" s="512"/>
      <c r="B32" s="516" t="s">
        <v>752</v>
      </c>
      <c r="C32" s="517">
        <f>SUM(C26+C27+C30)</f>
        <v>497899292</v>
      </c>
      <c r="D32" s="517">
        <f>SUM(D26+D27+D30)</f>
        <v>579186603</v>
      </c>
      <c r="E32" s="517">
        <f t="shared" si="1"/>
        <v>81287311</v>
      </c>
    </row>
    <row r="33" spans="1:5" s="506" customFormat="1" x14ac:dyDescent="0.2">
      <c r="A33" s="512"/>
      <c r="B33" s="516" t="s">
        <v>696</v>
      </c>
      <c r="C33" s="517">
        <f>SUM(C25+C32)</f>
        <v>1158356254</v>
      </c>
      <c r="D33" s="517">
        <f>SUM(D25+D32)</f>
        <v>1274874485</v>
      </c>
      <c r="E33" s="517">
        <f t="shared" si="1"/>
        <v>116518231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621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753</v>
      </c>
      <c r="C36" s="514">
        <f t="shared" ref="C36:D42" si="2">C14+C25</f>
        <v>1598088351</v>
      </c>
      <c r="D36" s="514">
        <f t="shared" si="2"/>
        <v>1692463167</v>
      </c>
      <c r="E36" s="514">
        <f t="shared" ref="E36:E44" si="3">D36-C36</f>
        <v>94374816</v>
      </c>
    </row>
    <row r="37" spans="1:5" s="506" customFormat="1" x14ac:dyDescent="0.2">
      <c r="A37" s="512">
        <v>2</v>
      </c>
      <c r="B37" s="511" t="s">
        <v>754</v>
      </c>
      <c r="C37" s="514">
        <f t="shared" si="2"/>
        <v>1136229267</v>
      </c>
      <c r="D37" s="514">
        <f t="shared" si="2"/>
        <v>1254614108</v>
      </c>
      <c r="E37" s="514">
        <f t="shared" si="3"/>
        <v>118384841</v>
      </c>
    </row>
    <row r="38" spans="1:5" s="506" customFormat="1" x14ac:dyDescent="0.2">
      <c r="A38" s="512">
        <v>3</v>
      </c>
      <c r="B38" s="511" t="s">
        <v>755</v>
      </c>
      <c r="C38" s="514">
        <f t="shared" si="2"/>
        <v>764143089</v>
      </c>
      <c r="D38" s="514">
        <f t="shared" si="2"/>
        <v>931915412</v>
      </c>
      <c r="E38" s="514">
        <f t="shared" si="3"/>
        <v>167772323</v>
      </c>
    </row>
    <row r="39" spans="1:5" s="506" customFormat="1" x14ac:dyDescent="0.2">
      <c r="A39" s="512">
        <v>4</v>
      </c>
      <c r="B39" s="511" t="s">
        <v>756</v>
      </c>
      <c r="C39" s="514">
        <f t="shared" si="2"/>
        <v>622350809</v>
      </c>
      <c r="D39" s="514">
        <f t="shared" si="2"/>
        <v>754441421</v>
      </c>
      <c r="E39" s="514">
        <f t="shared" si="3"/>
        <v>132090612</v>
      </c>
    </row>
    <row r="40" spans="1:5" s="506" customFormat="1" x14ac:dyDescent="0.2">
      <c r="A40" s="512">
        <v>5</v>
      </c>
      <c r="B40" s="511" t="s">
        <v>757</v>
      </c>
      <c r="C40" s="514">
        <f t="shared" si="2"/>
        <v>141792280</v>
      </c>
      <c r="D40" s="514">
        <f t="shared" si="2"/>
        <v>177473991</v>
      </c>
      <c r="E40" s="514">
        <f t="shared" si="3"/>
        <v>35681711</v>
      </c>
    </row>
    <row r="41" spans="1:5" s="506" customFormat="1" x14ac:dyDescent="0.2">
      <c r="A41" s="512">
        <v>6</v>
      </c>
      <c r="B41" s="511" t="s">
        <v>758</v>
      </c>
      <c r="C41" s="514">
        <f t="shared" si="2"/>
        <v>18086983</v>
      </c>
      <c r="D41" s="514">
        <f t="shared" si="2"/>
        <v>23067478</v>
      </c>
      <c r="E41" s="514">
        <f t="shared" si="3"/>
        <v>4980495</v>
      </c>
    </row>
    <row r="42" spans="1:5" s="506" customFormat="1" x14ac:dyDescent="0.2">
      <c r="A42" s="512">
        <v>7</v>
      </c>
      <c r="B42" s="511" t="s">
        <v>759</v>
      </c>
      <c r="C42" s="514">
        <f t="shared" si="2"/>
        <v>109367271</v>
      </c>
      <c r="D42" s="514">
        <f t="shared" si="2"/>
        <v>105285833</v>
      </c>
      <c r="E42" s="514">
        <f t="shared" si="3"/>
        <v>-4081438</v>
      </c>
    </row>
    <row r="43" spans="1:5" s="506" customFormat="1" x14ac:dyDescent="0.2">
      <c r="A43" s="512"/>
      <c r="B43" s="516" t="s">
        <v>760</v>
      </c>
      <c r="C43" s="517">
        <f>SUM(C37+C38+C41)</f>
        <v>1918459339</v>
      </c>
      <c r="D43" s="517">
        <f>SUM(D37+D38+D41)</f>
        <v>2209596998</v>
      </c>
      <c r="E43" s="517">
        <f t="shared" si="3"/>
        <v>291137659</v>
      </c>
    </row>
    <row r="44" spans="1:5" s="506" customFormat="1" x14ac:dyDescent="0.2">
      <c r="A44" s="512"/>
      <c r="B44" s="516" t="s">
        <v>698</v>
      </c>
      <c r="C44" s="517">
        <f>SUM(C36+C43)</f>
        <v>3516547690</v>
      </c>
      <c r="D44" s="517">
        <f>SUM(D36+D43)</f>
        <v>3902060165</v>
      </c>
      <c r="E44" s="517">
        <f t="shared" si="3"/>
        <v>385512475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761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624</v>
      </c>
      <c r="C47" s="513">
        <v>355346824</v>
      </c>
      <c r="D47" s="513">
        <v>371533140</v>
      </c>
      <c r="E47" s="514">
        <f t="shared" ref="E47:E55" si="4">D47-C47</f>
        <v>16186316</v>
      </c>
    </row>
    <row r="48" spans="1:5" s="506" customFormat="1" x14ac:dyDescent="0.2">
      <c r="A48" s="512">
        <v>2</v>
      </c>
      <c r="B48" s="511" t="s">
        <v>603</v>
      </c>
      <c r="C48" s="513">
        <v>288806494</v>
      </c>
      <c r="D48" s="515">
        <v>323184765</v>
      </c>
      <c r="E48" s="514">
        <f t="shared" si="4"/>
        <v>34378271</v>
      </c>
    </row>
    <row r="49" spans="1:5" s="506" customFormat="1" x14ac:dyDescent="0.2">
      <c r="A49" s="512">
        <v>3</v>
      </c>
      <c r="B49" s="511" t="s">
        <v>749</v>
      </c>
      <c r="C49" s="513">
        <v>98019359</v>
      </c>
      <c r="D49" s="515">
        <v>118402345</v>
      </c>
      <c r="E49" s="514">
        <f t="shared" si="4"/>
        <v>20382986</v>
      </c>
    </row>
    <row r="50" spans="1:5" s="506" customFormat="1" x14ac:dyDescent="0.2">
      <c r="A50" s="512">
        <v>4</v>
      </c>
      <c r="B50" s="511" t="s">
        <v>114</v>
      </c>
      <c r="C50" s="513">
        <v>85102278</v>
      </c>
      <c r="D50" s="515">
        <v>96997730</v>
      </c>
      <c r="E50" s="514">
        <f t="shared" si="4"/>
        <v>11895452</v>
      </c>
    </row>
    <row r="51" spans="1:5" s="506" customFormat="1" x14ac:dyDescent="0.2">
      <c r="A51" s="512">
        <v>5</v>
      </c>
      <c r="B51" s="511" t="s">
        <v>716</v>
      </c>
      <c r="C51" s="513">
        <v>12917081</v>
      </c>
      <c r="D51" s="515">
        <v>21404615</v>
      </c>
      <c r="E51" s="514">
        <f t="shared" si="4"/>
        <v>8487534</v>
      </c>
    </row>
    <row r="52" spans="1:5" s="506" customFormat="1" x14ac:dyDescent="0.2">
      <c r="A52" s="512">
        <v>6</v>
      </c>
      <c r="B52" s="511" t="s">
        <v>418</v>
      </c>
      <c r="C52" s="513">
        <v>3296905</v>
      </c>
      <c r="D52" s="515">
        <v>3524787</v>
      </c>
      <c r="E52" s="514">
        <f t="shared" si="4"/>
        <v>227882</v>
      </c>
    </row>
    <row r="53" spans="1:5" s="506" customFormat="1" x14ac:dyDescent="0.2">
      <c r="A53" s="512">
        <v>7</v>
      </c>
      <c r="B53" s="511" t="s">
        <v>731</v>
      </c>
      <c r="C53" s="513">
        <v>2265747</v>
      </c>
      <c r="D53" s="515">
        <v>2292001</v>
      </c>
      <c r="E53" s="514">
        <f t="shared" si="4"/>
        <v>26254</v>
      </c>
    </row>
    <row r="54" spans="1:5" s="506" customFormat="1" x14ac:dyDescent="0.2">
      <c r="A54" s="512"/>
      <c r="B54" s="516" t="s">
        <v>762</v>
      </c>
      <c r="C54" s="517">
        <f>SUM(C48+C49+C52)</f>
        <v>390122758</v>
      </c>
      <c r="D54" s="517">
        <f>SUM(D48+D49+D52)</f>
        <v>445111897</v>
      </c>
      <c r="E54" s="517">
        <f t="shared" si="4"/>
        <v>54989139</v>
      </c>
    </row>
    <row r="55" spans="1:5" s="506" customFormat="1" x14ac:dyDescent="0.2">
      <c r="A55" s="512"/>
      <c r="B55" s="516" t="s">
        <v>691</v>
      </c>
      <c r="C55" s="517">
        <f>SUM(C47+C54)</f>
        <v>745469582</v>
      </c>
      <c r="D55" s="517">
        <f>SUM(D47+D54)</f>
        <v>816645037</v>
      </c>
      <c r="E55" s="517">
        <f t="shared" si="4"/>
        <v>71175455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763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624</v>
      </c>
      <c r="C58" s="513">
        <v>274465481</v>
      </c>
      <c r="D58" s="513">
        <v>314887575</v>
      </c>
      <c r="E58" s="514">
        <f t="shared" ref="E58:E66" si="5">D58-C58</f>
        <v>40422094</v>
      </c>
    </row>
    <row r="59" spans="1:5" s="506" customFormat="1" x14ac:dyDescent="0.2">
      <c r="A59" s="512">
        <v>2</v>
      </c>
      <c r="B59" s="511" t="s">
        <v>603</v>
      </c>
      <c r="C59" s="513">
        <v>75909578</v>
      </c>
      <c r="D59" s="515">
        <v>73407846</v>
      </c>
      <c r="E59" s="514">
        <f t="shared" si="5"/>
        <v>-2501732</v>
      </c>
    </row>
    <row r="60" spans="1:5" s="506" customFormat="1" x14ac:dyDescent="0.2">
      <c r="A60" s="512">
        <v>3</v>
      </c>
      <c r="B60" s="511" t="s">
        <v>749</v>
      </c>
      <c r="C60" s="513">
        <f>C61+C62</f>
        <v>53201526</v>
      </c>
      <c r="D60" s="515">
        <f>D61+D62</f>
        <v>62476654</v>
      </c>
      <c r="E60" s="514">
        <f t="shared" si="5"/>
        <v>9275128</v>
      </c>
    </row>
    <row r="61" spans="1:5" s="506" customFormat="1" x14ac:dyDescent="0.2">
      <c r="A61" s="512">
        <v>4</v>
      </c>
      <c r="B61" s="511" t="s">
        <v>114</v>
      </c>
      <c r="C61" s="513">
        <v>45582372</v>
      </c>
      <c r="D61" s="515">
        <v>54137060</v>
      </c>
      <c r="E61" s="514">
        <f t="shared" si="5"/>
        <v>8554688</v>
      </c>
    </row>
    <row r="62" spans="1:5" s="506" customFormat="1" x14ac:dyDescent="0.2">
      <c r="A62" s="512">
        <v>5</v>
      </c>
      <c r="B62" s="511" t="s">
        <v>716</v>
      </c>
      <c r="C62" s="513">
        <v>7619154</v>
      </c>
      <c r="D62" s="515">
        <v>8339594</v>
      </c>
      <c r="E62" s="514">
        <f t="shared" si="5"/>
        <v>720440</v>
      </c>
    </row>
    <row r="63" spans="1:5" s="506" customFormat="1" x14ac:dyDescent="0.2">
      <c r="A63" s="512">
        <v>6</v>
      </c>
      <c r="B63" s="511" t="s">
        <v>418</v>
      </c>
      <c r="C63" s="513">
        <v>1708262</v>
      </c>
      <c r="D63" s="515">
        <v>2463260</v>
      </c>
      <c r="E63" s="514">
        <f t="shared" si="5"/>
        <v>754998</v>
      </c>
    </row>
    <row r="64" spans="1:5" s="506" customFormat="1" x14ac:dyDescent="0.2">
      <c r="A64" s="512">
        <v>7</v>
      </c>
      <c r="B64" s="511" t="s">
        <v>731</v>
      </c>
      <c r="C64" s="513">
        <v>16658247</v>
      </c>
      <c r="D64" s="515">
        <v>17830957</v>
      </c>
      <c r="E64" s="514">
        <f t="shared" si="5"/>
        <v>1172710</v>
      </c>
    </row>
    <row r="65" spans="1:5" s="506" customFormat="1" x14ac:dyDescent="0.2">
      <c r="A65" s="512"/>
      <c r="B65" s="516" t="s">
        <v>764</v>
      </c>
      <c r="C65" s="517">
        <f>SUM(C59+C60+C63)</f>
        <v>130819366</v>
      </c>
      <c r="D65" s="517">
        <f>SUM(D59+D60+D63)</f>
        <v>138347760</v>
      </c>
      <c r="E65" s="517">
        <f t="shared" si="5"/>
        <v>7528394</v>
      </c>
    </row>
    <row r="66" spans="1:5" s="506" customFormat="1" x14ac:dyDescent="0.2">
      <c r="A66" s="512"/>
      <c r="B66" s="516" t="s">
        <v>697</v>
      </c>
      <c r="C66" s="517">
        <f>SUM(C58+C65)</f>
        <v>405284847</v>
      </c>
      <c r="D66" s="517">
        <f>SUM(D58+D65)</f>
        <v>453235335</v>
      </c>
      <c r="E66" s="517">
        <f t="shared" si="5"/>
        <v>47950488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622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753</v>
      </c>
      <c r="C69" s="514">
        <f t="shared" ref="C69:D75" si="6">C47+C58</f>
        <v>629812305</v>
      </c>
      <c r="D69" s="514">
        <f t="shared" si="6"/>
        <v>686420715</v>
      </c>
      <c r="E69" s="514">
        <f t="shared" ref="E69:E77" si="7">D69-C69</f>
        <v>56608410</v>
      </c>
    </row>
    <row r="70" spans="1:5" s="506" customFormat="1" x14ac:dyDescent="0.2">
      <c r="A70" s="512">
        <v>2</v>
      </c>
      <c r="B70" s="511" t="s">
        <v>754</v>
      </c>
      <c r="C70" s="514">
        <f t="shared" si="6"/>
        <v>364716072</v>
      </c>
      <c r="D70" s="514">
        <f t="shared" si="6"/>
        <v>396592611</v>
      </c>
      <c r="E70" s="514">
        <f t="shared" si="7"/>
        <v>31876539</v>
      </c>
    </row>
    <row r="71" spans="1:5" s="506" customFormat="1" x14ac:dyDescent="0.2">
      <c r="A71" s="512">
        <v>3</v>
      </c>
      <c r="B71" s="511" t="s">
        <v>755</v>
      </c>
      <c r="C71" s="514">
        <f t="shared" si="6"/>
        <v>151220885</v>
      </c>
      <c r="D71" s="514">
        <f t="shared" si="6"/>
        <v>180878999</v>
      </c>
      <c r="E71" s="514">
        <f t="shared" si="7"/>
        <v>29658114</v>
      </c>
    </row>
    <row r="72" spans="1:5" s="506" customFormat="1" x14ac:dyDescent="0.2">
      <c r="A72" s="512">
        <v>4</v>
      </c>
      <c r="B72" s="511" t="s">
        <v>756</v>
      </c>
      <c r="C72" s="514">
        <f t="shared" si="6"/>
        <v>130684650</v>
      </c>
      <c r="D72" s="514">
        <f t="shared" si="6"/>
        <v>151134790</v>
      </c>
      <c r="E72" s="514">
        <f t="shared" si="7"/>
        <v>20450140</v>
      </c>
    </row>
    <row r="73" spans="1:5" s="506" customFormat="1" x14ac:dyDescent="0.2">
      <c r="A73" s="512">
        <v>5</v>
      </c>
      <c r="B73" s="511" t="s">
        <v>757</v>
      </c>
      <c r="C73" s="514">
        <f t="shared" si="6"/>
        <v>20536235</v>
      </c>
      <c r="D73" s="514">
        <f t="shared" si="6"/>
        <v>29744209</v>
      </c>
      <c r="E73" s="514">
        <f t="shared" si="7"/>
        <v>9207974</v>
      </c>
    </row>
    <row r="74" spans="1:5" s="506" customFormat="1" x14ac:dyDescent="0.2">
      <c r="A74" s="512">
        <v>6</v>
      </c>
      <c r="B74" s="511" t="s">
        <v>758</v>
      </c>
      <c r="C74" s="514">
        <f t="shared" si="6"/>
        <v>5005167</v>
      </c>
      <c r="D74" s="514">
        <f t="shared" si="6"/>
        <v>5988047</v>
      </c>
      <c r="E74" s="514">
        <f t="shared" si="7"/>
        <v>982880</v>
      </c>
    </row>
    <row r="75" spans="1:5" s="506" customFormat="1" x14ac:dyDescent="0.2">
      <c r="A75" s="512">
        <v>7</v>
      </c>
      <c r="B75" s="511" t="s">
        <v>759</v>
      </c>
      <c r="C75" s="514">
        <f t="shared" si="6"/>
        <v>18923994</v>
      </c>
      <c r="D75" s="514">
        <f t="shared" si="6"/>
        <v>20122958</v>
      </c>
      <c r="E75" s="514">
        <f t="shared" si="7"/>
        <v>1198964</v>
      </c>
    </row>
    <row r="76" spans="1:5" s="506" customFormat="1" x14ac:dyDescent="0.2">
      <c r="A76" s="512"/>
      <c r="B76" s="516" t="s">
        <v>765</v>
      </c>
      <c r="C76" s="517">
        <f>SUM(C70+C71+C74)</f>
        <v>520942124</v>
      </c>
      <c r="D76" s="517">
        <f>SUM(D70+D71+D74)</f>
        <v>583459657</v>
      </c>
      <c r="E76" s="517">
        <f t="shared" si="7"/>
        <v>62517533</v>
      </c>
    </row>
    <row r="77" spans="1:5" s="506" customFormat="1" x14ac:dyDescent="0.2">
      <c r="A77" s="512"/>
      <c r="B77" s="516" t="s">
        <v>699</v>
      </c>
      <c r="C77" s="517">
        <f>SUM(C69+C76)</f>
        <v>1150754429</v>
      </c>
      <c r="D77" s="517">
        <f>SUM(D69+D76)</f>
        <v>1269880372</v>
      </c>
      <c r="E77" s="517">
        <f t="shared" si="7"/>
        <v>119125943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766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767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624</v>
      </c>
      <c r="C83" s="523">
        <f t="shared" ref="C83:D89" si="8">IF(C$44=0,0,C14/C$44)</f>
        <v>0.26663406035025222</v>
      </c>
      <c r="D83" s="523">
        <f t="shared" si="8"/>
        <v>0.25544846641286989</v>
      </c>
      <c r="E83" s="523">
        <f t="shared" ref="E83:E91" si="9">D83-C83</f>
        <v>-1.1185593937382332E-2</v>
      </c>
    </row>
    <row r="84" spans="1:5" s="506" customFormat="1" x14ac:dyDescent="0.2">
      <c r="A84" s="512">
        <v>2</v>
      </c>
      <c r="B84" s="511" t="s">
        <v>603</v>
      </c>
      <c r="C84" s="523">
        <f t="shared" si="8"/>
        <v>0.23563639229360203</v>
      </c>
      <c r="D84" s="523">
        <f t="shared" si="8"/>
        <v>0.23722325665370667</v>
      </c>
      <c r="E84" s="523">
        <f t="shared" si="9"/>
        <v>1.5868643601046339E-3</v>
      </c>
    </row>
    <row r="85" spans="1:5" s="506" customFormat="1" x14ac:dyDescent="0.2">
      <c r="A85" s="512">
        <v>3</v>
      </c>
      <c r="B85" s="511" t="s">
        <v>749</v>
      </c>
      <c r="C85" s="523">
        <f t="shared" si="8"/>
        <v>0.16509880746135991</v>
      </c>
      <c r="D85" s="523">
        <f t="shared" si="8"/>
        <v>0.17629931213528585</v>
      </c>
      <c r="E85" s="523">
        <f t="shared" si="9"/>
        <v>1.1200504673925943E-2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0.13509477899331432</v>
      </c>
      <c r="D86" s="523">
        <f t="shared" si="8"/>
        <v>0.14178993290842812</v>
      </c>
      <c r="E86" s="523">
        <f t="shared" si="9"/>
        <v>6.6951539151137995E-3</v>
      </c>
    </row>
    <row r="87" spans="1:5" s="506" customFormat="1" x14ac:dyDescent="0.2">
      <c r="A87" s="512">
        <v>5</v>
      </c>
      <c r="B87" s="511" t="s">
        <v>716</v>
      </c>
      <c r="C87" s="523">
        <f t="shared" si="8"/>
        <v>3.0004028468045601E-2</v>
      </c>
      <c r="D87" s="523">
        <f t="shared" si="8"/>
        <v>3.450937922685772E-2</v>
      </c>
      <c r="E87" s="523">
        <f t="shared" si="9"/>
        <v>4.505350758812119E-3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3.2291915256238142E-3</v>
      </c>
      <c r="D88" s="523">
        <f t="shared" si="8"/>
        <v>4.3106593155259566E-3</v>
      </c>
      <c r="E88" s="523">
        <f t="shared" si="9"/>
        <v>1.0814677899021424E-3</v>
      </c>
    </row>
    <row r="89" spans="1:5" s="506" customFormat="1" x14ac:dyDescent="0.2">
      <c r="A89" s="512">
        <v>7</v>
      </c>
      <c r="B89" s="511" t="s">
        <v>731</v>
      </c>
      <c r="C89" s="523">
        <f t="shared" si="8"/>
        <v>1.3561395494681888E-2</v>
      </c>
      <c r="D89" s="523">
        <f t="shared" si="8"/>
        <v>1.3102848710176154E-2</v>
      </c>
      <c r="E89" s="523">
        <f t="shared" si="9"/>
        <v>-4.5854678450573359E-4</v>
      </c>
    </row>
    <row r="90" spans="1:5" s="506" customFormat="1" x14ac:dyDescent="0.2">
      <c r="A90" s="512"/>
      <c r="B90" s="516" t="s">
        <v>768</v>
      </c>
      <c r="C90" s="524">
        <f>SUM(C84+C85+C88)</f>
        <v>0.40396439128058576</v>
      </c>
      <c r="D90" s="524">
        <f>SUM(D84+D85+D88)</f>
        <v>0.41783322810451845</v>
      </c>
      <c r="E90" s="525">
        <f t="shared" si="9"/>
        <v>1.3868836823932695E-2</v>
      </c>
    </row>
    <row r="91" spans="1:5" s="506" customFormat="1" x14ac:dyDescent="0.2">
      <c r="A91" s="512"/>
      <c r="B91" s="516" t="s">
        <v>769</v>
      </c>
      <c r="C91" s="524">
        <f>SUM(C83+C90)</f>
        <v>0.67059845163083798</v>
      </c>
      <c r="D91" s="524">
        <f>SUM(D83+D90)</f>
        <v>0.67328169451738828</v>
      </c>
      <c r="E91" s="525">
        <f t="shared" si="9"/>
        <v>2.6832428865503077E-3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770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624</v>
      </c>
      <c r="C95" s="523">
        <f t="shared" ref="C95:D101" si="10">IF(C$44=0,0,C25/C$44)</f>
        <v>0.18781402108611814</v>
      </c>
      <c r="D95" s="523">
        <f t="shared" si="10"/>
        <v>0.1782873283810579</v>
      </c>
      <c r="E95" s="523">
        <f t="shared" ref="E95:E103" si="11">D95-C95</f>
        <v>-9.5266927050602357E-3</v>
      </c>
    </row>
    <row r="96" spans="1:5" s="506" customFormat="1" x14ac:dyDescent="0.2">
      <c r="A96" s="512">
        <v>2</v>
      </c>
      <c r="B96" s="511" t="s">
        <v>603</v>
      </c>
      <c r="C96" s="523">
        <f t="shared" si="10"/>
        <v>8.747290897681527E-2</v>
      </c>
      <c r="D96" s="523">
        <f t="shared" si="10"/>
        <v>8.4302823147269432E-2</v>
      </c>
      <c r="E96" s="523">
        <f t="shared" si="11"/>
        <v>-3.1700858295458378E-3</v>
      </c>
    </row>
    <row r="97" spans="1:5" s="506" customFormat="1" x14ac:dyDescent="0.2">
      <c r="A97" s="512">
        <v>3</v>
      </c>
      <c r="B97" s="511" t="s">
        <v>749</v>
      </c>
      <c r="C97" s="523">
        <f t="shared" si="10"/>
        <v>5.2200417904754763E-2</v>
      </c>
      <c r="D97" s="523">
        <f t="shared" si="10"/>
        <v>6.2527198116638982E-2</v>
      </c>
      <c r="E97" s="523">
        <f t="shared" si="11"/>
        <v>1.0326780211884219E-2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4.1883002587688498E-2</v>
      </c>
      <c r="D98" s="523">
        <f t="shared" si="10"/>
        <v>5.155445162132706E-2</v>
      </c>
      <c r="E98" s="523">
        <f t="shared" si="11"/>
        <v>9.6714490336385628E-3</v>
      </c>
    </row>
    <row r="99" spans="1:5" s="506" customFormat="1" x14ac:dyDescent="0.2">
      <c r="A99" s="512">
        <v>5</v>
      </c>
      <c r="B99" s="511" t="s">
        <v>716</v>
      </c>
      <c r="C99" s="523">
        <f t="shared" si="10"/>
        <v>1.0317415317066267E-2</v>
      </c>
      <c r="D99" s="523">
        <f t="shared" si="10"/>
        <v>1.097274649531192E-2</v>
      </c>
      <c r="E99" s="523">
        <f t="shared" si="11"/>
        <v>6.5533117824565293E-4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1.9142004014738672E-3</v>
      </c>
      <c r="D100" s="523">
        <f t="shared" si="10"/>
        <v>1.6009558376453173E-3</v>
      </c>
      <c r="E100" s="523">
        <f t="shared" si="11"/>
        <v>-3.1324456382854989E-4</v>
      </c>
    </row>
    <row r="101" spans="1:5" s="506" customFormat="1" x14ac:dyDescent="0.2">
      <c r="A101" s="512">
        <v>7</v>
      </c>
      <c r="B101" s="511" t="s">
        <v>731</v>
      </c>
      <c r="C101" s="523">
        <f t="shared" si="10"/>
        <v>1.7539354627663248E-2</v>
      </c>
      <c r="D101" s="523">
        <f t="shared" si="10"/>
        <v>1.3879265493078321E-2</v>
      </c>
      <c r="E101" s="523">
        <f t="shared" si="11"/>
        <v>-3.6600891345849266E-3</v>
      </c>
    </row>
    <row r="102" spans="1:5" s="506" customFormat="1" x14ac:dyDescent="0.2">
      <c r="A102" s="512"/>
      <c r="B102" s="516" t="s">
        <v>771</v>
      </c>
      <c r="C102" s="524">
        <f>SUM(C96+C97+C100)</f>
        <v>0.14158752728304388</v>
      </c>
      <c r="D102" s="524">
        <f>SUM(D96+D97+D100)</f>
        <v>0.14843097710155376</v>
      </c>
      <c r="E102" s="525">
        <f t="shared" si="11"/>
        <v>6.8434498185098724E-3</v>
      </c>
    </row>
    <row r="103" spans="1:5" s="506" customFormat="1" x14ac:dyDescent="0.2">
      <c r="A103" s="512"/>
      <c r="B103" s="516" t="s">
        <v>772</v>
      </c>
      <c r="C103" s="524">
        <f>SUM(C95+C102)</f>
        <v>0.32940154836916202</v>
      </c>
      <c r="D103" s="524">
        <f>SUM(D95+D102)</f>
        <v>0.32671830548261166</v>
      </c>
      <c r="E103" s="525">
        <f t="shared" si="11"/>
        <v>-2.6832428865503632E-3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773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774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624</v>
      </c>
      <c r="C109" s="523">
        <f t="shared" ref="C109:D115" si="12">IF(C$77=0,0,C47/C$77)</f>
        <v>0.30879466117614224</v>
      </c>
      <c r="D109" s="523">
        <f t="shared" si="12"/>
        <v>0.29257333855381457</v>
      </c>
      <c r="E109" s="523">
        <f t="shared" ref="E109:E117" si="13">D109-C109</f>
        <v>-1.6221322622327672E-2</v>
      </c>
    </row>
    <row r="110" spans="1:5" s="506" customFormat="1" x14ac:dyDescent="0.2">
      <c r="A110" s="512">
        <v>2</v>
      </c>
      <c r="B110" s="511" t="s">
        <v>603</v>
      </c>
      <c r="C110" s="523">
        <f t="shared" si="12"/>
        <v>0.25097143814686113</v>
      </c>
      <c r="D110" s="523">
        <f t="shared" si="12"/>
        <v>0.25450016562662486</v>
      </c>
      <c r="E110" s="523">
        <f t="shared" si="13"/>
        <v>3.528727479763738E-3</v>
      </c>
    </row>
    <row r="111" spans="1:5" s="506" customFormat="1" x14ac:dyDescent="0.2">
      <c r="A111" s="512">
        <v>3</v>
      </c>
      <c r="B111" s="511" t="s">
        <v>749</v>
      </c>
      <c r="C111" s="523">
        <f t="shared" si="12"/>
        <v>8.5178346074390815E-2</v>
      </c>
      <c r="D111" s="523">
        <f t="shared" si="12"/>
        <v>9.3238975584386777E-2</v>
      </c>
      <c r="E111" s="523">
        <f t="shared" si="13"/>
        <v>8.0606295099959618E-3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7.3953465531263224E-2</v>
      </c>
      <c r="D112" s="523">
        <f t="shared" si="12"/>
        <v>7.638336030600526E-2</v>
      </c>
      <c r="E112" s="523">
        <f t="shared" si="13"/>
        <v>2.4298947747420363E-3</v>
      </c>
    </row>
    <row r="113" spans="1:5" s="506" customFormat="1" x14ac:dyDescent="0.2">
      <c r="A113" s="512">
        <v>5</v>
      </c>
      <c r="B113" s="511" t="s">
        <v>716</v>
      </c>
      <c r="C113" s="523">
        <f t="shared" si="12"/>
        <v>1.1224880543127591E-2</v>
      </c>
      <c r="D113" s="523">
        <f t="shared" si="12"/>
        <v>1.6855615278381513E-2</v>
      </c>
      <c r="E113" s="523">
        <f t="shared" si="13"/>
        <v>5.6307347352539221E-3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2.8649944044664634E-3</v>
      </c>
      <c r="D114" s="523">
        <f t="shared" si="12"/>
        <v>2.7756842909924116E-3</v>
      </c>
      <c r="E114" s="523">
        <f t="shared" si="13"/>
        <v>-8.9310113474051767E-5</v>
      </c>
    </row>
    <row r="115" spans="1:5" s="506" customFormat="1" x14ac:dyDescent="0.2">
      <c r="A115" s="512">
        <v>7</v>
      </c>
      <c r="B115" s="511" t="s">
        <v>731</v>
      </c>
      <c r="C115" s="523">
        <f t="shared" si="12"/>
        <v>1.9689231193912703E-3</v>
      </c>
      <c r="D115" s="523">
        <f t="shared" si="12"/>
        <v>1.80489520945206E-3</v>
      </c>
      <c r="E115" s="523">
        <f t="shared" si="13"/>
        <v>-1.6402790993921032E-4</v>
      </c>
    </row>
    <row r="116" spans="1:5" s="506" customFormat="1" x14ac:dyDescent="0.2">
      <c r="A116" s="512"/>
      <c r="B116" s="516" t="s">
        <v>768</v>
      </c>
      <c r="C116" s="524">
        <f>SUM(C110+C111+C114)</f>
        <v>0.33901477862571844</v>
      </c>
      <c r="D116" s="524">
        <f>SUM(D110+D111+D114)</f>
        <v>0.35051482550200402</v>
      </c>
      <c r="E116" s="525">
        <f t="shared" si="13"/>
        <v>1.1500046876285586E-2</v>
      </c>
    </row>
    <row r="117" spans="1:5" s="506" customFormat="1" x14ac:dyDescent="0.2">
      <c r="A117" s="512"/>
      <c r="B117" s="516" t="s">
        <v>769</v>
      </c>
      <c r="C117" s="524">
        <f>SUM(C109+C116)</f>
        <v>0.64780943980186068</v>
      </c>
      <c r="D117" s="524">
        <f>SUM(D109+D116)</f>
        <v>0.64308816405581859</v>
      </c>
      <c r="E117" s="525">
        <f t="shared" si="13"/>
        <v>-4.7212757460420862E-3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775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624</v>
      </c>
      <c r="C121" s="523">
        <f t="shared" ref="C121:D127" si="14">IF(C$77=0,0,C58/C$77)</f>
        <v>0.23850916762363381</v>
      </c>
      <c r="D121" s="523">
        <f t="shared" si="14"/>
        <v>0.24796632969770793</v>
      </c>
      <c r="E121" s="523">
        <f t="shared" ref="E121:E129" si="15">D121-C121</f>
        <v>9.4571620740741269E-3</v>
      </c>
    </row>
    <row r="122" spans="1:5" s="506" customFormat="1" x14ac:dyDescent="0.2">
      <c r="A122" s="512">
        <v>2</v>
      </c>
      <c r="B122" s="511" t="s">
        <v>603</v>
      </c>
      <c r="C122" s="523">
        <f t="shared" si="14"/>
        <v>6.5965053956789949E-2</v>
      </c>
      <c r="D122" s="523">
        <f t="shared" si="14"/>
        <v>5.7806898680059289E-2</v>
      </c>
      <c r="E122" s="523">
        <f t="shared" si="15"/>
        <v>-8.1581552767306595E-3</v>
      </c>
    </row>
    <row r="123" spans="1:5" s="506" customFormat="1" x14ac:dyDescent="0.2">
      <c r="A123" s="512">
        <v>3</v>
      </c>
      <c r="B123" s="511" t="s">
        <v>749</v>
      </c>
      <c r="C123" s="523">
        <f t="shared" si="14"/>
        <v>4.6231867250975403E-2</v>
      </c>
      <c r="D123" s="523">
        <f t="shared" si="14"/>
        <v>4.919885004727044E-2</v>
      </c>
      <c r="E123" s="523">
        <f t="shared" si="15"/>
        <v>2.9669827962950368E-3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3.9610859494680253E-2</v>
      </c>
      <c r="D124" s="523">
        <f t="shared" si="14"/>
        <v>4.263162199659544E-2</v>
      </c>
      <c r="E124" s="523">
        <f t="shared" si="15"/>
        <v>3.0207625019151862E-3</v>
      </c>
    </row>
    <row r="125" spans="1:5" s="506" customFormat="1" x14ac:dyDescent="0.2">
      <c r="A125" s="512">
        <v>5</v>
      </c>
      <c r="B125" s="511" t="s">
        <v>716</v>
      </c>
      <c r="C125" s="523">
        <f t="shared" si="14"/>
        <v>6.6210077562951532E-3</v>
      </c>
      <c r="D125" s="523">
        <f t="shared" si="14"/>
        <v>6.5672280506749968E-3</v>
      </c>
      <c r="E125" s="523">
        <f t="shared" si="15"/>
        <v>-5.3779705620156382E-5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1.4844713667402274E-3</v>
      </c>
      <c r="D126" s="523">
        <f t="shared" si="14"/>
        <v>1.939757519143701E-3</v>
      </c>
      <c r="E126" s="523">
        <f t="shared" si="15"/>
        <v>4.5528615240347358E-4</v>
      </c>
    </row>
    <row r="127" spans="1:5" s="506" customFormat="1" x14ac:dyDescent="0.2">
      <c r="A127" s="512">
        <v>7</v>
      </c>
      <c r="B127" s="511" t="s">
        <v>731</v>
      </c>
      <c r="C127" s="523">
        <f t="shared" si="14"/>
        <v>1.4475935595117314E-2</v>
      </c>
      <c r="D127" s="523">
        <f t="shared" si="14"/>
        <v>1.4041446259947389E-2</v>
      </c>
      <c r="E127" s="523">
        <f t="shared" si="15"/>
        <v>-4.3448933516992451E-4</v>
      </c>
    </row>
    <row r="128" spans="1:5" s="506" customFormat="1" x14ac:dyDescent="0.2">
      <c r="A128" s="512"/>
      <c r="B128" s="516" t="s">
        <v>771</v>
      </c>
      <c r="C128" s="524">
        <f>SUM(C122+C123+C126)</f>
        <v>0.11368139257450557</v>
      </c>
      <c r="D128" s="524">
        <f>SUM(D122+D123+D126)</f>
        <v>0.10894550624647344</v>
      </c>
      <c r="E128" s="525">
        <f t="shared" si="15"/>
        <v>-4.7358863280321378E-3</v>
      </c>
    </row>
    <row r="129" spans="1:5" s="506" customFormat="1" x14ac:dyDescent="0.2">
      <c r="A129" s="512"/>
      <c r="B129" s="516" t="s">
        <v>772</v>
      </c>
      <c r="C129" s="524">
        <f>SUM(C121+C128)</f>
        <v>0.35219056019813938</v>
      </c>
      <c r="D129" s="524">
        <f>SUM(D121+D128)</f>
        <v>0.35691183594418135</v>
      </c>
      <c r="E129" s="525">
        <f t="shared" si="15"/>
        <v>4.7212757460419752E-3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776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777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778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624</v>
      </c>
      <c r="C137" s="530">
        <v>23910</v>
      </c>
      <c r="D137" s="530">
        <v>23401</v>
      </c>
      <c r="E137" s="531">
        <f t="shared" ref="E137:E145" si="16">D137-C137</f>
        <v>-509</v>
      </c>
    </row>
    <row r="138" spans="1:5" s="506" customFormat="1" x14ac:dyDescent="0.2">
      <c r="A138" s="512">
        <v>2</v>
      </c>
      <c r="B138" s="511" t="s">
        <v>603</v>
      </c>
      <c r="C138" s="530">
        <v>16762</v>
      </c>
      <c r="D138" s="530">
        <v>17357</v>
      </c>
      <c r="E138" s="531">
        <f t="shared" si="16"/>
        <v>595</v>
      </c>
    </row>
    <row r="139" spans="1:5" s="506" customFormat="1" x14ac:dyDescent="0.2">
      <c r="A139" s="512">
        <v>3</v>
      </c>
      <c r="B139" s="511" t="s">
        <v>749</v>
      </c>
      <c r="C139" s="530">
        <f>C140+C141</f>
        <v>13431</v>
      </c>
      <c r="D139" s="530">
        <f>D140+D141</f>
        <v>15521</v>
      </c>
      <c r="E139" s="531">
        <f t="shared" si="16"/>
        <v>2090</v>
      </c>
    </row>
    <row r="140" spans="1:5" s="506" customFormat="1" x14ac:dyDescent="0.2">
      <c r="A140" s="512">
        <v>4</v>
      </c>
      <c r="B140" s="511" t="s">
        <v>114</v>
      </c>
      <c r="C140" s="530">
        <v>10822</v>
      </c>
      <c r="D140" s="530">
        <v>12396</v>
      </c>
      <c r="E140" s="531">
        <f t="shared" si="16"/>
        <v>1574</v>
      </c>
    </row>
    <row r="141" spans="1:5" s="506" customFormat="1" x14ac:dyDescent="0.2">
      <c r="A141" s="512">
        <v>5</v>
      </c>
      <c r="B141" s="511" t="s">
        <v>716</v>
      </c>
      <c r="C141" s="530">
        <v>2609</v>
      </c>
      <c r="D141" s="530">
        <v>3125</v>
      </c>
      <c r="E141" s="531">
        <f t="shared" si="16"/>
        <v>516</v>
      </c>
    </row>
    <row r="142" spans="1:5" s="506" customFormat="1" x14ac:dyDescent="0.2">
      <c r="A142" s="512">
        <v>6</v>
      </c>
      <c r="B142" s="511" t="s">
        <v>418</v>
      </c>
      <c r="C142" s="530">
        <v>305</v>
      </c>
      <c r="D142" s="530">
        <v>323</v>
      </c>
      <c r="E142" s="531">
        <f t="shared" si="16"/>
        <v>18</v>
      </c>
    </row>
    <row r="143" spans="1:5" s="506" customFormat="1" x14ac:dyDescent="0.2">
      <c r="A143" s="512">
        <v>7</v>
      </c>
      <c r="B143" s="511" t="s">
        <v>731</v>
      </c>
      <c r="C143" s="530">
        <v>1533</v>
      </c>
      <c r="D143" s="530">
        <v>1436</v>
      </c>
      <c r="E143" s="531">
        <f t="shared" si="16"/>
        <v>-97</v>
      </c>
    </row>
    <row r="144" spans="1:5" s="506" customFormat="1" x14ac:dyDescent="0.2">
      <c r="A144" s="512"/>
      <c r="B144" s="516" t="s">
        <v>779</v>
      </c>
      <c r="C144" s="532">
        <f>SUM(C138+C139+C142)</f>
        <v>30498</v>
      </c>
      <c r="D144" s="532">
        <f>SUM(D138+D139+D142)</f>
        <v>33201</v>
      </c>
      <c r="E144" s="533">
        <f t="shared" si="16"/>
        <v>2703</v>
      </c>
    </row>
    <row r="145" spans="1:5" s="506" customFormat="1" x14ac:dyDescent="0.2">
      <c r="A145" s="512"/>
      <c r="B145" s="516" t="s">
        <v>693</v>
      </c>
      <c r="C145" s="532">
        <f>SUM(C137+C144)</f>
        <v>54408</v>
      </c>
      <c r="D145" s="532">
        <f>SUM(D137+D144)</f>
        <v>56602</v>
      </c>
      <c r="E145" s="533">
        <f t="shared" si="16"/>
        <v>2194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624</v>
      </c>
      <c r="C149" s="534">
        <v>104196</v>
      </c>
      <c r="D149" s="534">
        <v>97851</v>
      </c>
      <c r="E149" s="531">
        <f t="shared" ref="E149:E157" si="17">D149-C149</f>
        <v>-6345</v>
      </c>
    </row>
    <row r="150" spans="1:5" s="506" customFormat="1" x14ac:dyDescent="0.2">
      <c r="A150" s="512">
        <v>2</v>
      </c>
      <c r="B150" s="511" t="s">
        <v>603</v>
      </c>
      <c r="C150" s="534">
        <v>100798</v>
      </c>
      <c r="D150" s="534">
        <v>98192</v>
      </c>
      <c r="E150" s="531">
        <f t="shared" si="17"/>
        <v>-2606</v>
      </c>
    </row>
    <row r="151" spans="1:5" s="506" customFormat="1" x14ac:dyDescent="0.2">
      <c r="A151" s="512">
        <v>3</v>
      </c>
      <c r="B151" s="511" t="s">
        <v>749</v>
      </c>
      <c r="C151" s="534">
        <f>C152+C153</f>
        <v>73497</v>
      </c>
      <c r="D151" s="534">
        <f>D152+D153</f>
        <v>86934</v>
      </c>
      <c r="E151" s="531">
        <f t="shared" si="17"/>
        <v>13437</v>
      </c>
    </row>
    <row r="152" spans="1:5" s="506" customFormat="1" x14ac:dyDescent="0.2">
      <c r="A152" s="512">
        <v>4</v>
      </c>
      <c r="B152" s="511" t="s">
        <v>114</v>
      </c>
      <c r="C152" s="534">
        <v>59098</v>
      </c>
      <c r="D152" s="534">
        <v>70465</v>
      </c>
      <c r="E152" s="531">
        <f t="shared" si="17"/>
        <v>11367</v>
      </c>
    </row>
    <row r="153" spans="1:5" s="506" customFormat="1" x14ac:dyDescent="0.2">
      <c r="A153" s="512">
        <v>5</v>
      </c>
      <c r="B153" s="511" t="s">
        <v>716</v>
      </c>
      <c r="C153" s="535">
        <v>14399</v>
      </c>
      <c r="D153" s="534">
        <v>16469</v>
      </c>
      <c r="E153" s="531">
        <f t="shared" si="17"/>
        <v>2070</v>
      </c>
    </row>
    <row r="154" spans="1:5" s="506" customFormat="1" x14ac:dyDescent="0.2">
      <c r="A154" s="512">
        <v>6</v>
      </c>
      <c r="B154" s="511" t="s">
        <v>418</v>
      </c>
      <c r="C154" s="534">
        <v>1108</v>
      </c>
      <c r="D154" s="534">
        <v>1728</v>
      </c>
      <c r="E154" s="531">
        <f t="shared" si="17"/>
        <v>620</v>
      </c>
    </row>
    <row r="155" spans="1:5" s="506" customFormat="1" x14ac:dyDescent="0.2">
      <c r="A155" s="512">
        <v>7</v>
      </c>
      <c r="B155" s="511" t="s">
        <v>731</v>
      </c>
      <c r="C155" s="534">
        <v>6345</v>
      </c>
      <c r="D155" s="534">
        <v>5967</v>
      </c>
      <c r="E155" s="531">
        <f t="shared" si="17"/>
        <v>-378</v>
      </c>
    </row>
    <row r="156" spans="1:5" s="506" customFormat="1" x14ac:dyDescent="0.2">
      <c r="A156" s="512"/>
      <c r="B156" s="516" t="s">
        <v>780</v>
      </c>
      <c r="C156" s="532">
        <f>SUM(C150+C151+C154)</f>
        <v>175403</v>
      </c>
      <c r="D156" s="532">
        <f>SUM(D150+D151+D154)</f>
        <v>186854</v>
      </c>
      <c r="E156" s="533">
        <f t="shared" si="17"/>
        <v>11451</v>
      </c>
    </row>
    <row r="157" spans="1:5" s="506" customFormat="1" x14ac:dyDescent="0.2">
      <c r="A157" s="512"/>
      <c r="B157" s="516" t="s">
        <v>781</v>
      </c>
      <c r="C157" s="532">
        <f>SUM(C149+C156)</f>
        <v>279599</v>
      </c>
      <c r="D157" s="532">
        <f>SUM(D149+D156)</f>
        <v>284705</v>
      </c>
      <c r="E157" s="533">
        <f t="shared" si="17"/>
        <v>5106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782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624</v>
      </c>
      <c r="C161" s="536">
        <f t="shared" ref="C161:D169" si="18">IF(C137=0,0,C149/C137)</f>
        <v>4.3578419071518191</v>
      </c>
      <c r="D161" s="536">
        <f t="shared" si="18"/>
        <v>4.1814879705995471</v>
      </c>
      <c r="E161" s="537">
        <f t="shared" ref="E161:E169" si="19">D161-C161</f>
        <v>-0.17635393655227194</v>
      </c>
    </row>
    <row r="162" spans="1:5" s="506" customFormat="1" x14ac:dyDescent="0.2">
      <c r="A162" s="512">
        <v>2</v>
      </c>
      <c r="B162" s="511" t="s">
        <v>603</v>
      </c>
      <c r="C162" s="536">
        <f t="shared" si="18"/>
        <v>6.0134828779381939</v>
      </c>
      <c r="D162" s="536">
        <f t="shared" si="18"/>
        <v>5.6571988246816849</v>
      </c>
      <c r="E162" s="537">
        <f t="shared" si="19"/>
        <v>-0.35628405325650903</v>
      </c>
    </row>
    <row r="163" spans="1:5" s="506" customFormat="1" x14ac:dyDescent="0.2">
      <c r="A163" s="512">
        <v>3</v>
      </c>
      <c r="B163" s="511" t="s">
        <v>749</v>
      </c>
      <c r="C163" s="536">
        <f t="shared" si="18"/>
        <v>5.4721911994639267</v>
      </c>
      <c r="D163" s="536">
        <f t="shared" si="18"/>
        <v>5.6010566329489082</v>
      </c>
      <c r="E163" s="537">
        <f t="shared" si="19"/>
        <v>0.12886543348498147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5.4609129550914801</v>
      </c>
      <c r="D164" s="536">
        <f t="shared" si="18"/>
        <v>5.684494998386576</v>
      </c>
      <c r="E164" s="537">
        <f t="shared" si="19"/>
        <v>0.2235820432950959</v>
      </c>
    </row>
    <row r="165" spans="1:5" s="506" customFormat="1" x14ac:dyDescent="0.2">
      <c r="A165" s="512">
        <v>5</v>
      </c>
      <c r="B165" s="511" t="s">
        <v>716</v>
      </c>
      <c r="C165" s="536">
        <f t="shared" si="18"/>
        <v>5.5189727865082405</v>
      </c>
      <c r="D165" s="536">
        <f t="shared" si="18"/>
        <v>5.2700800000000001</v>
      </c>
      <c r="E165" s="537">
        <f t="shared" si="19"/>
        <v>-0.24889278650824043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3.6327868852459018</v>
      </c>
      <c r="D166" s="536">
        <f t="shared" si="18"/>
        <v>5.3498452012383897</v>
      </c>
      <c r="E166" s="537">
        <f t="shared" si="19"/>
        <v>1.7170583159924879</v>
      </c>
    </row>
    <row r="167" spans="1:5" s="506" customFormat="1" x14ac:dyDescent="0.2">
      <c r="A167" s="512">
        <v>7</v>
      </c>
      <c r="B167" s="511" t="s">
        <v>731</v>
      </c>
      <c r="C167" s="536">
        <f t="shared" si="18"/>
        <v>4.1389432485322892</v>
      </c>
      <c r="D167" s="536">
        <f t="shared" si="18"/>
        <v>4.1552924791086348</v>
      </c>
      <c r="E167" s="537">
        <f t="shared" si="19"/>
        <v>1.6349230576345519E-2</v>
      </c>
    </row>
    <row r="168" spans="1:5" s="506" customFormat="1" x14ac:dyDescent="0.2">
      <c r="A168" s="512"/>
      <c r="B168" s="516" t="s">
        <v>783</v>
      </c>
      <c r="C168" s="538">
        <f t="shared" si="18"/>
        <v>5.75129516689619</v>
      </c>
      <c r="D168" s="538">
        <f t="shared" si="18"/>
        <v>5.6279630131622538</v>
      </c>
      <c r="E168" s="539">
        <f t="shared" si="19"/>
        <v>-0.12333215373393625</v>
      </c>
    </row>
    <row r="169" spans="1:5" s="506" customFormat="1" x14ac:dyDescent="0.2">
      <c r="A169" s="512"/>
      <c r="B169" s="516" t="s">
        <v>717</v>
      </c>
      <c r="C169" s="538">
        <f t="shared" si="18"/>
        <v>5.1389317747390093</v>
      </c>
      <c r="D169" s="538">
        <f t="shared" si="18"/>
        <v>5.0299459383060672</v>
      </c>
      <c r="E169" s="539">
        <f t="shared" si="19"/>
        <v>-0.10898583643294213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784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624</v>
      </c>
      <c r="C173" s="541">
        <f t="shared" ref="C173:D181" si="20">IF(C137=0,0,C203/C137)</f>
        <v>1.2747999999999999</v>
      </c>
      <c r="D173" s="541">
        <f t="shared" si="20"/>
        <v>1.2417</v>
      </c>
      <c r="E173" s="542">
        <f t="shared" ref="E173:E181" si="21">D173-C173</f>
        <v>-3.3099999999999907E-2</v>
      </c>
    </row>
    <row r="174" spans="1:5" s="506" customFormat="1" x14ac:dyDescent="0.2">
      <c r="A174" s="512">
        <v>2</v>
      </c>
      <c r="B174" s="511" t="s">
        <v>603</v>
      </c>
      <c r="C174" s="541">
        <f t="shared" si="20"/>
        <v>1.6653</v>
      </c>
      <c r="D174" s="541">
        <f t="shared" si="20"/>
        <v>1.6712</v>
      </c>
      <c r="E174" s="542">
        <f t="shared" si="21"/>
        <v>5.9000000000000163E-3</v>
      </c>
    </row>
    <row r="175" spans="1:5" s="506" customFormat="1" x14ac:dyDescent="0.2">
      <c r="A175" s="512">
        <v>0</v>
      </c>
      <c r="B175" s="511" t="s">
        <v>749</v>
      </c>
      <c r="C175" s="541">
        <f t="shared" si="20"/>
        <v>1.149383485965304</v>
      </c>
      <c r="D175" s="541">
        <f t="shared" si="20"/>
        <v>1.1476978609625668</v>
      </c>
      <c r="E175" s="542">
        <f t="shared" si="21"/>
        <v>-1.6856250027372788E-3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1.1298999999999999</v>
      </c>
      <c r="D176" s="541">
        <f t="shared" si="20"/>
        <v>1.1359999999999999</v>
      </c>
      <c r="E176" s="542">
        <f t="shared" si="21"/>
        <v>6.0999999999999943E-3</v>
      </c>
    </row>
    <row r="177" spans="1:5" s="506" customFormat="1" x14ac:dyDescent="0.2">
      <c r="A177" s="512">
        <v>5</v>
      </c>
      <c r="B177" s="511" t="s">
        <v>716</v>
      </c>
      <c r="C177" s="541">
        <f t="shared" si="20"/>
        <v>1.2302</v>
      </c>
      <c r="D177" s="541">
        <f t="shared" si="20"/>
        <v>1.1940999999999999</v>
      </c>
      <c r="E177" s="542">
        <f t="shared" si="21"/>
        <v>-3.6100000000000021E-2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1.4928999999999999</v>
      </c>
      <c r="D178" s="541">
        <f t="shared" si="20"/>
        <v>1.2423</v>
      </c>
      <c r="E178" s="542">
        <f t="shared" si="21"/>
        <v>-0.25059999999999993</v>
      </c>
    </row>
    <row r="179" spans="1:5" s="506" customFormat="1" x14ac:dyDescent="0.2">
      <c r="A179" s="512">
        <v>7</v>
      </c>
      <c r="B179" s="511" t="s">
        <v>731</v>
      </c>
      <c r="C179" s="541">
        <f t="shared" si="20"/>
        <v>1.2775000000000001</v>
      </c>
      <c r="D179" s="541">
        <f t="shared" si="20"/>
        <v>1.3184</v>
      </c>
      <c r="E179" s="542">
        <f t="shared" si="21"/>
        <v>4.0899999999999936E-2</v>
      </c>
    </row>
    <row r="180" spans="1:5" s="506" customFormat="1" x14ac:dyDescent="0.2">
      <c r="A180" s="512"/>
      <c r="B180" s="516" t="s">
        <v>785</v>
      </c>
      <c r="C180" s="543">
        <f t="shared" si="20"/>
        <v>1.4363716538789428</v>
      </c>
      <c r="D180" s="543">
        <f t="shared" si="20"/>
        <v>1.4222975151350863</v>
      </c>
      <c r="E180" s="544">
        <f t="shared" si="21"/>
        <v>-1.4074138743856546E-2</v>
      </c>
    </row>
    <row r="181" spans="1:5" s="506" customFormat="1" x14ac:dyDescent="0.2">
      <c r="A181" s="512"/>
      <c r="B181" s="516" t="s">
        <v>694</v>
      </c>
      <c r="C181" s="543">
        <f t="shared" si="20"/>
        <v>1.3653677896632848</v>
      </c>
      <c r="D181" s="543">
        <f t="shared" si="20"/>
        <v>1.3476329723331331</v>
      </c>
      <c r="E181" s="544">
        <f t="shared" si="21"/>
        <v>-1.7734817330151698E-2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786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787</v>
      </c>
      <c r="C185" s="513">
        <v>1470510479</v>
      </c>
      <c r="D185" s="513">
        <v>1566246297</v>
      </c>
      <c r="E185" s="514">
        <f>D185-C185</f>
        <v>95735818</v>
      </c>
    </row>
    <row r="186" spans="1:5" s="506" customFormat="1" ht="25.5" x14ac:dyDescent="0.2">
      <c r="A186" s="512">
        <v>2</v>
      </c>
      <c r="B186" s="511" t="s">
        <v>788</v>
      </c>
      <c r="C186" s="513">
        <v>656779736</v>
      </c>
      <c r="D186" s="513">
        <v>714995462</v>
      </c>
      <c r="E186" s="514">
        <f>D186-C186</f>
        <v>58215726</v>
      </c>
    </row>
    <row r="187" spans="1:5" s="506" customFormat="1" x14ac:dyDescent="0.2">
      <c r="A187" s="512"/>
      <c r="B187" s="511" t="s">
        <v>636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720</v>
      </c>
      <c r="C188" s="546">
        <f>+C185-C186</f>
        <v>813730743</v>
      </c>
      <c r="D188" s="546">
        <f>+D185-D186</f>
        <v>851250835</v>
      </c>
      <c r="E188" s="514">
        <f t="shared" ref="E188:E197" si="22">D188-C188</f>
        <v>37520092</v>
      </c>
    </row>
    <row r="189" spans="1:5" s="506" customFormat="1" x14ac:dyDescent="0.2">
      <c r="A189" s="512">
        <v>4</v>
      </c>
      <c r="B189" s="511" t="s">
        <v>638</v>
      </c>
      <c r="C189" s="547">
        <f>IF(C185=0,0,+C188/C185)</f>
        <v>0.55336616407750194</v>
      </c>
      <c r="D189" s="547">
        <f>IF(D185=0,0,+D188/D185)</f>
        <v>0.54349742861674588</v>
      </c>
      <c r="E189" s="523">
        <f t="shared" si="22"/>
        <v>-9.8687354607560618E-3</v>
      </c>
    </row>
    <row r="190" spans="1:5" s="506" customFormat="1" x14ac:dyDescent="0.2">
      <c r="A190" s="512">
        <v>5</v>
      </c>
      <c r="B190" s="511" t="s">
        <v>735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721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789</v>
      </c>
      <c r="C192" s="513">
        <v>11037310</v>
      </c>
      <c r="D192" s="513">
        <v>11001260</v>
      </c>
      <c r="E192" s="546">
        <f t="shared" si="22"/>
        <v>-36050</v>
      </c>
    </row>
    <row r="193" spans="1:5" s="506" customFormat="1" x14ac:dyDescent="0.2">
      <c r="A193" s="512">
        <v>8</v>
      </c>
      <c r="B193" s="511" t="s">
        <v>790</v>
      </c>
      <c r="C193" s="513">
        <v>27032315</v>
      </c>
      <c r="D193" s="513">
        <v>28159845</v>
      </c>
      <c r="E193" s="546">
        <f t="shared" si="22"/>
        <v>1127530</v>
      </c>
    </row>
    <row r="194" spans="1:5" s="506" customFormat="1" x14ac:dyDescent="0.2">
      <c r="A194" s="512">
        <v>9</v>
      </c>
      <c r="B194" s="511" t="s">
        <v>791</v>
      </c>
      <c r="C194" s="513">
        <v>70527250</v>
      </c>
      <c r="D194" s="513">
        <v>61051690</v>
      </c>
      <c r="E194" s="546">
        <f t="shared" si="22"/>
        <v>-9475560</v>
      </c>
    </row>
    <row r="195" spans="1:5" s="506" customFormat="1" x14ac:dyDescent="0.2">
      <c r="A195" s="512">
        <v>10</v>
      </c>
      <c r="B195" s="511" t="s">
        <v>792</v>
      </c>
      <c r="C195" s="513">
        <f>+C193+C194</f>
        <v>97559565</v>
      </c>
      <c r="D195" s="513">
        <f>+D193+D194</f>
        <v>89211535</v>
      </c>
      <c r="E195" s="549">
        <f t="shared" si="22"/>
        <v>-8348030</v>
      </c>
    </row>
    <row r="196" spans="1:5" s="506" customFormat="1" x14ac:dyDescent="0.2">
      <c r="A196" s="512">
        <v>11</v>
      </c>
      <c r="B196" s="511" t="s">
        <v>793</v>
      </c>
      <c r="C196" s="513">
        <v>1470510479</v>
      </c>
      <c r="D196" s="513">
        <v>1566246297</v>
      </c>
      <c r="E196" s="546">
        <f t="shared" si="22"/>
        <v>95735818</v>
      </c>
    </row>
    <row r="197" spans="1:5" s="506" customFormat="1" x14ac:dyDescent="0.2">
      <c r="A197" s="512">
        <v>12</v>
      </c>
      <c r="B197" s="511" t="s">
        <v>678</v>
      </c>
      <c r="C197" s="513">
        <v>1169696000</v>
      </c>
      <c r="D197" s="513">
        <v>1297936000</v>
      </c>
      <c r="E197" s="546">
        <f t="shared" si="22"/>
        <v>128240000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794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795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624</v>
      </c>
      <c r="C203" s="553">
        <v>30480.467999999997</v>
      </c>
      <c r="D203" s="553">
        <v>29057.021700000001</v>
      </c>
      <c r="E203" s="554">
        <f t="shared" ref="E203:E211" si="23">D203-C203</f>
        <v>-1423.446299999996</v>
      </c>
    </row>
    <row r="204" spans="1:5" s="506" customFormat="1" x14ac:dyDescent="0.2">
      <c r="A204" s="512">
        <v>2</v>
      </c>
      <c r="B204" s="511" t="s">
        <v>603</v>
      </c>
      <c r="C204" s="553">
        <v>27913.758600000001</v>
      </c>
      <c r="D204" s="553">
        <v>29007.018400000001</v>
      </c>
      <c r="E204" s="554">
        <f t="shared" si="23"/>
        <v>1093.2597999999998</v>
      </c>
    </row>
    <row r="205" spans="1:5" s="506" customFormat="1" x14ac:dyDescent="0.2">
      <c r="A205" s="512">
        <v>3</v>
      </c>
      <c r="B205" s="511" t="s">
        <v>749</v>
      </c>
      <c r="C205" s="553">
        <f>C206+C207</f>
        <v>15437.3696</v>
      </c>
      <c r="D205" s="553">
        <f>D206+D207</f>
        <v>17813.4185</v>
      </c>
      <c r="E205" s="554">
        <f t="shared" si="23"/>
        <v>2376.0488999999998</v>
      </c>
    </row>
    <row r="206" spans="1:5" s="506" customFormat="1" x14ac:dyDescent="0.2">
      <c r="A206" s="512">
        <v>4</v>
      </c>
      <c r="B206" s="511" t="s">
        <v>114</v>
      </c>
      <c r="C206" s="553">
        <v>12227.7778</v>
      </c>
      <c r="D206" s="553">
        <v>14081.855999999998</v>
      </c>
      <c r="E206" s="554">
        <f t="shared" si="23"/>
        <v>1854.0781999999981</v>
      </c>
    </row>
    <row r="207" spans="1:5" s="506" customFormat="1" x14ac:dyDescent="0.2">
      <c r="A207" s="512">
        <v>5</v>
      </c>
      <c r="B207" s="511" t="s">
        <v>716</v>
      </c>
      <c r="C207" s="553">
        <v>3209.5917999999997</v>
      </c>
      <c r="D207" s="553">
        <v>3731.5625</v>
      </c>
      <c r="E207" s="554">
        <f t="shared" si="23"/>
        <v>521.97070000000031</v>
      </c>
    </row>
    <row r="208" spans="1:5" s="506" customFormat="1" x14ac:dyDescent="0.2">
      <c r="A208" s="512">
        <v>6</v>
      </c>
      <c r="B208" s="511" t="s">
        <v>418</v>
      </c>
      <c r="C208" s="553">
        <v>455.33449999999999</v>
      </c>
      <c r="D208" s="553">
        <v>401.2629</v>
      </c>
      <c r="E208" s="554">
        <f t="shared" si="23"/>
        <v>-54.071599999999989</v>
      </c>
    </row>
    <row r="209" spans="1:5" s="506" customFormat="1" x14ac:dyDescent="0.2">
      <c r="A209" s="512">
        <v>7</v>
      </c>
      <c r="B209" s="511" t="s">
        <v>731</v>
      </c>
      <c r="C209" s="553">
        <v>1958.4075</v>
      </c>
      <c r="D209" s="553">
        <v>1893.2224000000001</v>
      </c>
      <c r="E209" s="554">
        <f t="shared" si="23"/>
        <v>-65.18509999999992</v>
      </c>
    </row>
    <row r="210" spans="1:5" s="506" customFormat="1" x14ac:dyDescent="0.2">
      <c r="A210" s="512"/>
      <c r="B210" s="516" t="s">
        <v>796</v>
      </c>
      <c r="C210" s="555">
        <f>C204+C205+C208</f>
        <v>43806.462699999996</v>
      </c>
      <c r="D210" s="555">
        <f>D204+D205+D208</f>
        <v>47221.699800000002</v>
      </c>
      <c r="E210" s="556">
        <f t="shared" si="23"/>
        <v>3415.2371000000057</v>
      </c>
    </row>
    <row r="211" spans="1:5" s="506" customFormat="1" x14ac:dyDescent="0.2">
      <c r="A211" s="512"/>
      <c r="B211" s="516" t="s">
        <v>695</v>
      </c>
      <c r="C211" s="555">
        <f>C210+C203</f>
        <v>74286.930699999997</v>
      </c>
      <c r="D211" s="555">
        <f>D210+D203</f>
        <v>76278.7215</v>
      </c>
      <c r="E211" s="556">
        <f t="shared" si="23"/>
        <v>1991.7908000000025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797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624</v>
      </c>
      <c r="C215" s="557">
        <f>IF(C14*C137=0,0,C25/C14*C137)</f>
        <v>16841.933990991849</v>
      </c>
      <c r="D215" s="557">
        <f>IF(D14*D137=0,0,D25/D14*D137)</f>
        <v>16332.459654316168</v>
      </c>
      <c r="E215" s="557">
        <f t="shared" ref="E215:E223" si="24">D215-C215</f>
        <v>-509.47433667568112</v>
      </c>
    </row>
    <row r="216" spans="1:5" s="506" customFormat="1" x14ac:dyDescent="0.2">
      <c r="A216" s="512">
        <v>2</v>
      </c>
      <c r="B216" s="511" t="s">
        <v>603</v>
      </c>
      <c r="C216" s="557">
        <f>IF(C15*C138=0,0,C26/C15*C138)</f>
        <v>6222.3873231027583</v>
      </c>
      <c r="D216" s="557">
        <f>IF(D15*D138=0,0,D26/D15*D138)</f>
        <v>6168.2152163654318</v>
      </c>
      <c r="E216" s="557">
        <f t="shared" si="24"/>
        <v>-54.17210673732643</v>
      </c>
    </row>
    <row r="217" spans="1:5" s="506" customFormat="1" x14ac:dyDescent="0.2">
      <c r="A217" s="512">
        <v>3</v>
      </c>
      <c r="B217" s="511" t="s">
        <v>749</v>
      </c>
      <c r="C217" s="557">
        <f>C218+C219</f>
        <v>4252.2608217380639</v>
      </c>
      <c r="D217" s="557">
        <f>D218+D219</f>
        <v>5500.7914939012808</v>
      </c>
      <c r="E217" s="557">
        <f t="shared" si="24"/>
        <v>1248.5306721632169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3355.110074434454</v>
      </c>
      <c r="D218" s="557">
        <f t="shared" si="25"/>
        <v>4507.1534289440615</v>
      </c>
      <c r="E218" s="557">
        <f t="shared" si="24"/>
        <v>1152.0433545096075</v>
      </c>
    </row>
    <row r="219" spans="1:5" s="506" customFormat="1" x14ac:dyDescent="0.2">
      <c r="A219" s="512">
        <v>5</v>
      </c>
      <c r="B219" s="511" t="s">
        <v>716</v>
      </c>
      <c r="C219" s="557">
        <f t="shared" si="25"/>
        <v>897.15074730360971</v>
      </c>
      <c r="D219" s="557">
        <f t="shared" si="25"/>
        <v>993.63806495721894</v>
      </c>
      <c r="E219" s="557">
        <f t="shared" si="24"/>
        <v>96.487317653609239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180.79792351020279</v>
      </c>
      <c r="D220" s="557">
        <f t="shared" si="25"/>
        <v>119.96047418939753</v>
      </c>
      <c r="E220" s="557">
        <f t="shared" si="24"/>
        <v>-60.837449320805263</v>
      </c>
    </row>
    <row r="221" spans="1:5" s="506" customFormat="1" x14ac:dyDescent="0.2">
      <c r="A221" s="512">
        <v>7</v>
      </c>
      <c r="B221" s="511" t="s">
        <v>731</v>
      </c>
      <c r="C221" s="557">
        <f t="shared" si="25"/>
        <v>1982.6743239478444</v>
      </c>
      <c r="D221" s="557">
        <f t="shared" si="25"/>
        <v>1521.0910000496008</v>
      </c>
      <c r="E221" s="557">
        <f t="shared" si="24"/>
        <v>-461.58332389824363</v>
      </c>
    </row>
    <row r="222" spans="1:5" s="506" customFormat="1" x14ac:dyDescent="0.2">
      <c r="A222" s="512"/>
      <c r="B222" s="516" t="s">
        <v>798</v>
      </c>
      <c r="C222" s="558">
        <f>C216+C218+C219+C220</f>
        <v>10655.446068351024</v>
      </c>
      <c r="D222" s="558">
        <f>D216+D218+D219+D220</f>
        <v>11788.967184456109</v>
      </c>
      <c r="E222" s="558">
        <f t="shared" si="24"/>
        <v>1133.5211161050847</v>
      </c>
    </row>
    <row r="223" spans="1:5" s="506" customFormat="1" x14ac:dyDescent="0.2">
      <c r="A223" s="512"/>
      <c r="B223" s="516" t="s">
        <v>799</v>
      </c>
      <c r="C223" s="558">
        <f>C215+C222</f>
        <v>27497.380059342875</v>
      </c>
      <c r="D223" s="558">
        <f>D215+D222</f>
        <v>28121.426838772277</v>
      </c>
      <c r="E223" s="558">
        <f t="shared" si="24"/>
        <v>624.04677942940179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800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624</v>
      </c>
      <c r="C227" s="560">
        <f t="shared" ref="C227:D235" si="26">IF(C203=0,0,C47/C203)</f>
        <v>11658.181363881948</v>
      </c>
      <c r="D227" s="560">
        <f t="shared" si="26"/>
        <v>12786.346234514462</v>
      </c>
      <c r="E227" s="560">
        <f t="shared" ref="E227:E235" si="27">D227-C227</f>
        <v>1128.1648706325141</v>
      </c>
    </row>
    <row r="228" spans="1:5" s="506" customFormat="1" x14ac:dyDescent="0.2">
      <c r="A228" s="512">
        <v>2</v>
      </c>
      <c r="B228" s="511" t="s">
        <v>603</v>
      </c>
      <c r="C228" s="560">
        <f t="shared" si="26"/>
        <v>10346.385026056649</v>
      </c>
      <c r="D228" s="560">
        <f t="shared" si="26"/>
        <v>11141.605819093767</v>
      </c>
      <c r="E228" s="560">
        <f t="shared" si="27"/>
        <v>795.22079303711871</v>
      </c>
    </row>
    <row r="229" spans="1:5" s="506" customFormat="1" x14ac:dyDescent="0.2">
      <c r="A229" s="512">
        <v>3</v>
      </c>
      <c r="B229" s="511" t="s">
        <v>749</v>
      </c>
      <c r="C229" s="560">
        <f t="shared" si="26"/>
        <v>6349.4857958184793</v>
      </c>
      <c r="D229" s="560">
        <f t="shared" si="26"/>
        <v>6646.8064509908645</v>
      </c>
      <c r="E229" s="560">
        <f t="shared" si="27"/>
        <v>297.32065517238516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6959.75011910995</v>
      </c>
      <c r="D230" s="560">
        <f t="shared" si="26"/>
        <v>6888.1353423866867</v>
      </c>
      <c r="E230" s="560">
        <f t="shared" si="27"/>
        <v>-71.614776723263276</v>
      </c>
    </row>
    <row r="231" spans="1:5" s="506" customFormat="1" x14ac:dyDescent="0.2">
      <c r="A231" s="512">
        <v>5</v>
      </c>
      <c r="B231" s="511" t="s">
        <v>716</v>
      </c>
      <c r="C231" s="560">
        <f t="shared" si="26"/>
        <v>4024.5245516890968</v>
      </c>
      <c r="D231" s="560">
        <f t="shared" si="26"/>
        <v>5736.0998241353318</v>
      </c>
      <c r="E231" s="560">
        <f t="shared" si="27"/>
        <v>1711.575272446235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7240.6220042628001</v>
      </c>
      <c r="D232" s="560">
        <f t="shared" si="26"/>
        <v>8784.2334788489043</v>
      </c>
      <c r="E232" s="560">
        <f t="shared" si="27"/>
        <v>1543.6114745861041</v>
      </c>
    </row>
    <row r="233" spans="1:5" s="506" customFormat="1" x14ac:dyDescent="0.2">
      <c r="A233" s="512">
        <v>7</v>
      </c>
      <c r="B233" s="511" t="s">
        <v>731</v>
      </c>
      <c r="C233" s="560">
        <f t="shared" si="26"/>
        <v>1156.9333757147069</v>
      </c>
      <c r="D233" s="560">
        <f t="shared" si="26"/>
        <v>1210.6348414216945</v>
      </c>
      <c r="E233" s="560">
        <f t="shared" si="27"/>
        <v>53.701465706987619</v>
      </c>
    </row>
    <row r="234" spans="1:5" x14ac:dyDescent="0.2">
      <c r="A234" s="512"/>
      <c r="B234" s="516" t="s">
        <v>801</v>
      </c>
      <c r="C234" s="561">
        <f t="shared" si="26"/>
        <v>8905.5982600485113</v>
      </c>
      <c r="D234" s="561">
        <f t="shared" si="26"/>
        <v>9426.0032757228273</v>
      </c>
      <c r="E234" s="561">
        <f t="shared" si="27"/>
        <v>520.40501567431602</v>
      </c>
    </row>
    <row r="235" spans="1:5" s="506" customFormat="1" x14ac:dyDescent="0.2">
      <c r="A235" s="512"/>
      <c r="B235" s="516" t="s">
        <v>802</v>
      </c>
      <c r="C235" s="561">
        <f t="shared" si="26"/>
        <v>10035.003128753575</v>
      </c>
      <c r="D235" s="561">
        <f t="shared" si="26"/>
        <v>10706.066134052862</v>
      </c>
      <c r="E235" s="561">
        <f t="shared" si="27"/>
        <v>671.0630052992874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803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624</v>
      </c>
      <c r="C239" s="560">
        <f t="shared" ref="C239:D247" si="28">IF(C215=0,0,C58/C215)</f>
        <v>16296.553658671375</v>
      </c>
      <c r="D239" s="560">
        <f t="shared" si="28"/>
        <v>19279.862412933307</v>
      </c>
      <c r="E239" s="562">
        <f t="shared" ref="E239:E247" si="29">D239-C239</f>
        <v>2983.3087542619323</v>
      </c>
    </row>
    <row r="240" spans="1:5" s="506" customFormat="1" x14ac:dyDescent="0.2">
      <c r="A240" s="512">
        <v>2</v>
      </c>
      <c r="B240" s="511" t="s">
        <v>603</v>
      </c>
      <c r="C240" s="560">
        <f t="shared" si="28"/>
        <v>12199.429906614703</v>
      </c>
      <c r="D240" s="560">
        <f t="shared" si="28"/>
        <v>11900.986496910033</v>
      </c>
      <c r="E240" s="562">
        <f t="shared" si="29"/>
        <v>-298.44340970467056</v>
      </c>
    </row>
    <row r="241" spans="1:5" x14ac:dyDescent="0.2">
      <c r="A241" s="512">
        <v>3</v>
      </c>
      <c r="B241" s="511" t="s">
        <v>749</v>
      </c>
      <c r="C241" s="560">
        <f t="shared" si="28"/>
        <v>12511.350603901685</v>
      </c>
      <c r="D241" s="560">
        <f t="shared" si="28"/>
        <v>11357.757164449475</v>
      </c>
      <c r="E241" s="562">
        <f t="shared" si="29"/>
        <v>-1153.5934394522101</v>
      </c>
    </row>
    <row r="242" spans="1:5" x14ac:dyDescent="0.2">
      <c r="A242" s="512">
        <v>4</v>
      </c>
      <c r="B242" s="511" t="s">
        <v>114</v>
      </c>
      <c r="C242" s="560">
        <f t="shared" si="28"/>
        <v>13585.954257457106</v>
      </c>
      <c r="D242" s="560">
        <f t="shared" si="28"/>
        <v>12011.363902622517</v>
      </c>
      <c r="E242" s="562">
        <f t="shared" si="29"/>
        <v>-1574.5903548345887</v>
      </c>
    </row>
    <row r="243" spans="1:5" x14ac:dyDescent="0.2">
      <c r="A243" s="512">
        <v>5</v>
      </c>
      <c r="B243" s="511" t="s">
        <v>716</v>
      </c>
      <c r="C243" s="560">
        <f t="shared" si="28"/>
        <v>8492.6128890817945</v>
      </c>
      <c r="D243" s="560">
        <f t="shared" si="28"/>
        <v>8392.989654999843</v>
      </c>
      <c r="E243" s="562">
        <f t="shared" si="29"/>
        <v>-99.623234081951523</v>
      </c>
    </row>
    <row r="244" spans="1:5" x14ac:dyDescent="0.2">
      <c r="A244" s="512">
        <v>6</v>
      </c>
      <c r="B244" s="511" t="s">
        <v>418</v>
      </c>
      <c r="C244" s="560">
        <f t="shared" si="28"/>
        <v>9448.460285571804</v>
      </c>
      <c r="D244" s="560">
        <f t="shared" si="28"/>
        <v>20533.930168623079</v>
      </c>
      <c r="E244" s="562">
        <f t="shared" si="29"/>
        <v>11085.469883051275</v>
      </c>
    </row>
    <row r="245" spans="1:5" x14ac:dyDescent="0.2">
      <c r="A245" s="512">
        <v>7</v>
      </c>
      <c r="B245" s="511" t="s">
        <v>731</v>
      </c>
      <c r="C245" s="560">
        <f t="shared" si="28"/>
        <v>8401.9078669615155</v>
      </c>
      <c r="D245" s="560">
        <f t="shared" si="28"/>
        <v>11722.478799373974</v>
      </c>
      <c r="E245" s="562">
        <f t="shared" si="29"/>
        <v>3320.5709324124582</v>
      </c>
    </row>
    <row r="246" spans="1:5" ht="25.5" x14ac:dyDescent="0.2">
      <c r="A246" s="512"/>
      <c r="B246" s="516" t="s">
        <v>804</v>
      </c>
      <c r="C246" s="561">
        <f t="shared" si="28"/>
        <v>12277.230362843444</v>
      </c>
      <c r="D246" s="561">
        <f t="shared" si="28"/>
        <v>11735.358817726894</v>
      </c>
      <c r="E246" s="563">
        <f t="shared" si="29"/>
        <v>-541.8715451165499</v>
      </c>
    </row>
    <row r="247" spans="1:5" x14ac:dyDescent="0.2">
      <c r="A247" s="512"/>
      <c r="B247" s="516" t="s">
        <v>805</v>
      </c>
      <c r="C247" s="561">
        <f t="shared" si="28"/>
        <v>14739.034996255763</v>
      </c>
      <c r="D247" s="561">
        <f t="shared" si="28"/>
        <v>16117.081739789392</v>
      </c>
      <c r="E247" s="563">
        <f t="shared" si="29"/>
        <v>1378.0467435336286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733</v>
      </c>
      <c r="B249" s="550" t="s">
        <v>730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-4651941.8179600369</v>
      </c>
      <c r="D251" s="546">
        <f>((IF((IF(D15=0,0,D26/D15)*D138)=0,0,D59/(IF(D15=0,0,D26/D15)*D138)))-(IF((IF(D17=0,0,D28/D17)*D140)=0,0,D61/(IF(D17=0,0,D28/D17)*D140))))*(IF(D17=0,0,D28/D17)*D140)</f>
        <v>-497487.90263497521</v>
      </c>
      <c r="E251" s="546">
        <f>D251-C251</f>
        <v>4154453.9153250619</v>
      </c>
    </row>
    <row r="252" spans="1:5" x14ac:dyDescent="0.2">
      <c r="A252" s="512">
        <v>2</v>
      </c>
      <c r="B252" s="511" t="s">
        <v>716</v>
      </c>
      <c r="C252" s="546">
        <f>IF(C231=0,0,(C228-C231)*C207)+IF(C243=0,0,(C240-C243)*C219)</f>
        <v>23616165.196671586</v>
      </c>
      <c r="D252" s="546">
        <f>IF(D231=0,0,(D228-D231)*D207)+IF(D243=0,0,(D240-D243)*D219)</f>
        <v>23656662.658183765</v>
      </c>
      <c r="E252" s="546">
        <f>D252-C252</f>
        <v>40497.461512178183</v>
      </c>
    </row>
    <row r="253" spans="1:5" x14ac:dyDescent="0.2">
      <c r="A253" s="512">
        <v>3</v>
      </c>
      <c r="B253" s="511" t="s">
        <v>731</v>
      </c>
      <c r="C253" s="546">
        <f>IF(C233=0,0,(C228-C233)*C209+IF(C221=0,0,(C240-C245)*C221))</f>
        <v>25525940.475563459</v>
      </c>
      <c r="D253" s="546">
        <f>IF(D233=0,0,(D228-D233)*D209+IF(D221=0,0,(D240-D245)*D221))</f>
        <v>19073063.160840347</v>
      </c>
      <c r="E253" s="546">
        <f>D253-C253</f>
        <v>-6452877.3147231117</v>
      </c>
    </row>
    <row r="254" spans="1:5" ht="15" customHeight="1" x14ac:dyDescent="0.2">
      <c r="A254" s="512"/>
      <c r="B254" s="516" t="s">
        <v>732</v>
      </c>
      <c r="C254" s="564">
        <f>+C251+C252+C253</f>
        <v>44490163.854275011</v>
      </c>
      <c r="D254" s="564">
        <f>+D251+D252+D253</f>
        <v>42232237.916389138</v>
      </c>
      <c r="E254" s="564">
        <f>D254-C254</f>
        <v>-2257925.937885873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806</v>
      </c>
      <c r="B256" s="550" t="s">
        <v>807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698</v>
      </c>
      <c r="C258" s="546">
        <f>+C44</f>
        <v>3516547690</v>
      </c>
      <c r="D258" s="549">
        <f>+D44</f>
        <v>3902060165</v>
      </c>
      <c r="E258" s="546">
        <f t="shared" ref="E258:E271" si="30">D258-C258</f>
        <v>385512475</v>
      </c>
    </row>
    <row r="259" spans="1:5" x14ac:dyDescent="0.2">
      <c r="A259" s="512">
        <v>2</v>
      </c>
      <c r="B259" s="511" t="s">
        <v>715</v>
      </c>
      <c r="C259" s="546">
        <f>+(C43-C76)</f>
        <v>1397517215</v>
      </c>
      <c r="D259" s="549">
        <f>+(D43-D76)</f>
        <v>1626137341</v>
      </c>
      <c r="E259" s="546">
        <f t="shared" si="30"/>
        <v>228620126</v>
      </c>
    </row>
    <row r="260" spans="1:5" x14ac:dyDescent="0.2">
      <c r="A260" s="512">
        <v>3</v>
      </c>
      <c r="B260" s="511" t="s">
        <v>719</v>
      </c>
      <c r="C260" s="546">
        <f>C195</f>
        <v>97559565</v>
      </c>
      <c r="D260" s="546">
        <f>D195</f>
        <v>89211535</v>
      </c>
      <c r="E260" s="546">
        <f t="shared" si="30"/>
        <v>-8348030</v>
      </c>
    </row>
    <row r="261" spans="1:5" x14ac:dyDescent="0.2">
      <c r="A261" s="512">
        <v>4</v>
      </c>
      <c r="B261" s="511" t="s">
        <v>720</v>
      </c>
      <c r="C261" s="546">
        <f>C188</f>
        <v>813730743</v>
      </c>
      <c r="D261" s="546">
        <f>D188</f>
        <v>851250835</v>
      </c>
      <c r="E261" s="546">
        <f t="shared" si="30"/>
        <v>37520092</v>
      </c>
    </row>
    <row r="262" spans="1:5" x14ac:dyDescent="0.2">
      <c r="A262" s="512">
        <v>5</v>
      </c>
      <c r="B262" s="511" t="s">
        <v>721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722</v>
      </c>
      <c r="C263" s="546">
        <f>+C259+C260+C261+C262</f>
        <v>2308807523</v>
      </c>
      <c r="D263" s="546">
        <f>+D259+D260+D261+D262</f>
        <v>2566599711</v>
      </c>
      <c r="E263" s="546">
        <f t="shared" si="30"/>
        <v>257792188</v>
      </c>
    </row>
    <row r="264" spans="1:5" x14ac:dyDescent="0.2">
      <c r="A264" s="512">
        <v>7</v>
      </c>
      <c r="B264" s="511" t="s">
        <v>622</v>
      </c>
      <c r="C264" s="546">
        <f>+C258-C263</f>
        <v>1207740167</v>
      </c>
      <c r="D264" s="546">
        <f>+D258-D263</f>
        <v>1335460454</v>
      </c>
      <c r="E264" s="546">
        <f t="shared" si="30"/>
        <v>127720287</v>
      </c>
    </row>
    <row r="265" spans="1:5" x14ac:dyDescent="0.2">
      <c r="A265" s="512">
        <v>8</v>
      </c>
      <c r="B265" s="511" t="s">
        <v>808</v>
      </c>
      <c r="C265" s="565">
        <f>C192</f>
        <v>11037310</v>
      </c>
      <c r="D265" s="565">
        <f>D192</f>
        <v>11001260</v>
      </c>
      <c r="E265" s="546">
        <f t="shared" si="30"/>
        <v>-36050</v>
      </c>
    </row>
    <row r="266" spans="1:5" x14ac:dyDescent="0.2">
      <c r="A266" s="512">
        <v>9</v>
      </c>
      <c r="B266" s="511" t="s">
        <v>809</v>
      </c>
      <c r="C266" s="546">
        <f>+C264+C265</f>
        <v>1218777477</v>
      </c>
      <c r="D266" s="546">
        <f>+D264+D265</f>
        <v>1346461714</v>
      </c>
      <c r="E266" s="565">
        <f t="shared" si="30"/>
        <v>127684237</v>
      </c>
    </row>
    <row r="267" spans="1:5" x14ac:dyDescent="0.2">
      <c r="A267" s="512">
        <v>10</v>
      </c>
      <c r="B267" s="511" t="s">
        <v>810</v>
      </c>
      <c r="C267" s="566">
        <f>IF(C258=0,0,C266/C258)</f>
        <v>0.34658352010007859</v>
      </c>
      <c r="D267" s="566">
        <f>IF(D258=0,0,D266/D258)</f>
        <v>0.34506431399424614</v>
      </c>
      <c r="E267" s="567">
        <f t="shared" si="30"/>
        <v>-1.5192061058324491E-3</v>
      </c>
    </row>
    <row r="268" spans="1:5" x14ac:dyDescent="0.2">
      <c r="A268" s="512">
        <v>11</v>
      </c>
      <c r="B268" s="511" t="s">
        <v>684</v>
      </c>
      <c r="C268" s="546">
        <f>+C260*C267</f>
        <v>33812537.457132421</v>
      </c>
      <c r="D268" s="568">
        <f>+D260*D267</f>
        <v>30783717.12514868</v>
      </c>
      <c r="E268" s="546">
        <f t="shared" si="30"/>
        <v>-3028820.3319837414</v>
      </c>
    </row>
    <row r="269" spans="1:5" x14ac:dyDescent="0.2">
      <c r="A269" s="512">
        <v>12</v>
      </c>
      <c r="B269" s="511" t="s">
        <v>811</v>
      </c>
      <c r="C269" s="546">
        <f>((C17+C18+C28+C29)*C267)-(C50+C51+C61+C62)</f>
        <v>113618516.64576763</v>
      </c>
      <c r="D269" s="568">
        <f>((D17+D18+D28+D29)*D267)-(D50+D51+D61+D62)</f>
        <v>140691753.34244525</v>
      </c>
      <c r="E269" s="546">
        <f t="shared" si="30"/>
        <v>27073236.696677625</v>
      </c>
    </row>
    <row r="270" spans="1:5" s="569" customFormat="1" x14ac:dyDescent="0.2">
      <c r="A270" s="570">
        <v>13</v>
      </c>
      <c r="B270" s="571" t="s">
        <v>812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813</v>
      </c>
      <c r="C271" s="546">
        <f>+C268+C269+C270</f>
        <v>147431054.10290006</v>
      </c>
      <c r="D271" s="546">
        <f>+D268+D269+D270</f>
        <v>171475470.46759394</v>
      </c>
      <c r="E271" s="549">
        <f t="shared" si="30"/>
        <v>24044416.36469388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814</v>
      </c>
      <c r="B273" s="550" t="s">
        <v>815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816</v>
      </c>
      <c r="C275" s="340"/>
      <c r="D275" s="340"/>
      <c r="E275" s="520"/>
    </row>
    <row r="276" spans="1:5" x14ac:dyDescent="0.2">
      <c r="A276" s="512">
        <v>1</v>
      </c>
      <c r="B276" s="511" t="s">
        <v>624</v>
      </c>
      <c r="C276" s="547">
        <f t="shared" ref="C276:D284" si="31">IF(C14=0,0,+C47/C14)</f>
        <v>0.37898349838627254</v>
      </c>
      <c r="D276" s="547">
        <f t="shared" si="31"/>
        <v>0.37273510448245112</v>
      </c>
      <c r="E276" s="574">
        <f t="shared" ref="E276:E284" si="32">D276-C276</f>
        <v>-6.2483939038214253E-3</v>
      </c>
    </row>
    <row r="277" spans="1:5" x14ac:dyDescent="0.2">
      <c r="A277" s="512">
        <v>2</v>
      </c>
      <c r="B277" s="511" t="s">
        <v>603</v>
      </c>
      <c r="C277" s="547">
        <f t="shared" si="31"/>
        <v>0.34853634938354638</v>
      </c>
      <c r="D277" s="547">
        <f t="shared" si="31"/>
        <v>0.34914003792021042</v>
      </c>
      <c r="E277" s="574">
        <f t="shared" si="32"/>
        <v>6.0368853666403766E-4</v>
      </c>
    </row>
    <row r="278" spans="1:5" x14ac:dyDescent="0.2">
      <c r="A278" s="512">
        <v>3</v>
      </c>
      <c r="B278" s="511" t="s">
        <v>749</v>
      </c>
      <c r="C278" s="547">
        <f t="shared" si="31"/>
        <v>0.16883069579146692</v>
      </c>
      <c r="D278" s="547">
        <f t="shared" si="31"/>
        <v>0.1721138124292822</v>
      </c>
      <c r="E278" s="574">
        <f t="shared" si="32"/>
        <v>3.2831166378152754E-3</v>
      </c>
    </row>
    <row r="279" spans="1:5" x14ac:dyDescent="0.2">
      <c r="A279" s="512">
        <v>4</v>
      </c>
      <c r="B279" s="511" t="s">
        <v>114</v>
      </c>
      <c r="C279" s="547">
        <f t="shared" si="31"/>
        <v>0.17913733486224254</v>
      </c>
      <c r="D279" s="547">
        <f t="shared" si="31"/>
        <v>0.17531626606170223</v>
      </c>
      <c r="E279" s="574">
        <f t="shared" si="32"/>
        <v>-3.8210688005403115E-3</v>
      </c>
    </row>
    <row r="280" spans="1:5" x14ac:dyDescent="0.2">
      <c r="A280" s="512">
        <v>5</v>
      </c>
      <c r="B280" s="511" t="s">
        <v>716</v>
      </c>
      <c r="C280" s="547">
        <f t="shared" si="31"/>
        <v>0.12242448974106364</v>
      </c>
      <c r="D280" s="547">
        <f t="shared" si="31"/>
        <v>0.15895577551710866</v>
      </c>
      <c r="E280" s="574">
        <f t="shared" si="32"/>
        <v>3.6531285776045017E-2</v>
      </c>
    </row>
    <row r="281" spans="1:5" x14ac:dyDescent="0.2">
      <c r="A281" s="512">
        <v>6</v>
      </c>
      <c r="B281" s="511" t="s">
        <v>418</v>
      </c>
      <c r="C281" s="547">
        <f t="shared" si="31"/>
        <v>0.29033281006755607</v>
      </c>
      <c r="D281" s="547">
        <f t="shared" si="31"/>
        <v>0.2095536433860398</v>
      </c>
      <c r="E281" s="574">
        <f t="shared" si="32"/>
        <v>-8.0779166681516273E-2</v>
      </c>
    </row>
    <row r="282" spans="1:5" x14ac:dyDescent="0.2">
      <c r="A282" s="512">
        <v>7</v>
      </c>
      <c r="B282" s="511" t="s">
        <v>731</v>
      </c>
      <c r="C282" s="547">
        <f t="shared" si="31"/>
        <v>4.7510600597274515E-2</v>
      </c>
      <c r="D282" s="547">
        <f t="shared" si="31"/>
        <v>4.482859368303585E-2</v>
      </c>
      <c r="E282" s="574">
        <f t="shared" si="32"/>
        <v>-2.6820069142386646E-3</v>
      </c>
    </row>
    <row r="283" spans="1:5" ht="29.25" customHeight="1" x14ac:dyDescent="0.2">
      <c r="A283" s="512"/>
      <c r="B283" s="516" t="s">
        <v>817</v>
      </c>
      <c r="C283" s="575">
        <f t="shared" si="31"/>
        <v>0.27462602430912941</v>
      </c>
      <c r="D283" s="575">
        <f t="shared" si="31"/>
        <v>0.27300604704498344</v>
      </c>
      <c r="E283" s="576">
        <f t="shared" si="32"/>
        <v>-1.6199772641459775E-3</v>
      </c>
    </row>
    <row r="284" spans="1:5" x14ac:dyDescent="0.2">
      <c r="A284" s="512"/>
      <c r="B284" s="516" t="s">
        <v>818</v>
      </c>
      <c r="C284" s="575">
        <f t="shared" si="31"/>
        <v>0.31611919652480663</v>
      </c>
      <c r="D284" s="575">
        <f t="shared" si="31"/>
        <v>0.31084405004826304</v>
      </c>
      <c r="E284" s="576">
        <f t="shared" si="32"/>
        <v>-5.2751464765435907E-3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819</v>
      </c>
      <c r="C286" s="520"/>
      <c r="D286" s="520"/>
      <c r="E286" s="520"/>
    </row>
    <row r="287" spans="1:5" x14ac:dyDescent="0.2">
      <c r="A287" s="512">
        <v>1</v>
      </c>
      <c r="B287" s="511" t="s">
        <v>624</v>
      </c>
      <c r="C287" s="547">
        <f t="shared" ref="C287:D295" si="33">IF(C25=0,0,+C58/C25)</f>
        <v>0.41556906322686321</v>
      </c>
      <c r="D287" s="547">
        <f t="shared" si="33"/>
        <v>0.45262765551520706</v>
      </c>
      <c r="E287" s="574">
        <f t="shared" ref="E287:E295" si="34">D287-C287</f>
        <v>3.705859228834385E-2</v>
      </c>
    </row>
    <row r="288" spans="1:5" x14ac:dyDescent="0.2">
      <c r="A288" s="512">
        <v>2</v>
      </c>
      <c r="B288" s="511" t="s">
        <v>603</v>
      </c>
      <c r="C288" s="547">
        <f t="shared" si="33"/>
        <v>0.24677803172154664</v>
      </c>
      <c r="D288" s="547">
        <f t="shared" si="33"/>
        <v>0.2231548863045843</v>
      </c>
      <c r="E288" s="574">
        <f t="shared" si="34"/>
        <v>-2.3623145416962338E-2</v>
      </c>
    </row>
    <row r="289" spans="1:5" x14ac:dyDescent="0.2">
      <c r="A289" s="512">
        <v>3</v>
      </c>
      <c r="B289" s="511" t="s">
        <v>749</v>
      </c>
      <c r="C289" s="547">
        <f t="shared" si="33"/>
        <v>0.2898235008618924</v>
      </c>
      <c r="D289" s="547">
        <f t="shared" si="33"/>
        <v>0.25606771901353287</v>
      </c>
      <c r="E289" s="574">
        <f t="shared" si="34"/>
        <v>-3.3755781848359534E-2</v>
      </c>
    </row>
    <row r="290" spans="1:5" x14ac:dyDescent="0.2">
      <c r="A290" s="512">
        <v>4</v>
      </c>
      <c r="B290" s="511" t="s">
        <v>114</v>
      </c>
      <c r="C290" s="547">
        <f t="shared" si="33"/>
        <v>0.30948713521187182</v>
      </c>
      <c r="D290" s="547">
        <f t="shared" si="33"/>
        <v>0.26911291093720147</v>
      </c>
      <c r="E290" s="574">
        <f t="shared" si="34"/>
        <v>-4.0374224274670356E-2</v>
      </c>
    </row>
    <row r="291" spans="1:5" x14ac:dyDescent="0.2">
      <c r="A291" s="512">
        <v>5</v>
      </c>
      <c r="B291" s="511" t="s">
        <v>716</v>
      </c>
      <c r="C291" s="547">
        <f t="shared" si="33"/>
        <v>0.21000001571040683</v>
      </c>
      <c r="D291" s="547">
        <f t="shared" si="33"/>
        <v>0.19477607100115593</v>
      </c>
      <c r="E291" s="574">
        <f t="shared" si="34"/>
        <v>-1.5223944709250897E-2</v>
      </c>
    </row>
    <row r="292" spans="1:5" x14ac:dyDescent="0.2">
      <c r="A292" s="512">
        <v>6</v>
      </c>
      <c r="B292" s="511" t="s">
        <v>418</v>
      </c>
      <c r="C292" s="547">
        <f t="shared" si="33"/>
        <v>0.25377601046561499</v>
      </c>
      <c r="D292" s="547">
        <f t="shared" si="33"/>
        <v>0.3943092281031006</v>
      </c>
      <c r="E292" s="574">
        <f t="shared" si="34"/>
        <v>0.14053321763748561</v>
      </c>
    </row>
    <row r="293" spans="1:5" x14ac:dyDescent="0.2">
      <c r="A293" s="512">
        <v>7</v>
      </c>
      <c r="B293" s="511" t="s">
        <v>731</v>
      </c>
      <c r="C293" s="547">
        <f t="shared" si="33"/>
        <v>0.27008419877325096</v>
      </c>
      <c r="D293" s="547">
        <f t="shared" si="33"/>
        <v>0.32924122427659402</v>
      </c>
      <c r="E293" s="574">
        <f t="shared" si="34"/>
        <v>5.9157025503343064E-2</v>
      </c>
    </row>
    <row r="294" spans="1:5" ht="29.25" customHeight="1" x14ac:dyDescent="0.2">
      <c r="A294" s="512"/>
      <c r="B294" s="516" t="s">
        <v>820</v>
      </c>
      <c r="C294" s="575">
        <f t="shared" si="33"/>
        <v>0.26274262306040796</v>
      </c>
      <c r="D294" s="575">
        <f t="shared" si="33"/>
        <v>0.23886560787732861</v>
      </c>
      <c r="E294" s="576">
        <f t="shared" si="34"/>
        <v>-2.3877015183079359E-2</v>
      </c>
    </row>
    <row r="295" spans="1:5" x14ac:dyDescent="0.2">
      <c r="A295" s="512"/>
      <c r="B295" s="516" t="s">
        <v>821</v>
      </c>
      <c r="C295" s="575">
        <f t="shared" si="33"/>
        <v>0.34987927556870602</v>
      </c>
      <c r="D295" s="575">
        <f t="shared" si="33"/>
        <v>0.35551369200082467</v>
      </c>
      <c r="E295" s="576">
        <f t="shared" si="34"/>
        <v>5.6344164321186496E-3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822</v>
      </c>
      <c r="B297" s="501" t="s">
        <v>823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824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622</v>
      </c>
      <c r="C301" s="514">
        <f>+C48+C47+C50+C51+C52+C59+C58+C61+C62+C63</f>
        <v>1150754429</v>
      </c>
      <c r="D301" s="514">
        <f>+D48+D47+D50+D51+D52+D59+D58+D61+D62+D63</f>
        <v>1269880372</v>
      </c>
      <c r="E301" s="514">
        <f>D301-C301</f>
        <v>119125943</v>
      </c>
    </row>
    <row r="302" spans="1:5" ht="25.5" x14ac:dyDescent="0.2">
      <c r="A302" s="512">
        <v>2</v>
      </c>
      <c r="B302" s="511" t="s">
        <v>825</v>
      </c>
      <c r="C302" s="546">
        <f>C265</f>
        <v>11037310</v>
      </c>
      <c r="D302" s="546">
        <f>D265</f>
        <v>11001260</v>
      </c>
      <c r="E302" s="514">
        <f>D302-C302</f>
        <v>-36050</v>
      </c>
    </row>
    <row r="303" spans="1:5" x14ac:dyDescent="0.2">
      <c r="A303" s="512"/>
      <c r="B303" s="516" t="s">
        <v>826</v>
      </c>
      <c r="C303" s="517">
        <f>+C301+C302</f>
        <v>1161791739</v>
      </c>
      <c r="D303" s="517">
        <f>+D301+D302</f>
        <v>1280881632</v>
      </c>
      <c r="E303" s="517">
        <f>D303-C303</f>
        <v>119089893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827</v>
      </c>
      <c r="C305" s="513">
        <v>34852261</v>
      </c>
      <c r="D305" s="578">
        <v>37696368</v>
      </c>
      <c r="E305" s="579">
        <f>D305-C305</f>
        <v>2844107</v>
      </c>
    </row>
    <row r="306" spans="1:5" x14ac:dyDescent="0.2">
      <c r="A306" s="512">
        <v>4</v>
      </c>
      <c r="B306" s="516" t="s">
        <v>828</v>
      </c>
      <c r="C306" s="580">
        <f>+C303+C305</f>
        <v>1196644000</v>
      </c>
      <c r="D306" s="580">
        <f>+D303+D305</f>
        <v>1318578000</v>
      </c>
      <c r="E306" s="580">
        <f>D306-C306</f>
        <v>121934000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829</v>
      </c>
      <c r="C308" s="513">
        <v>1196644000</v>
      </c>
      <c r="D308" s="513">
        <v>1318578000</v>
      </c>
      <c r="E308" s="514">
        <f>D308-C308</f>
        <v>121934000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830</v>
      </c>
      <c r="C310" s="581">
        <f>C306-C308</f>
        <v>0</v>
      </c>
      <c r="D310" s="582">
        <f>D306-D308</f>
        <v>0</v>
      </c>
      <c r="E310" s="580">
        <f>D310-C310</f>
        <v>0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831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832</v>
      </c>
      <c r="C314" s="514">
        <f>+C14+C15+C16+C19+C25+C26+C27+C30</f>
        <v>3516547690</v>
      </c>
      <c r="D314" s="514">
        <f>+D14+D15+D16+D19+D25+D26+D27+D30</f>
        <v>3902060165</v>
      </c>
      <c r="E314" s="514">
        <f>D314-C314</f>
        <v>385512475</v>
      </c>
    </row>
    <row r="315" spans="1:5" x14ac:dyDescent="0.2">
      <c r="A315" s="512">
        <v>2</v>
      </c>
      <c r="B315" s="583" t="s">
        <v>833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834</v>
      </c>
      <c r="C316" s="581">
        <f>C314+C315</f>
        <v>3516547690</v>
      </c>
      <c r="D316" s="581">
        <f>D314+D315</f>
        <v>3902060165</v>
      </c>
      <c r="E316" s="517">
        <f>D316-C316</f>
        <v>385512475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835</v>
      </c>
      <c r="C318" s="513">
        <v>3516547690</v>
      </c>
      <c r="D318" s="513">
        <v>3902060165</v>
      </c>
      <c r="E318" s="514">
        <f>D318-C318</f>
        <v>385512475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830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836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837</v>
      </c>
      <c r="C324" s="513">
        <f>+C193+C194</f>
        <v>97559565</v>
      </c>
      <c r="D324" s="513">
        <f>+D193+D194</f>
        <v>89211535</v>
      </c>
      <c r="E324" s="514">
        <f>D324-C324</f>
        <v>-8348030</v>
      </c>
    </row>
    <row r="325" spans="1:5" x14ac:dyDescent="0.2">
      <c r="A325" s="512">
        <v>2</v>
      </c>
      <c r="B325" s="511" t="s">
        <v>838</v>
      </c>
      <c r="C325" s="513">
        <v>813614</v>
      </c>
      <c r="D325" s="513">
        <v>834500</v>
      </c>
      <c r="E325" s="514">
        <f>D325-C325</f>
        <v>20886</v>
      </c>
    </row>
    <row r="326" spans="1:5" x14ac:dyDescent="0.2">
      <c r="A326" s="512"/>
      <c r="B326" s="516" t="s">
        <v>839</v>
      </c>
      <c r="C326" s="581">
        <f>C324+C325</f>
        <v>98373179</v>
      </c>
      <c r="D326" s="581">
        <f>D324+D325</f>
        <v>90046035</v>
      </c>
      <c r="E326" s="517">
        <f>D326-C326</f>
        <v>-8327144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840</v>
      </c>
      <c r="C328" s="513">
        <v>98373179</v>
      </c>
      <c r="D328" s="513">
        <v>90046035</v>
      </c>
      <c r="E328" s="514">
        <f>D328-C328</f>
        <v>-8327144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841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FILING&amp;RYALE-NEW HAVEN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594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842</v>
      </c>
      <c r="B5" s="696"/>
      <c r="C5" s="697"/>
      <c r="D5" s="585"/>
    </row>
    <row r="6" spans="1:58" s="338" customFormat="1" ht="15.75" customHeight="1" x14ac:dyDescent="0.25">
      <c r="A6" s="695" t="s">
        <v>843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844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845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748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624</v>
      </c>
      <c r="C14" s="513">
        <v>996775285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603</v>
      </c>
      <c r="C15" s="515">
        <v>925659420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749</v>
      </c>
      <c r="C16" s="515">
        <v>687930523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553272849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716</v>
      </c>
      <c r="C18" s="515">
        <v>134657674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16820452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731</v>
      </c>
      <c r="C20" s="515">
        <v>51128104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750</v>
      </c>
      <c r="C21" s="517">
        <f>SUM(C15+C16+C19)</f>
        <v>1630410395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690</v>
      </c>
      <c r="C22" s="517">
        <f>SUM(C14+C21)</f>
        <v>2627185680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751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624</v>
      </c>
      <c r="C25" s="513">
        <v>695687882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603</v>
      </c>
      <c r="C26" s="515">
        <v>328954688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749</v>
      </c>
      <c r="C27" s="515">
        <v>243984889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201168572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716</v>
      </c>
      <c r="C29" s="515">
        <v>42816317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6247026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731</v>
      </c>
      <c r="C31" s="518">
        <v>54157729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752</v>
      </c>
      <c r="C32" s="517">
        <f>SUM(C26+C27+C30)</f>
        <v>579186603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696</v>
      </c>
      <c r="C33" s="517">
        <f>SUM(C25+C32)</f>
        <v>1274874485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621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846</v>
      </c>
      <c r="C36" s="514">
        <f>SUM(C14+C25)</f>
        <v>1692463167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847</v>
      </c>
      <c r="C37" s="518">
        <f>SUM(C21+C32)</f>
        <v>2209596998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621</v>
      </c>
      <c r="C38" s="517">
        <f>SUM(+C36+C37)</f>
        <v>3902060165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761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624</v>
      </c>
      <c r="C41" s="513">
        <v>371533140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603</v>
      </c>
      <c r="C42" s="515">
        <v>323184765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749</v>
      </c>
      <c r="C43" s="515">
        <v>118402345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96997730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716</v>
      </c>
      <c r="C45" s="515">
        <v>21404615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3524787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731</v>
      </c>
      <c r="C47" s="515">
        <v>2292001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762</v>
      </c>
      <c r="C48" s="517">
        <f>SUM(C42+C43+C46)</f>
        <v>445111897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691</v>
      </c>
      <c r="C49" s="517">
        <f>SUM(C41+C48)</f>
        <v>816645037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763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624</v>
      </c>
      <c r="C52" s="513">
        <v>314887575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603</v>
      </c>
      <c r="C53" s="515">
        <v>73407846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749</v>
      </c>
      <c r="C54" s="515">
        <v>62476654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54137060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716</v>
      </c>
      <c r="C56" s="515">
        <v>8339594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2463260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731</v>
      </c>
      <c r="C58" s="515">
        <v>17830957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764</v>
      </c>
      <c r="C59" s="517">
        <f>SUM(C53+C54+C57)</f>
        <v>138347760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697</v>
      </c>
      <c r="C60" s="517">
        <f>SUM(C52+C59)</f>
        <v>453235335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622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848</v>
      </c>
      <c r="C63" s="514">
        <f>SUM(C41+C52)</f>
        <v>686420715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849</v>
      </c>
      <c r="C64" s="518">
        <f>SUM(C48+C59)</f>
        <v>583459657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622</v>
      </c>
      <c r="C65" s="517">
        <f>SUM(+C63+C64)</f>
        <v>1269880372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850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851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624</v>
      </c>
      <c r="C70" s="530">
        <v>23401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603</v>
      </c>
      <c r="C71" s="530">
        <v>17357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749</v>
      </c>
      <c r="C72" s="530">
        <v>15521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12396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716</v>
      </c>
      <c r="C74" s="530">
        <v>3125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323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731</v>
      </c>
      <c r="C76" s="545">
        <v>1436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779</v>
      </c>
      <c r="C77" s="532">
        <f>SUM(C71+C72+C75)</f>
        <v>33201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693</v>
      </c>
      <c r="C78" s="596">
        <f>SUM(C70+C77)</f>
        <v>56602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784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624</v>
      </c>
      <c r="C81" s="541">
        <v>1.2417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603</v>
      </c>
      <c r="C82" s="541">
        <v>1.6712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749</v>
      </c>
      <c r="C83" s="541">
        <f>((C73*C84)+(C74*C85))/(C73+C74)</f>
        <v>1.1476978609625668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1.1359999999999999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716</v>
      </c>
      <c r="C85" s="541">
        <v>1.1940999999999999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1.2423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731</v>
      </c>
      <c r="C87" s="541">
        <v>1.3184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785</v>
      </c>
      <c r="C88" s="543">
        <f>((C71*C82)+(C73*C84)+(C74*C85)+(C75*C86))/(C71+C73+C74+C75)</f>
        <v>1.4222975151350863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694</v>
      </c>
      <c r="C89" s="543">
        <f>((C70*C81)+(C71*C82)+(C73*C84)+(C74*C85)+(C75*C86))/(C70+C71+C73+C74+C75)</f>
        <v>1.3476329723331331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786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787</v>
      </c>
      <c r="C92" s="513">
        <v>1566246297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788</v>
      </c>
      <c r="C93" s="546">
        <v>714995462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636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720</v>
      </c>
      <c r="C95" s="513">
        <f>+C92-C93</f>
        <v>851250835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638</v>
      </c>
      <c r="C96" s="597">
        <f>(+C92-C93)/C92</f>
        <v>0.54349742861674588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735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721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852</v>
      </c>
      <c r="C101" s="513">
        <v>11001260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790</v>
      </c>
      <c r="C103" s="513">
        <v>28159845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791</v>
      </c>
      <c r="C104" s="513">
        <v>61051690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792</v>
      </c>
      <c r="C105" s="578">
        <f>+C103+C104</f>
        <v>89211535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793</v>
      </c>
      <c r="C107" s="513">
        <v>11389417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678</v>
      </c>
      <c r="C108" s="513">
        <v>1297936000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823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824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622</v>
      </c>
      <c r="C114" s="514">
        <f>+C65</f>
        <v>1269880372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825</v>
      </c>
      <c r="C115" s="546">
        <f>+C101</f>
        <v>11001260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826</v>
      </c>
      <c r="C116" s="517">
        <f>+C114+C115</f>
        <v>1280881632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827</v>
      </c>
      <c r="C118" s="578">
        <v>37696368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828</v>
      </c>
      <c r="C119" s="580">
        <f>+C116+C118</f>
        <v>1318578000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829</v>
      </c>
      <c r="C121" s="513">
        <v>1318578000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830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831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832</v>
      </c>
      <c r="C127" s="514">
        <f>+C38</f>
        <v>3902060165</v>
      </c>
      <c r="D127" s="588"/>
      <c r="AR127" s="507"/>
    </row>
    <row r="128" spans="1:58" s="506" customFormat="1" x14ac:dyDescent="0.2">
      <c r="A128" s="512">
        <v>2</v>
      </c>
      <c r="B128" s="583" t="s">
        <v>833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834</v>
      </c>
      <c r="C129" s="581">
        <f>C127+C128</f>
        <v>3902060165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835</v>
      </c>
      <c r="C131" s="513">
        <v>3902060165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830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836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837</v>
      </c>
      <c r="C137" s="513">
        <f>C105</f>
        <v>89211535</v>
      </c>
      <c r="D137" s="588"/>
      <c r="AR137" s="507"/>
    </row>
    <row r="138" spans="1:44" s="506" customFormat="1" x14ac:dyDescent="0.2">
      <c r="A138" s="512">
        <v>2</v>
      </c>
      <c r="B138" s="511" t="s">
        <v>853</v>
      </c>
      <c r="C138" s="513">
        <v>834500</v>
      </c>
      <c r="D138" s="588"/>
      <c r="AR138" s="507"/>
    </row>
    <row r="139" spans="1:44" s="506" customFormat="1" x14ac:dyDescent="0.2">
      <c r="A139" s="512"/>
      <c r="B139" s="516" t="s">
        <v>839</v>
      </c>
      <c r="C139" s="581">
        <f>C137+C138</f>
        <v>90046035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854</v>
      </c>
      <c r="C141" s="513">
        <v>90046035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841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FILING&amp;RYALE-NEW HAVEN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A3" sqref="A3:F3"/>
    </sheetView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594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595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855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598</v>
      </c>
      <c r="D8" s="35" t="s">
        <v>598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600</v>
      </c>
      <c r="D9" s="607" t="s">
        <v>601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856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857</v>
      </c>
      <c r="C12" s="49">
        <v>4326</v>
      </c>
      <c r="D12" s="49">
        <v>4828</v>
      </c>
      <c r="E12" s="49">
        <f>+D12-C12</f>
        <v>502</v>
      </c>
      <c r="F12" s="70">
        <f>IF(C12=0,0,+E12/C12)</f>
        <v>0.11604253351826167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858</v>
      </c>
      <c r="C13" s="49">
        <v>2846</v>
      </c>
      <c r="D13" s="49">
        <v>3346</v>
      </c>
      <c r="E13" s="49">
        <f>+D13-C13</f>
        <v>500</v>
      </c>
      <c r="F13" s="70">
        <f>IF(C13=0,0,+E13/C13)</f>
        <v>0.17568517217146873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859</v>
      </c>
      <c r="C15" s="51">
        <v>27032315</v>
      </c>
      <c r="D15" s="51">
        <v>28159845</v>
      </c>
      <c r="E15" s="51">
        <f>+D15-C15</f>
        <v>1127530</v>
      </c>
      <c r="F15" s="70">
        <f>IF(C15=0,0,+E15/C15)</f>
        <v>4.1710449142073107E-2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860</v>
      </c>
      <c r="C16" s="27">
        <f>IF(C13=0,0,+C15/+C13)</f>
        <v>9498.3538299367538</v>
      </c>
      <c r="D16" s="27">
        <f>IF(D13=0,0,+D15/+D13)</f>
        <v>8415.9728033472802</v>
      </c>
      <c r="E16" s="27">
        <f>+D16-C16</f>
        <v>-1082.3810265894735</v>
      </c>
      <c r="F16" s="28">
        <f>IF(C16=0,0,+E16/C16)</f>
        <v>-0.11395459107640768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861</v>
      </c>
      <c r="C18" s="210">
        <v>0.331598</v>
      </c>
      <c r="D18" s="210">
        <v>0.33155200000000001</v>
      </c>
      <c r="E18" s="210">
        <f>+D18-C18</f>
        <v>-4.5999999999990493E-5</v>
      </c>
      <c r="F18" s="70">
        <f>IF(C18=0,0,+E18/C18)</f>
        <v>-1.3872218770918549E-4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862</v>
      </c>
      <c r="C19" s="27">
        <f>+C15*C18</f>
        <v>8963861.5893699992</v>
      </c>
      <c r="D19" s="27">
        <f>+D15*D18</f>
        <v>9336452.929440001</v>
      </c>
      <c r="E19" s="27">
        <f>+D19-C19</f>
        <v>372591.34007000178</v>
      </c>
      <c r="F19" s="28">
        <f>IF(C19=0,0,+E19/C19)</f>
        <v>4.1565940789608777E-2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863</v>
      </c>
      <c r="C20" s="27">
        <f>IF(C13=0,0,+C19/C13)</f>
        <v>3149.6351332993672</v>
      </c>
      <c r="D20" s="27">
        <f>IF(D13=0,0,+D19/D13)</f>
        <v>2790.3326148953979</v>
      </c>
      <c r="E20" s="27">
        <f>+D20-C20</f>
        <v>-359.30251840396932</v>
      </c>
      <c r="F20" s="28">
        <f>IF(C20=0,0,+E20/C20)</f>
        <v>-0.114077505233943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864</v>
      </c>
      <c r="C22" s="51">
        <v>13102297</v>
      </c>
      <c r="D22" s="51">
        <v>13669143</v>
      </c>
      <c r="E22" s="51">
        <f>+D22-C22</f>
        <v>566846</v>
      </c>
      <c r="F22" s="70">
        <f>IF(C22=0,0,+E22/C22)</f>
        <v>4.3263101118834357E-2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865</v>
      </c>
      <c r="C23" s="49">
        <v>11125929</v>
      </c>
      <c r="D23" s="49">
        <v>11135924</v>
      </c>
      <c r="E23" s="49">
        <f>+D23-C23</f>
        <v>9995</v>
      </c>
      <c r="F23" s="70">
        <f>IF(C23=0,0,+E23/C23)</f>
        <v>8.9835194885748415E-4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866</v>
      </c>
      <c r="C24" s="49">
        <v>2804089</v>
      </c>
      <c r="D24" s="49">
        <v>3354778</v>
      </c>
      <c r="E24" s="49">
        <f>+D24-C24</f>
        <v>550689</v>
      </c>
      <c r="F24" s="70">
        <f>IF(C24=0,0,+E24/C24)</f>
        <v>0.19638784646279059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859</v>
      </c>
      <c r="C25" s="27">
        <f>+C22+C23+C24</f>
        <v>27032315</v>
      </c>
      <c r="D25" s="27">
        <f>+D22+D23+D24</f>
        <v>28159845</v>
      </c>
      <c r="E25" s="27">
        <f>+E22+E23+E24</f>
        <v>1127530</v>
      </c>
      <c r="F25" s="28">
        <f>IF(C25=0,0,+E25/C25)</f>
        <v>4.1710449142073107E-2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867</v>
      </c>
      <c r="C27" s="49">
        <v>10792</v>
      </c>
      <c r="D27" s="49">
        <v>9832</v>
      </c>
      <c r="E27" s="49">
        <f>+D27-C27</f>
        <v>-960</v>
      </c>
      <c r="F27" s="70">
        <f>IF(C27=0,0,+E27/C27)</f>
        <v>-8.8954781319495926E-2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868</v>
      </c>
      <c r="C28" s="49">
        <v>986</v>
      </c>
      <c r="D28" s="49">
        <v>1356</v>
      </c>
      <c r="E28" s="49">
        <f>+D28-C28</f>
        <v>370</v>
      </c>
      <c r="F28" s="70">
        <f>IF(C28=0,0,+E28/C28)</f>
        <v>0.37525354969574037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869</v>
      </c>
      <c r="C29" s="49">
        <v>2445</v>
      </c>
      <c r="D29" s="49">
        <v>3390</v>
      </c>
      <c r="E29" s="49">
        <f>+D29-C29</f>
        <v>945</v>
      </c>
      <c r="F29" s="70">
        <f>IF(C29=0,0,+E29/C29)</f>
        <v>0.38650306748466257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870</v>
      </c>
      <c r="C30" s="49">
        <v>13606</v>
      </c>
      <c r="D30" s="49">
        <v>18390</v>
      </c>
      <c r="E30" s="49">
        <f>+D30-C30</f>
        <v>4784</v>
      </c>
      <c r="F30" s="70">
        <f>IF(C30=0,0,+E30/C30)</f>
        <v>0.35160958400705572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871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872</v>
      </c>
      <c r="C33" s="51">
        <v>34276243</v>
      </c>
      <c r="D33" s="51">
        <v>29671121</v>
      </c>
      <c r="E33" s="51">
        <f>+D33-C33</f>
        <v>-4605122</v>
      </c>
      <c r="F33" s="70">
        <f>IF(C33=0,0,+E33/C33)</f>
        <v>-0.13435317283752482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873</v>
      </c>
      <c r="C34" s="49">
        <v>29959980</v>
      </c>
      <c r="D34" s="49">
        <v>25934761</v>
      </c>
      <c r="E34" s="49">
        <f>+D34-C34</f>
        <v>-4025219</v>
      </c>
      <c r="F34" s="70">
        <f>IF(C34=0,0,+E34/C34)</f>
        <v>-0.13435319382723218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874</v>
      </c>
      <c r="C35" s="49">
        <v>6291027</v>
      </c>
      <c r="D35" s="49">
        <v>5445808</v>
      </c>
      <c r="E35" s="49">
        <f>+D35-C35</f>
        <v>-845219</v>
      </c>
      <c r="F35" s="70">
        <f>IF(C35=0,0,+E35/C35)</f>
        <v>-0.13435310323735694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875</v>
      </c>
      <c r="C36" s="27">
        <f>+C33+C34+C35</f>
        <v>70527250</v>
      </c>
      <c r="D36" s="27">
        <f>+D33+D34+D35</f>
        <v>61051690</v>
      </c>
      <c r="E36" s="27">
        <f>+E33+E34+E35</f>
        <v>-9475560</v>
      </c>
      <c r="F36" s="28">
        <f>IF(C36=0,0,+E36/C36)</f>
        <v>-0.13435317554562243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876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877</v>
      </c>
      <c r="C39" s="51">
        <f>+C25</f>
        <v>27032315</v>
      </c>
      <c r="D39" s="51">
        <f>+D25</f>
        <v>28159845</v>
      </c>
      <c r="E39" s="51">
        <f>+D39-C39</f>
        <v>1127530</v>
      </c>
      <c r="F39" s="70">
        <f>IF(C39=0,0,+E39/C39)</f>
        <v>4.1710449142073107E-2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878</v>
      </c>
      <c r="C40" s="49">
        <f>+C36</f>
        <v>70527250</v>
      </c>
      <c r="D40" s="49">
        <f>+D36</f>
        <v>61051690</v>
      </c>
      <c r="E40" s="49">
        <f>+D40-C40</f>
        <v>-9475560</v>
      </c>
      <c r="F40" s="70">
        <f>IF(C40=0,0,+E40/C40)</f>
        <v>-0.13435317554562243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879</v>
      </c>
      <c r="C41" s="27">
        <f>+C39+C40</f>
        <v>97559565</v>
      </c>
      <c r="D41" s="27">
        <f>+D39+D40</f>
        <v>89211535</v>
      </c>
      <c r="E41" s="27">
        <f>+E39+E40</f>
        <v>-8348030</v>
      </c>
      <c r="F41" s="28">
        <f>IF(C41=0,0,+E41/C41)</f>
        <v>-8.5568544714195893E-2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880</v>
      </c>
      <c r="C43" s="51">
        <f t="shared" ref="C43:D45" si="0">+C22+C33</f>
        <v>47378540</v>
      </c>
      <c r="D43" s="51">
        <f t="shared" si="0"/>
        <v>43340264</v>
      </c>
      <c r="E43" s="51">
        <f>+D43-C43</f>
        <v>-4038276</v>
      </c>
      <c r="F43" s="70">
        <f>IF(C43=0,0,+E43/C43)</f>
        <v>-8.5234285395877546E-2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881</v>
      </c>
      <c r="C44" s="49">
        <f t="shared" si="0"/>
        <v>41085909</v>
      </c>
      <c r="D44" s="49">
        <f t="shared" si="0"/>
        <v>37070685</v>
      </c>
      <c r="E44" s="49">
        <f>+D44-C44</f>
        <v>-4015224</v>
      </c>
      <c r="F44" s="70">
        <f>IF(C44=0,0,+E44/C44)</f>
        <v>-9.7727520157823447E-2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882</v>
      </c>
      <c r="C45" s="49">
        <f t="shared" si="0"/>
        <v>9095116</v>
      </c>
      <c r="D45" s="49">
        <f t="shared" si="0"/>
        <v>8800586</v>
      </c>
      <c r="E45" s="49">
        <f>+D45-C45</f>
        <v>-294530</v>
      </c>
      <c r="F45" s="70">
        <f>IF(C45=0,0,+E45/C45)</f>
        <v>-3.23833142974757E-2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879</v>
      </c>
      <c r="C46" s="27">
        <f>+C43+C44+C45</f>
        <v>97559565</v>
      </c>
      <c r="D46" s="27">
        <f>+D43+D44+D45</f>
        <v>89211535</v>
      </c>
      <c r="E46" s="27">
        <f>+E43+E44+E45</f>
        <v>-8348030</v>
      </c>
      <c r="F46" s="28">
        <f>IF(C46=0,0,+E46/C46)</f>
        <v>-8.5568544714195893E-2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883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FILING&amp;RYALE-NEW HAVEN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>
      <selection activeCell="A2" sqref="A2:F2"/>
    </sheetView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594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595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884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885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600</v>
      </c>
      <c r="D9" s="35" t="s">
        <v>601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886</v>
      </c>
      <c r="D10" s="35" t="s">
        <v>886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887</v>
      </c>
      <c r="D11" s="605" t="s">
        <v>887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888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1470510479</v>
      </c>
      <c r="D15" s="51">
        <v>1566246297</v>
      </c>
      <c r="E15" s="51">
        <f>+D15-C15</f>
        <v>95735818</v>
      </c>
      <c r="F15" s="70">
        <f>+E15/C15</f>
        <v>6.5103798556473941E-2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504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889</v>
      </c>
      <c r="C17" s="51">
        <v>813730743</v>
      </c>
      <c r="D17" s="51">
        <v>851250835</v>
      </c>
      <c r="E17" s="51">
        <f>+D17-C17</f>
        <v>37520092</v>
      </c>
      <c r="F17" s="70">
        <f>+E17/C17</f>
        <v>4.6108731079366382E-2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890</v>
      </c>
      <c r="C19" s="27">
        <f>+C15-C17</f>
        <v>656779736</v>
      </c>
      <c r="D19" s="27">
        <f>+D15-D17</f>
        <v>714995462</v>
      </c>
      <c r="E19" s="27">
        <f>+D19-C19</f>
        <v>58215726</v>
      </c>
      <c r="F19" s="28">
        <f>+E19/C19</f>
        <v>8.863812753199804E-2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891</v>
      </c>
      <c r="C21" s="628">
        <f>+C17/C15</f>
        <v>0.55336616407750194</v>
      </c>
      <c r="D21" s="628">
        <f>+D17/D15</f>
        <v>0.54349742861674588</v>
      </c>
      <c r="E21" s="628">
        <f>+D21-C21</f>
        <v>-9.8687354607560618E-3</v>
      </c>
      <c r="F21" s="28">
        <f>+E21/C21</f>
        <v>-1.7834005946510838E-2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504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504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504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504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892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FILING&amp;R&amp;12YALE-NEW HAVEN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activeCell="A3" sqref="A3:E3"/>
    </sheetView>
  </sheetViews>
  <sheetFormatPr defaultRowHeight="12.75" x14ac:dyDescent="0.2"/>
  <cols>
    <col min="1" max="1" width="9.42578125" customWidth="1"/>
    <col min="2" max="2" width="83.5703125" customWidth="1"/>
    <col min="3" max="5" width="19.42578125" bestFit="1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893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894</v>
      </c>
      <c r="B6" s="632" t="s">
        <v>895</v>
      </c>
      <c r="C6" s="632" t="s">
        <v>896</v>
      </c>
      <c r="D6" s="632" t="s">
        <v>897</v>
      </c>
      <c r="E6" s="632" t="s">
        <v>898</v>
      </c>
    </row>
    <row r="7" spans="1:6" ht="37.5" customHeight="1" x14ac:dyDescent="0.25">
      <c r="A7" s="633" t="s">
        <v>8</v>
      </c>
      <c r="B7" s="634" t="s">
        <v>899</v>
      </c>
      <c r="C7" s="631" t="s">
        <v>900</v>
      </c>
      <c r="D7" s="631" t="s">
        <v>901</v>
      </c>
      <c r="E7" s="631" t="s">
        <v>902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903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904</v>
      </c>
      <c r="C10" s="641">
        <v>1953718340</v>
      </c>
      <c r="D10" s="641">
        <v>2358191436</v>
      </c>
      <c r="E10" s="641">
        <v>2627185680</v>
      </c>
    </row>
    <row r="11" spans="1:6" ht="26.1" customHeight="1" x14ac:dyDescent="0.25">
      <c r="A11" s="639">
        <v>2</v>
      </c>
      <c r="B11" s="640" t="s">
        <v>905</v>
      </c>
      <c r="C11" s="641">
        <v>1038030660</v>
      </c>
      <c r="D11" s="641">
        <v>1158356254</v>
      </c>
      <c r="E11" s="641">
        <v>1274874485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2991749000</v>
      </c>
      <c r="D12" s="641">
        <f>+D11+D10</f>
        <v>3516547690</v>
      </c>
      <c r="E12" s="641">
        <f>+E11+E10</f>
        <v>3902060165</v>
      </c>
    </row>
    <row r="13" spans="1:6" ht="26.1" customHeight="1" x14ac:dyDescent="0.25">
      <c r="A13" s="639">
        <v>4</v>
      </c>
      <c r="B13" s="640" t="s">
        <v>484</v>
      </c>
      <c r="C13" s="641">
        <v>1049416000</v>
      </c>
      <c r="D13" s="641">
        <v>1196644000</v>
      </c>
      <c r="E13" s="641">
        <v>1318578000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906</v>
      </c>
      <c r="C16" s="641">
        <v>1057913000</v>
      </c>
      <c r="D16" s="641">
        <v>1169696000</v>
      </c>
      <c r="E16" s="641">
        <v>1297936000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907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272757</v>
      </c>
      <c r="D19" s="644">
        <v>279599</v>
      </c>
      <c r="E19" s="644">
        <v>284705</v>
      </c>
    </row>
    <row r="20" spans="1:5" ht="26.1" customHeight="1" x14ac:dyDescent="0.25">
      <c r="A20" s="639">
        <v>2</v>
      </c>
      <c r="B20" s="640" t="s">
        <v>373</v>
      </c>
      <c r="C20" s="645">
        <v>52124</v>
      </c>
      <c r="D20" s="645">
        <v>54408</v>
      </c>
      <c r="E20" s="645">
        <v>56602</v>
      </c>
    </row>
    <row r="21" spans="1:5" ht="26.1" customHeight="1" x14ac:dyDescent="0.25">
      <c r="A21" s="639">
        <v>3</v>
      </c>
      <c r="B21" s="640" t="s">
        <v>908</v>
      </c>
      <c r="C21" s="646">
        <f>IF(C20=0,0,+C19/C20)</f>
        <v>5.2328485918195069</v>
      </c>
      <c r="D21" s="646">
        <f>IF(D20=0,0,+D19/D20)</f>
        <v>5.1389317747390093</v>
      </c>
      <c r="E21" s="646">
        <f>IF(E20=0,0,+E19/E20)</f>
        <v>5.0299459383060672</v>
      </c>
    </row>
    <row r="22" spans="1:5" ht="26.1" customHeight="1" x14ac:dyDescent="0.25">
      <c r="A22" s="639">
        <v>4</v>
      </c>
      <c r="B22" s="640" t="s">
        <v>909</v>
      </c>
      <c r="C22" s="645">
        <f>IF(C10=0,0,C19*(C12/C10))</f>
        <v>417675.60107615101</v>
      </c>
      <c r="D22" s="645">
        <f>IF(D10=0,0,D19*(D12/D10))</f>
        <v>416939.52516597556</v>
      </c>
      <c r="E22" s="645">
        <f>IF(E10=0,0,E19*(E12/E10))</f>
        <v>422861.6377340809</v>
      </c>
    </row>
    <row r="23" spans="1:5" ht="26.1" customHeight="1" x14ac:dyDescent="0.25">
      <c r="A23" s="639">
        <v>0</v>
      </c>
      <c r="B23" s="640" t="s">
        <v>910</v>
      </c>
      <c r="C23" s="645">
        <f>IF(C10=0,0,C20*(C12/C10))</f>
        <v>79818.017614555429</v>
      </c>
      <c r="D23" s="645">
        <f>IF(D10=0,0,D20*(D12/D10))</f>
        <v>81133.500782300354</v>
      </c>
      <c r="E23" s="645">
        <f>IF(E10=0,0,E20*(E12/E10))</f>
        <v>84068.823585902763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911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1.361548052720436</v>
      </c>
      <c r="D26" s="647">
        <v>1.3653677896632848</v>
      </c>
      <c r="E26" s="647">
        <v>1.3476329723331331</v>
      </c>
    </row>
    <row r="27" spans="1:5" ht="26.1" customHeight="1" x14ac:dyDescent="0.25">
      <c r="A27" s="639">
        <v>2</v>
      </c>
      <c r="B27" s="640" t="s">
        <v>912</v>
      </c>
      <c r="C27" s="645">
        <f>C19*C26</f>
        <v>371371.76221586799</v>
      </c>
      <c r="D27" s="645">
        <f>D19*D26</f>
        <v>381755.46862206474</v>
      </c>
      <c r="E27" s="645">
        <f>E19*E26</f>
        <v>383677.84538810467</v>
      </c>
    </row>
    <row r="28" spans="1:5" ht="26.1" customHeight="1" x14ac:dyDescent="0.25">
      <c r="A28" s="639">
        <v>3</v>
      </c>
      <c r="B28" s="640" t="s">
        <v>913</v>
      </c>
      <c r="C28" s="645">
        <f>C20*C26</f>
        <v>70969.330700000006</v>
      </c>
      <c r="D28" s="645">
        <f>D20*D26</f>
        <v>74286.930699999997</v>
      </c>
      <c r="E28" s="645">
        <f>E20*E26</f>
        <v>76278.7215</v>
      </c>
    </row>
    <row r="29" spans="1:5" ht="26.1" customHeight="1" x14ac:dyDescent="0.25">
      <c r="A29" s="639">
        <v>4</v>
      </c>
      <c r="B29" s="640" t="s">
        <v>914</v>
      </c>
      <c r="C29" s="645">
        <f>C22*C26</f>
        <v>568685.40131407103</v>
      </c>
      <c r="D29" s="645">
        <f>D22*D26</f>
        <v>569275.79789912759</v>
      </c>
      <c r="E29" s="645">
        <f>E22*E26</f>
        <v>569862.28574523597</v>
      </c>
    </row>
    <row r="30" spans="1:5" ht="26.1" customHeight="1" x14ac:dyDescent="0.25">
      <c r="A30" s="639">
        <v>5</v>
      </c>
      <c r="B30" s="640" t="s">
        <v>915</v>
      </c>
      <c r="C30" s="645">
        <f>C23*C26</f>
        <v>108676.0664551034</v>
      </c>
      <c r="D30" s="645">
        <f>D23*D26</f>
        <v>110777.06863077382</v>
      </c>
      <c r="E30" s="645">
        <f>E23*E26</f>
        <v>113293.91860961994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916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917</v>
      </c>
      <c r="C33" s="641">
        <f>IF(C19=0,0,C12/C19)</f>
        <v>10968.550761300352</v>
      </c>
      <c r="D33" s="641">
        <f>IF(D19=0,0,D12/D19)</f>
        <v>12577.11111270069</v>
      </c>
      <c r="E33" s="641">
        <f>IF(E19=0,0,E12/E19)</f>
        <v>13705.62570028626</v>
      </c>
    </row>
    <row r="34" spans="1:5" ht="26.1" customHeight="1" x14ac:dyDescent="0.25">
      <c r="A34" s="639">
        <v>2</v>
      </c>
      <c r="B34" s="640" t="s">
        <v>918</v>
      </c>
      <c r="C34" s="641">
        <f>IF(C20=0,0,C12/C20)</f>
        <v>57396.765405571328</v>
      </c>
      <c r="D34" s="641">
        <f>IF(D20=0,0,D12/D20)</f>
        <v>64632.915931480667</v>
      </c>
      <c r="E34" s="641">
        <f>IF(E20=0,0,E12/E20)</f>
        <v>68938.556323098121</v>
      </c>
    </row>
    <row r="35" spans="1:5" ht="26.1" customHeight="1" x14ac:dyDescent="0.25">
      <c r="A35" s="639">
        <v>3</v>
      </c>
      <c r="B35" s="640" t="s">
        <v>919</v>
      </c>
      <c r="C35" s="641">
        <f>IF(C22=0,0,C12/C22)</f>
        <v>7162.8531623386389</v>
      </c>
      <c r="D35" s="641">
        <f>IF(D22=0,0,D12/D22)</f>
        <v>8434.1912381660877</v>
      </c>
      <c r="E35" s="641">
        <f>IF(E22=0,0,E12/E22)</f>
        <v>9227.7468959098023</v>
      </c>
    </row>
    <row r="36" spans="1:5" ht="26.1" customHeight="1" x14ac:dyDescent="0.25">
      <c r="A36" s="639">
        <v>4</v>
      </c>
      <c r="B36" s="640" t="s">
        <v>920</v>
      </c>
      <c r="C36" s="641">
        <f>IF(C23=0,0,C12/C23)</f>
        <v>37482.126083953648</v>
      </c>
      <c r="D36" s="641">
        <f>IF(D23=0,0,D12/D23)</f>
        <v>43342.733348037051</v>
      </c>
      <c r="E36" s="641">
        <f>IF(E23=0,0,E12/E23)</f>
        <v>46415.068018797923</v>
      </c>
    </row>
    <row r="37" spans="1:5" ht="26.1" customHeight="1" x14ac:dyDescent="0.25">
      <c r="A37" s="639">
        <v>5</v>
      </c>
      <c r="B37" s="640" t="s">
        <v>921</v>
      </c>
      <c r="C37" s="641">
        <f>IF(C29=0,0,C12/C29)</f>
        <v>5260.8155459713134</v>
      </c>
      <c r="D37" s="641">
        <f>IF(D29=0,0,D12/D29)</f>
        <v>6177.2302686634011</v>
      </c>
      <c r="E37" s="641">
        <f>IF(E29=0,0,E12/E29)</f>
        <v>6847.3739403496247</v>
      </c>
    </row>
    <row r="38" spans="1:5" ht="26.1" customHeight="1" x14ac:dyDescent="0.25">
      <c r="A38" s="639">
        <v>6</v>
      </c>
      <c r="B38" s="640" t="s">
        <v>922</v>
      </c>
      <c r="C38" s="641">
        <f>IF(C30=0,0,C12/C30)</f>
        <v>27529.051221558158</v>
      </c>
      <c r="D38" s="641">
        <f>IF(D30=0,0,D12/D30)</f>
        <v>31744.36490751394</v>
      </c>
      <c r="E38" s="641">
        <f>IF(E30=0,0,E12/E30)</f>
        <v>34441.9207393244</v>
      </c>
    </row>
    <row r="39" spans="1:5" ht="26.1" customHeight="1" x14ac:dyDescent="0.25">
      <c r="A39" s="639">
        <v>7</v>
      </c>
      <c r="B39" s="640" t="s">
        <v>923</v>
      </c>
      <c r="C39" s="641">
        <f>IF(C22=0,0,C10/C22)</f>
        <v>4677.5974822714061</v>
      </c>
      <c r="D39" s="641">
        <f>IF(D22=0,0,D10/D22)</f>
        <v>5655.9555850725583</v>
      </c>
      <c r="E39" s="641">
        <f>IF(E22=0,0,E10/E22)</f>
        <v>6212.8730666557212</v>
      </c>
    </row>
    <row r="40" spans="1:5" ht="26.1" customHeight="1" x14ac:dyDescent="0.25">
      <c r="A40" s="639">
        <v>8</v>
      </c>
      <c r="B40" s="640" t="s">
        <v>924</v>
      </c>
      <c r="C40" s="641">
        <f>IF(C23=0,0,C10/C23)</f>
        <v>24477.159398202399</v>
      </c>
      <c r="D40" s="641">
        <f>IF(D23=0,0,D10/D23)</f>
        <v>29065.569872641936</v>
      </c>
      <c r="E40" s="641">
        <f>IF(E23=0,0,E10/E23)</f>
        <v>31250.415646836107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925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926</v>
      </c>
      <c r="C43" s="641">
        <f>IF(C19=0,0,C13/C19)</f>
        <v>3847.4392957834261</v>
      </c>
      <c r="D43" s="641">
        <f>IF(D19=0,0,D13/D19)</f>
        <v>4279.857939406078</v>
      </c>
      <c r="E43" s="641">
        <f>IF(E19=0,0,E13/E19)</f>
        <v>4631.3833617252949</v>
      </c>
    </row>
    <row r="44" spans="1:5" ht="26.1" customHeight="1" x14ac:dyDescent="0.25">
      <c r="A44" s="639">
        <v>2</v>
      </c>
      <c r="B44" s="640" t="s">
        <v>927</v>
      </c>
      <c r="C44" s="641">
        <f>IF(C20=0,0,C13/C20)</f>
        <v>20133.067301051338</v>
      </c>
      <c r="D44" s="641">
        <f>IF(D20=0,0,D13/D20)</f>
        <v>21993.897956182915</v>
      </c>
      <c r="E44" s="641">
        <f>IF(E20=0,0,E13/E20)</f>
        <v>23295.607929048445</v>
      </c>
    </row>
    <row r="45" spans="1:5" ht="26.1" customHeight="1" x14ac:dyDescent="0.25">
      <c r="A45" s="639">
        <v>3</v>
      </c>
      <c r="B45" s="640" t="s">
        <v>928</v>
      </c>
      <c r="C45" s="641">
        <f>IF(C22=0,0,C13/C22)</f>
        <v>2512.514490423082</v>
      </c>
      <c r="D45" s="641">
        <f>IF(D22=0,0,D13/D22)</f>
        <v>2870.0661073656647</v>
      </c>
      <c r="E45" s="641">
        <f>IF(E22=0,0,E13/E22)</f>
        <v>3118.2256377420449</v>
      </c>
    </row>
    <row r="46" spans="1:5" ht="26.1" customHeight="1" x14ac:dyDescent="0.25">
      <c r="A46" s="639">
        <v>4</v>
      </c>
      <c r="B46" s="640" t="s">
        <v>929</v>
      </c>
      <c r="C46" s="641">
        <f>IF(C23=0,0,C13/C23)</f>
        <v>13147.607913136531</v>
      </c>
      <c r="D46" s="641">
        <f>IF(D23=0,0,D13/D23)</f>
        <v>14749.073914742914</v>
      </c>
      <c r="E46" s="641">
        <f>IF(E23=0,0,E13/E23)</f>
        <v>15684.506381282445</v>
      </c>
    </row>
    <row r="47" spans="1:5" ht="26.1" customHeight="1" x14ac:dyDescent="0.25">
      <c r="A47" s="639">
        <v>5</v>
      </c>
      <c r="B47" s="640" t="s">
        <v>930</v>
      </c>
      <c r="C47" s="641">
        <f>IF(C29=0,0,C13/C29)</f>
        <v>1845.3366264987576</v>
      </c>
      <c r="D47" s="641">
        <f>IF(D29=0,0,D13/D29)</f>
        <v>2102.0461512963152</v>
      </c>
      <c r="E47" s="641">
        <f>IF(E29=0,0,E13/E29)</f>
        <v>2313.8537730666503</v>
      </c>
    </row>
    <row r="48" spans="1:5" ht="26.1" customHeight="1" x14ac:dyDescent="0.25">
      <c r="A48" s="639">
        <v>6</v>
      </c>
      <c r="B48" s="640" t="s">
        <v>931</v>
      </c>
      <c r="C48" s="641">
        <f>IF(C30=0,0,C13/C30)</f>
        <v>9656.3671674069847</v>
      </c>
      <c r="D48" s="641">
        <f>IF(D30=0,0,D13/D30)</f>
        <v>10802.271758864477</v>
      </c>
      <c r="E48" s="641">
        <f>IF(E30=0,0,E13/E30)</f>
        <v>11638.559387670768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932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933</v>
      </c>
      <c r="C51" s="641">
        <f>IF(C19=0,0,C16/C19)</f>
        <v>3878.5915668525463</v>
      </c>
      <c r="D51" s="641">
        <f>IF(D19=0,0,D16/D19)</f>
        <v>4183.4770510624148</v>
      </c>
      <c r="E51" s="641">
        <f>IF(E19=0,0,E16/E19)</f>
        <v>4558.8802444635676</v>
      </c>
    </row>
    <row r="52" spans="1:6" ht="26.1" customHeight="1" x14ac:dyDescent="0.25">
      <c r="A52" s="639">
        <v>2</v>
      </c>
      <c r="B52" s="640" t="s">
        <v>934</v>
      </c>
      <c r="C52" s="641">
        <f>IF(C20=0,0,C16/C20)</f>
        <v>20296.082418847363</v>
      </c>
      <c r="D52" s="641">
        <f>IF(D20=0,0,D16/D20)</f>
        <v>21498.603146596088</v>
      </c>
      <c r="E52" s="641">
        <f>IF(E20=0,0,E16/E20)</f>
        <v>22930.921168863289</v>
      </c>
    </row>
    <row r="53" spans="1:6" ht="26.1" customHeight="1" x14ac:dyDescent="0.25">
      <c r="A53" s="639">
        <v>3</v>
      </c>
      <c r="B53" s="640" t="s">
        <v>935</v>
      </c>
      <c r="C53" s="641">
        <f>IF(C22=0,0,C16/C22)</f>
        <v>2532.8580297107665</v>
      </c>
      <c r="D53" s="641">
        <f>IF(D22=0,0,D16/D22)</f>
        <v>2805.4332328755991</v>
      </c>
      <c r="E53" s="641">
        <f>IF(E22=0,0,E16/E22)</f>
        <v>3069.4106160942765</v>
      </c>
    </row>
    <row r="54" spans="1:6" ht="26.1" customHeight="1" x14ac:dyDescent="0.25">
      <c r="A54" s="639">
        <v>4</v>
      </c>
      <c r="B54" s="640" t="s">
        <v>936</v>
      </c>
      <c r="C54" s="641">
        <f>IF(C23=0,0,C16/C23)</f>
        <v>13254.062574050717</v>
      </c>
      <c r="D54" s="641">
        <f>IF(D23=0,0,D16/D23)</f>
        <v>14416.929982333198</v>
      </c>
      <c r="E54" s="641">
        <f>IF(E23=0,0,E16/E23)</f>
        <v>15438.969461416929</v>
      </c>
    </row>
    <row r="55" spans="1:6" ht="26.1" customHeight="1" x14ac:dyDescent="0.25">
      <c r="A55" s="639">
        <v>5</v>
      </c>
      <c r="B55" s="640" t="s">
        <v>937</v>
      </c>
      <c r="C55" s="641">
        <f>IF(C29=0,0,C16/C29)</f>
        <v>1860.2781037731274</v>
      </c>
      <c r="D55" s="641">
        <f>IF(D29=0,0,D16/D29)</f>
        <v>2054.7088148076573</v>
      </c>
      <c r="E55" s="641">
        <f>IF(E29=0,0,E16/E29)</f>
        <v>2277.6309864103878</v>
      </c>
    </row>
    <row r="56" spans="1:6" ht="26.1" customHeight="1" x14ac:dyDescent="0.25">
      <c r="A56" s="639">
        <v>6</v>
      </c>
      <c r="B56" s="640" t="s">
        <v>938</v>
      </c>
      <c r="C56" s="641">
        <f>IF(C30=0,0,C16/C30)</f>
        <v>9734.5536557218729</v>
      </c>
      <c r="D56" s="641">
        <f>IF(D30=0,0,D16/D30)</f>
        <v>10559.008416251403</v>
      </c>
      <c r="E56" s="641">
        <f>IF(E30=0,0,E16/E30)</f>
        <v>11456.36072905497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939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940</v>
      </c>
      <c r="C59" s="649">
        <v>165795000</v>
      </c>
      <c r="D59" s="649">
        <v>178889000</v>
      </c>
      <c r="E59" s="649">
        <v>192479000</v>
      </c>
    </row>
    <row r="60" spans="1:6" ht="26.1" customHeight="1" x14ac:dyDescent="0.25">
      <c r="A60" s="639">
        <v>2</v>
      </c>
      <c r="B60" s="640" t="s">
        <v>941</v>
      </c>
      <c r="C60" s="649">
        <v>41598000</v>
      </c>
      <c r="D60" s="649">
        <v>49082000</v>
      </c>
      <c r="E60" s="649">
        <v>54085000</v>
      </c>
    </row>
    <row r="61" spans="1:6" ht="26.1" customHeight="1" x14ac:dyDescent="0.25">
      <c r="A61" s="650">
        <v>3</v>
      </c>
      <c r="B61" s="651" t="s">
        <v>942</v>
      </c>
      <c r="C61" s="652">
        <f>C59+C60</f>
        <v>207393000</v>
      </c>
      <c r="D61" s="652">
        <f>D59+D60</f>
        <v>227971000</v>
      </c>
      <c r="E61" s="652">
        <f>E59+E60</f>
        <v>246564000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943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944</v>
      </c>
      <c r="C64" s="641">
        <v>44672000</v>
      </c>
      <c r="D64" s="641">
        <v>48173000</v>
      </c>
      <c r="E64" s="649">
        <v>50936000</v>
      </c>
      <c r="F64" s="653"/>
    </row>
    <row r="65" spans="1:6" ht="26.1" customHeight="1" x14ac:dyDescent="0.25">
      <c r="A65" s="639">
        <v>2</v>
      </c>
      <c r="B65" s="640" t="s">
        <v>945</v>
      </c>
      <c r="C65" s="649">
        <v>11208000</v>
      </c>
      <c r="D65" s="649">
        <v>13217000</v>
      </c>
      <c r="E65" s="649">
        <v>14312000</v>
      </c>
      <c r="F65" s="653"/>
    </row>
    <row r="66" spans="1:6" ht="26.1" customHeight="1" x14ac:dyDescent="0.25">
      <c r="A66" s="650">
        <v>3</v>
      </c>
      <c r="B66" s="651" t="s">
        <v>946</v>
      </c>
      <c r="C66" s="654">
        <f>C64+C65</f>
        <v>55880000</v>
      </c>
      <c r="D66" s="654">
        <f>D64+D65</f>
        <v>61390000</v>
      </c>
      <c r="E66" s="654">
        <f>E64+E65</f>
        <v>65248000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947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948</v>
      </c>
      <c r="C69" s="649">
        <v>209946000</v>
      </c>
      <c r="D69" s="649">
        <v>225544000</v>
      </c>
      <c r="E69" s="649">
        <v>244860000</v>
      </c>
    </row>
    <row r="70" spans="1:6" ht="26.1" customHeight="1" x14ac:dyDescent="0.25">
      <c r="A70" s="639">
        <v>2</v>
      </c>
      <c r="B70" s="640" t="s">
        <v>949</v>
      </c>
      <c r="C70" s="649">
        <v>52676000</v>
      </c>
      <c r="D70" s="649">
        <v>61882000</v>
      </c>
      <c r="E70" s="649">
        <v>68803000</v>
      </c>
    </row>
    <row r="71" spans="1:6" ht="26.1" customHeight="1" x14ac:dyDescent="0.25">
      <c r="A71" s="650">
        <v>3</v>
      </c>
      <c r="B71" s="651" t="s">
        <v>950</v>
      </c>
      <c r="C71" s="652">
        <f>C69+C70</f>
        <v>262622000</v>
      </c>
      <c r="D71" s="652">
        <f>D69+D70</f>
        <v>287426000</v>
      </c>
      <c r="E71" s="652">
        <f>E69+E70</f>
        <v>313663000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951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952</v>
      </c>
      <c r="C75" s="641">
        <f t="shared" ref="C75:E76" si="0">+C59+C64+C69</f>
        <v>420413000</v>
      </c>
      <c r="D75" s="641">
        <f t="shared" si="0"/>
        <v>452606000</v>
      </c>
      <c r="E75" s="641">
        <f t="shared" si="0"/>
        <v>488275000</v>
      </c>
    </row>
    <row r="76" spans="1:6" ht="26.1" customHeight="1" x14ac:dyDescent="0.25">
      <c r="A76" s="639">
        <v>2</v>
      </c>
      <c r="B76" s="640" t="s">
        <v>953</v>
      </c>
      <c r="C76" s="641">
        <f t="shared" si="0"/>
        <v>105482000</v>
      </c>
      <c r="D76" s="641">
        <f t="shared" si="0"/>
        <v>124181000</v>
      </c>
      <c r="E76" s="641">
        <f t="shared" si="0"/>
        <v>137200000</v>
      </c>
    </row>
    <row r="77" spans="1:6" ht="26.1" customHeight="1" x14ac:dyDescent="0.25">
      <c r="A77" s="650">
        <v>3</v>
      </c>
      <c r="B77" s="651" t="s">
        <v>951</v>
      </c>
      <c r="C77" s="654">
        <f>C75+C76</f>
        <v>525895000</v>
      </c>
      <c r="D77" s="654">
        <f>D75+D76</f>
        <v>576787000</v>
      </c>
      <c r="E77" s="654">
        <f>E75+E76</f>
        <v>625475000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954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578</v>
      </c>
      <c r="C80" s="646">
        <v>2111.1</v>
      </c>
      <c r="D80" s="646">
        <v>2226.6999999999998</v>
      </c>
      <c r="E80" s="646">
        <v>2371.6999999999998</v>
      </c>
    </row>
    <row r="81" spans="1:5" ht="26.1" customHeight="1" x14ac:dyDescent="0.25">
      <c r="A81" s="639">
        <v>2</v>
      </c>
      <c r="B81" s="640" t="s">
        <v>579</v>
      </c>
      <c r="C81" s="646">
        <v>678.5</v>
      </c>
      <c r="D81" s="646">
        <v>705.9</v>
      </c>
      <c r="E81" s="646">
        <v>738.4</v>
      </c>
    </row>
    <row r="82" spans="1:5" ht="26.1" customHeight="1" x14ac:dyDescent="0.25">
      <c r="A82" s="639">
        <v>3</v>
      </c>
      <c r="B82" s="640" t="s">
        <v>955</v>
      </c>
      <c r="C82" s="646">
        <v>3554.3</v>
      </c>
      <c r="D82" s="646">
        <v>3715.4</v>
      </c>
      <c r="E82" s="646">
        <v>3968.7</v>
      </c>
    </row>
    <row r="83" spans="1:5" ht="26.1" customHeight="1" x14ac:dyDescent="0.25">
      <c r="A83" s="650">
        <v>4</v>
      </c>
      <c r="B83" s="651" t="s">
        <v>954</v>
      </c>
      <c r="C83" s="656">
        <f>C80+C81+C82</f>
        <v>6343.9</v>
      </c>
      <c r="D83" s="656">
        <f>D80+D81+D82</f>
        <v>6648</v>
      </c>
      <c r="E83" s="656">
        <f>E80+E81+E82</f>
        <v>7078.7999999999993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956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957</v>
      </c>
      <c r="C86" s="649">
        <f>IF(C80=0,0,C59/C80)</f>
        <v>78534.887025721197</v>
      </c>
      <c r="D86" s="649">
        <f>IF(D80=0,0,D59/D80)</f>
        <v>80338.168590290574</v>
      </c>
      <c r="E86" s="649">
        <f>IF(E80=0,0,E59/E80)</f>
        <v>81156.554370282931</v>
      </c>
    </row>
    <row r="87" spans="1:5" ht="26.1" customHeight="1" x14ac:dyDescent="0.25">
      <c r="A87" s="639">
        <v>2</v>
      </c>
      <c r="B87" s="640" t="s">
        <v>958</v>
      </c>
      <c r="C87" s="649">
        <f>IF(C80=0,0,C60/C80)</f>
        <v>19704.41949694472</v>
      </c>
      <c r="D87" s="649">
        <f>IF(D80=0,0,D60/D80)</f>
        <v>22042.484393946201</v>
      </c>
      <c r="E87" s="649">
        <f>IF(E80=0,0,E60/E80)</f>
        <v>22804.31757810853</v>
      </c>
    </row>
    <row r="88" spans="1:5" ht="26.1" customHeight="1" x14ac:dyDescent="0.25">
      <c r="A88" s="650">
        <v>3</v>
      </c>
      <c r="B88" s="651" t="s">
        <v>959</v>
      </c>
      <c r="C88" s="652">
        <f>+C86+C87</f>
        <v>98239.306522665924</v>
      </c>
      <c r="D88" s="652">
        <f>+D86+D87</f>
        <v>102380.65298423677</v>
      </c>
      <c r="E88" s="652">
        <f>+E86+E87</f>
        <v>103960.87194839146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576</v>
      </c>
      <c r="B90" s="642" t="s">
        <v>960</v>
      </c>
    </row>
    <row r="91" spans="1:5" ht="26.1" customHeight="1" x14ac:dyDescent="0.25">
      <c r="A91" s="639">
        <v>1</v>
      </c>
      <c r="B91" s="640" t="s">
        <v>961</v>
      </c>
      <c r="C91" s="641">
        <f>IF(C81=0,0,C64/C81)</f>
        <v>65839.35151068533</v>
      </c>
      <c r="D91" s="641">
        <f>IF(D81=0,0,D64/D81)</f>
        <v>68243.377248902107</v>
      </c>
      <c r="E91" s="641">
        <f>IF(E81=0,0,E64/E81)</f>
        <v>68981.58179848321</v>
      </c>
    </row>
    <row r="92" spans="1:5" ht="26.1" customHeight="1" x14ac:dyDescent="0.25">
      <c r="A92" s="639">
        <v>2</v>
      </c>
      <c r="B92" s="640" t="s">
        <v>962</v>
      </c>
      <c r="C92" s="641">
        <f>IF(C81=0,0,C65/C81)</f>
        <v>16518.791451731762</v>
      </c>
      <c r="D92" s="641">
        <f>IF(D81=0,0,D65/D81)</f>
        <v>18723.615242952259</v>
      </c>
      <c r="E92" s="641">
        <f>IF(E81=0,0,E65/E81)</f>
        <v>19382.448537378117</v>
      </c>
    </row>
    <row r="93" spans="1:5" ht="26.1" customHeight="1" x14ac:dyDescent="0.25">
      <c r="A93" s="650">
        <v>3</v>
      </c>
      <c r="B93" s="651" t="s">
        <v>963</v>
      </c>
      <c r="C93" s="654">
        <f>+C91+C92</f>
        <v>82358.1429624171</v>
      </c>
      <c r="D93" s="654">
        <f>+D91+D92</f>
        <v>86966.992491854369</v>
      </c>
      <c r="E93" s="654">
        <f>+E91+E92</f>
        <v>88364.030335861331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964</v>
      </c>
      <c r="B95" s="642" t="s">
        <v>965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966</v>
      </c>
      <c r="C96" s="649">
        <f>IF(C82=0,0,C69/C82)</f>
        <v>59068.170947865961</v>
      </c>
      <c r="D96" s="649">
        <f>IF(D82=0,0,D69/D82)</f>
        <v>60705.173063465576</v>
      </c>
      <c r="E96" s="649">
        <f>IF(E82=0,0,E69/E82)</f>
        <v>61697.785168947012</v>
      </c>
    </row>
    <row r="97" spans="1:5" ht="26.1" customHeight="1" x14ac:dyDescent="0.25">
      <c r="A97" s="639">
        <v>2</v>
      </c>
      <c r="B97" s="640" t="s">
        <v>967</v>
      </c>
      <c r="C97" s="649">
        <f>IF(C82=0,0,C70/C82)</f>
        <v>14820.358439073798</v>
      </c>
      <c r="D97" s="649">
        <f>IF(D82=0,0,D70/D82)</f>
        <v>16655.541798998762</v>
      </c>
      <c r="E97" s="649">
        <f>IF(E82=0,0,E70/E82)</f>
        <v>17336.40738780961</v>
      </c>
    </row>
    <row r="98" spans="1:5" ht="26.1" customHeight="1" x14ac:dyDescent="0.25">
      <c r="A98" s="650">
        <v>3</v>
      </c>
      <c r="B98" s="651" t="s">
        <v>968</v>
      </c>
      <c r="C98" s="654">
        <f>+C96+C97</f>
        <v>73888.529386939757</v>
      </c>
      <c r="D98" s="654">
        <f>+D96+D97</f>
        <v>77360.714862464345</v>
      </c>
      <c r="E98" s="654">
        <f>+E96+E97</f>
        <v>79034.192556756621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969</v>
      </c>
      <c r="B100" s="642" t="s">
        <v>970</v>
      </c>
    </row>
    <row r="101" spans="1:5" ht="26.1" customHeight="1" x14ac:dyDescent="0.25">
      <c r="A101" s="639">
        <v>1</v>
      </c>
      <c r="B101" s="640" t="s">
        <v>971</v>
      </c>
      <c r="C101" s="641">
        <f>IF(C83=0,0,C75/C83)</f>
        <v>66270.433014391776</v>
      </c>
      <c r="D101" s="641">
        <f>IF(D83=0,0,D75/D83)</f>
        <v>68081.528279181715</v>
      </c>
      <c r="E101" s="641">
        <f>IF(E83=0,0,E75/E83)</f>
        <v>68977.086511838177</v>
      </c>
    </row>
    <row r="102" spans="1:5" ht="26.1" customHeight="1" x14ac:dyDescent="0.25">
      <c r="A102" s="639">
        <v>2</v>
      </c>
      <c r="B102" s="640" t="s">
        <v>972</v>
      </c>
      <c r="C102" s="658">
        <f>IF(C83=0,0,C76/C83)</f>
        <v>16627.311275398417</v>
      </c>
      <c r="D102" s="658">
        <f>IF(D83=0,0,D76/D83)</f>
        <v>18679.45246690734</v>
      </c>
      <c r="E102" s="658">
        <f>IF(E83=0,0,E76/E83)</f>
        <v>19381.816127027181</v>
      </c>
    </row>
    <row r="103" spans="1:5" ht="26.1" customHeight="1" x14ac:dyDescent="0.25">
      <c r="A103" s="650">
        <v>3</v>
      </c>
      <c r="B103" s="651" t="s">
        <v>970</v>
      </c>
      <c r="C103" s="654">
        <f>+C101+C102</f>
        <v>82897.744289790193</v>
      </c>
      <c r="D103" s="654">
        <f>+D101+D102</f>
        <v>86760.980746089059</v>
      </c>
      <c r="E103" s="654">
        <f>+E101+E102</f>
        <v>88358.902638865358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973</v>
      </c>
      <c r="B107" s="634" t="s">
        <v>974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975</v>
      </c>
      <c r="C108" s="641">
        <f>IF(C19=0,0,C77/C19)</f>
        <v>1928.0715068724176</v>
      </c>
      <c r="D108" s="641">
        <f>IF(D19=0,0,D77/D19)</f>
        <v>2062.9079503145576</v>
      </c>
      <c r="E108" s="641">
        <f>IF(E19=0,0,E77/E19)</f>
        <v>2196.9231309601164</v>
      </c>
    </row>
    <row r="109" spans="1:5" ht="26.1" customHeight="1" x14ac:dyDescent="0.25">
      <c r="A109" s="639">
        <v>2</v>
      </c>
      <c r="B109" s="640" t="s">
        <v>976</v>
      </c>
      <c r="C109" s="641">
        <f>IF(C20=0,0,C77/C20)</f>
        <v>10089.306269664647</v>
      </c>
      <c r="D109" s="641">
        <f>IF(D20=0,0,D77/D20)</f>
        <v>10601.143214233201</v>
      </c>
      <c r="E109" s="641">
        <f>IF(E20=0,0,E77/E20)</f>
        <v>11050.404579343485</v>
      </c>
    </row>
    <row r="110" spans="1:5" ht="26.1" customHeight="1" x14ac:dyDescent="0.25">
      <c r="A110" s="639">
        <v>3</v>
      </c>
      <c r="B110" s="640" t="s">
        <v>977</v>
      </c>
      <c r="C110" s="641">
        <f>IF(C22=0,0,C77/C22)</f>
        <v>1259.0991636691708</v>
      </c>
      <c r="D110" s="641">
        <f>IF(D22=0,0,D77/D22)</f>
        <v>1383.382877337888</v>
      </c>
      <c r="E110" s="641">
        <f>IF(E22=0,0,E77/E22)</f>
        <v>1479.1481283372736</v>
      </c>
    </row>
    <row r="111" spans="1:5" ht="26.1" customHeight="1" x14ac:dyDescent="0.25">
      <c r="A111" s="639">
        <v>4</v>
      </c>
      <c r="B111" s="640" t="s">
        <v>978</v>
      </c>
      <c r="C111" s="641">
        <f>IF(C23=0,0,C77/C23)</f>
        <v>6588.6752855673403</v>
      </c>
      <c r="D111" s="641">
        <f>IF(D23=0,0,D77/D23)</f>
        <v>7109.1102249815494</v>
      </c>
      <c r="E111" s="641">
        <f>IF(E23=0,0,E77/E23)</f>
        <v>7440.0351202830907</v>
      </c>
    </row>
    <row r="112" spans="1:5" ht="26.1" customHeight="1" x14ac:dyDescent="0.25">
      <c r="A112" s="639">
        <v>5</v>
      </c>
      <c r="B112" s="640" t="s">
        <v>979</v>
      </c>
      <c r="C112" s="641">
        <f>IF(C29=0,0,C77/C29)</f>
        <v>924.7555832887665</v>
      </c>
      <c r="D112" s="641">
        <f>IF(D29=0,0,D77/D29)</f>
        <v>1013.1943113137638</v>
      </c>
      <c r="E112" s="641">
        <f>IF(E29=0,0,E77/E29)</f>
        <v>1097.5897434272854</v>
      </c>
    </row>
    <row r="113" spans="1:7" ht="25.5" customHeight="1" x14ac:dyDescent="0.25">
      <c r="A113" s="639">
        <v>6</v>
      </c>
      <c r="B113" s="640" t="s">
        <v>980</v>
      </c>
      <c r="C113" s="641">
        <f>IF(C30=0,0,C77/C30)</f>
        <v>4839.1059517898493</v>
      </c>
      <c r="D113" s="641">
        <f>IF(D30=0,0,D77/D30)</f>
        <v>5206.7364403951096</v>
      </c>
      <c r="E113" s="641">
        <f>IF(E30=0,0,E77/E30)</f>
        <v>5520.8170718784731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FILING&amp;R&amp;12YALE-NEW HAVEN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3516548000</v>
      </c>
      <c r="D12" s="51">
        <v>3902060000</v>
      </c>
      <c r="E12" s="51">
        <f t="shared" ref="E12:E19" si="0">D12-C12</f>
        <v>385512000</v>
      </c>
      <c r="F12" s="70">
        <f t="shared" ref="F12:F19" si="1">IF(C12=0,0,E12/C12)</f>
        <v>0.10962796469719736</v>
      </c>
    </row>
    <row r="13" spans="1:8" ht="23.1" customHeight="1" x14ac:dyDescent="0.2">
      <c r="A13" s="25">
        <v>2</v>
      </c>
      <c r="B13" s="48" t="s">
        <v>72</v>
      </c>
      <c r="C13" s="51">
        <v>2246404000</v>
      </c>
      <c r="D13" s="51">
        <v>2520876000</v>
      </c>
      <c r="E13" s="51">
        <f t="shared" si="0"/>
        <v>274472000</v>
      </c>
      <c r="F13" s="70">
        <f t="shared" si="1"/>
        <v>0.12218283087102765</v>
      </c>
    </row>
    <row r="14" spans="1:8" ht="23.1" customHeight="1" x14ac:dyDescent="0.2">
      <c r="A14" s="25">
        <v>3</v>
      </c>
      <c r="B14" s="48" t="s">
        <v>73</v>
      </c>
      <c r="C14" s="51">
        <v>73500000</v>
      </c>
      <c r="D14" s="51">
        <v>62606000</v>
      </c>
      <c r="E14" s="51">
        <f t="shared" si="0"/>
        <v>-10894000</v>
      </c>
      <c r="F14" s="70">
        <f t="shared" si="1"/>
        <v>-0.14821768707482993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1196644000</v>
      </c>
      <c r="D16" s="27">
        <f>D12-D13-D14-D15</f>
        <v>1318578000</v>
      </c>
      <c r="E16" s="27">
        <f t="shared" si="0"/>
        <v>121934000</v>
      </c>
      <c r="F16" s="28">
        <f t="shared" si="1"/>
        <v>0.10189663759647816</v>
      </c>
    </row>
    <row r="17" spans="1:7" ht="23.1" customHeight="1" x14ac:dyDescent="0.2">
      <c r="A17" s="25">
        <v>5</v>
      </c>
      <c r="B17" s="48" t="s">
        <v>76</v>
      </c>
      <c r="C17" s="51">
        <v>17653000</v>
      </c>
      <c r="D17" s="51">
        <v>21010000</v>
      </c>
      <c r="E17" s="51">
        <f t="shared" si="0"/>
        <v>3357000</v>
      </c>
      <c r="F17" s="70">
        <f t="shared" si="1"/>
        <v>0.19016597745425706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22815000</v>
      </c>
      <c r="D18" s="51">
        <v>27415000</v>
      </c>
      <c r="E18" s="51">
        <f t="shared" si="0"/>
        <v>4600000</v>
      </c>
      <c r="F18" s="70">
        <f t="shared" si="1"/>
        <v>0.20162174008327854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1237112000</v>
      </c>
      <c r="D19" s="27">
        <f>SUM(D16:D18)</f>
        <v>1367003000</v>
      </c>
      <c r="E19" s="27">
        <f t="shared" si="0"/>
        <v>129891000</v>
      </c>
      <c r="F19" s="28">
        <f t="shared" si="1"/>
        <v>0.1049953439947232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452606000</v>
      </c>
      <c r="D22" s="51">
        <v>488275000</v>
      </c>
      <c r="E22" s="51">
        <f t="shared" ref="E22:E31" si="2">D22-C22</f>
        <v>35669000</v>
      </c>
      <c r="F22" s="70">
        <f t="shared" ref="F22:F31" si="3">IF(C22=0,0,E22/C22)</f>
        <v>7.8808058222825147E-2</v>
      </c>
    </row>
    <row r="23" spans="1:7" ht="23.1" customHeight="1" x14ac:dyDescent="0.2">
      <c r="A23" s="25">
        <v>2</v>
      </c>
      <c r="B23" s="48" t="s">
        <v>81</v>
      </c>
      <c r="C23" s="51">
        <v>124181000</v>
      </c>
      <c r="D23" s="51">
        <v>137200000</v>
      </c>
      <c r="E23" s="51">
        <f t="shared" si="2"/>
        <v>13019000</v>
      </c>
      <c r="F23" s="70">
        <f t="shared" si="3"/>
        <v>0.10483890450229906</v>
      </c>
    </row>
    <row r="24" spans="1:7" ht="23.1" customHeight="1" x14ac:dyDescent="0.2">
      <c r="A24" s="25">
        <v>3</v>
      </c>
      <c r="B24" s="48" t="s">
        <v>82</v>
      </c>
      <c r="C24" s="51">
        <v>64272000</v>
      </c>
      <c r="D24" s="51">
        <v>70728000</v>
      </c>
      <c r="E24" s="51">
        <f t="shared" si="2"/>
        <v>6456000</v>
      </c>
      <c r="F24" s="70">
        <f t="shared" si="3"/>
        <v>0.10044809559372667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193416000</v>
      </c>
      <c r="D25" s="51">
        <v>209331000</v>
      </c>
      <c r="E25" s="51">
        <f t="shared" si="2"/>
        <v>15915000</v>
      </c>
      <c r="F25" s="70">
        <f t="shared" si="3"/>
        <v>8.2283782106961162E-2</v>
      </c>
    </row>
    <row r="26" spans="1:7" ht="23.1" customHeight="1" x14ac:dyDescent="0.2">
      <c r="A26" s="25">
        <v>5</v>
      </c>
      <c r="B26" s="48" t="s">
        <v>84</v>
      </c>
      <c r="C26" s="51">
        <v>43050000</v>
      </c>
      <c r="D26" s="51">
        <v>51660000</v>
      </c>
      <c r="E26" s="51">
        <f t="shared" si="2"/>
        <v>8610000</v>
      </c>
      <c r="F26" s="70">
        <f t="shared" si="3"/>
        <v>0.2</v>
      </c>
    </row>
    <row r="27" spans="1:7" ht="23.1" customHeight="1" x14ac:dyDescent="0.2">
      <c r="A27" s="25">
        <v>6</v>
      </c>
      <c r="B27" s="48" t="s">
        <v>85</v>
      </c>
      <c r="C27" s="51">
        <v>24873000</v>
      </c>
      <c r="D27" s="51">
        <v>27440000</v>
      </c>
      <c r="E27" s="51">
        <f t="shared" si="2"/>
        <v>2567000</v>
      </c>
      <c r="F27" s="70">
        <f t="shared" si="3"/>
        <v>0.10320427773087283</v>
      </c>
    </row>
    <row r="28" spans="1:7" ht="23.1" customHeight="1" x14ac:dyDescent="0.2">
      <c r="A28" s="25">
        <v>7</v>
      </c>
      <c r="B28" s="48" t="s">
        <v>86</v>
      </c>
      <c r="C28" s="51">
        <v>1549000</v>
      </c>
      <c r="D28" s="51">
        <v>12306000</v>
      </c>
      <c r="E28" s="51">
        <f t="shared" si="2"/>
        <v>10757000</v>
      </c>
      <c r="F28" s="70">
        <f t="shared" si="3"/>
        <v>6.9444803098773402</v>
      </c>
    </row>
    <row r="29" spans="1:7" ht="23.1" customHeight="1" x14ac:dyDescent="0.2">
      <c r="A29" s="25">
        <v>8</v>
      </c>
      <c r="B29" s="48" t="s">
        <v>87</v>
      </c>
      <c r="C29" s="51">
        <v>19909000</v>
      </c>
      <c r="D29" s="51">
        <v>16754000</v>
      </c>
      <c r="E29" s="51">
        <f t="shared" si="2"/>
        <v>-3155000</v>
      </c>
      <c r="F29" s="70">
        <f t="shared" si="3"/>
        <v>-0.1584710432467728</v>
      </c>
    </row>
    <row r="30" spans="1:7" ht="23.1" customHeight="1" x14ac:dyDescent="0.2">
      <c r="A30" s="25">
        <v>9</v>
      </c>
      <c r="B30" s="48" t="s">
        <v>88</v>
      </c>
      <c r="C30" s="51">
        <v>245840000</v>
      </c>
      <c r="D30" s="51">
        <v>284242000</v>
      </c>
      <c r="E30" s="51">
        <f t="shared" si="2"/>
        <v>38402000</v>
      </c>
      <c r="F30" s="70">
        <f t="shared" si="3"/>
        <v>0.15620728929384967</v>
      </c>
    </row>
    <row r="31" spans="1:7" ht="23.1" customHeight="1" x14ac:dyDescent="0.25">
      <c r="A31" s="29"/>
      <c r="B31" s="71" t="s">
        <v>89</v>
      </c>
      <c r="C31" s="27">
        <f>SUM(C22:C30)</f>
        <v>1169696000</v>
      </c>
      <c r="D31" s="27">
        <f>SUM(D22:D30)</f>
        <v>1297936000</v>
      </c>
      <c r="E31" s="27">
        <f t="shared" si="2"/>
        <v>128240000</v>
      </c>
      <c r="F31" s="28">
        <f t="shared" si="3"/>
        <v>0.10963532405000957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67416000</v>
      </c>
      <c r="D33" s="27">
        <f>+D19-D31</f>
        <v>69067000</v>
      </c>
      <c r="E33" s="27">
        <f>D33-C33</f>
        <v>1651000</v>
      </c>
      <c r="F33" s="28">
        <f>IF(C33=0,0,E33/C33)</f>
        <v>2.4489735374391836E-2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-39251000</v>
      </c>
      <c r="D36" s="51">
        <v>10104000</v>
      </c>
      <c r="E36" s="51">
        <f>D36-C36</f>
        <v>49355000</v>
      </c>
      <c r="F36" s="70">
        <f>IF(C36=0,0,E36/C36)</f>
        <v>-1.2574201931160989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-5547000</v>
      </c>
      <c r="D38" s="51">
        <v>-16515000</v>
      </c>
      <c r="E38" s="51">
        <f>D38-C38</f>
        <v>-10968000</v>
      </c>
      <c r="F38" s="70">
        <f>IF(C38=0,0,E38/C38)</f>
        <v>1.9772850189291509</v>
      </c>
    </row>
    <row r="39" spans="1:6" ht="23.1" customHeight="1" x14ac:dyDescent="0.25">
      <c r="A39" s="20"/>
      <c r="B39" s="71" t="s">
        <v>95</v>
      </c>
      <c r="C39" s="27">
        <f>SUM(C36:C38)</f>
        <v>-44798000</v>
      </c>
      <c r="D39" s="27">
        <f>SUM(D36:D38)</f>
        <v>-6411000</v>
      </c>
      <c r="E39" s="27">
        <f>D39-C39</f>
        <v>38387000</v>
      </c>
      <c r="F39" s="28">
        <f>IF(C39=0,0,E39/C39)</f>
        <v>-0.85689093263092098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22618000</v>
      </c>
      <c r="D41" s="27">
        <f>D33+D39</f>
        <v>62656000</v>
      </c>
      <c r="E41" s="27">
        <f>D41-C41</f>
        <v>40038000</v>
      </c>
      <c r="F41" s="28">
        <f>IF(C41=0,0,E41/C41)</f>
        <v>1.7701830400565921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30283000</v>
      </c>
      <c r="D44" s="51">
        <v>22044000</v>
      </c>
      <c r="E44" s="51">
        <f>D44-C44</f>
        <v>-8239000</v>
      </c>
      <c r="F44" s="70">
        <f>IF(C44=0,0,E44/C44)</f>
        <v>-0.27206683617871413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30283000</v>
      </c>
      <c r="D46" s="27">
        <f>SUM(D44:D45)</f>
        <v>22044000</v>
      </c>
      <c r="E46" s="27">
        <f>D46-C46</f>
        <v>-8239000</v>
      </c>
      <c r="F46" s="28">
        <f>IF(C46=0,0,E46/C46)</f>
        <v>-0.27206683617871413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52901000</v>
      </c>
      <c r="D48" s="27">
        <f>D41+D46</f>
        <v>84700000</v>
      </c>
      <c r="E48" s="27">
        <f>D48-C48</f>
        <v>31799000</v>
      </c>
      <c r="F48" s="28">
        <f>IF(C48=0,0,E48/C48)</f>
        <v>0.60110394888565433</v>
      </c>
    </row>
    <row r="49" spans="1:6" ht="23.1" customHeight="1" x14ac:dyDescent="0.2">
      <c r="A49" s="44"/>
      <c r="B49" s="48" t="s">
        <v>102</v>
      </c>
      <c r="C49" s="51">
        <v>2600000</v>
      </c>
      <c r="D49" s="51">
        <v>11075000</v>
      </c>
      <c r="E49" s="51">
        <f>D49-C49</f>
        <v>8475000</v>
      </c>
      <c r="F49" s="70">
        <f>IF(C49=0,0,E49/C49)</f>
        <v>3.2596153846153846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FILING&amp;RYALE-NEW HAVEN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A2" sqref="A2:F2"/>
    </sheetView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22" style="75" bestFit="1" customWidth="1"/>
    <col min="5" max="5" width="20" style="75" bestFit="1" customWidth="1"/>
    <col min="6" max="6" width="18.425781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706070311</v>
      </c>
      <c r="D14" s="97">
        <v>778247217</v>
      </c>
      <c r="E14" s="97">
        <f t="shared" ref="E14:E25" si="0">D14-C14</f>
        <v>72176906</v>
      </c>
      <c r="F14" s="98">
        <f t="shared" ref="F14:F25" si="1">IF(C14=0,0,E14/C14)</f>
        <v>0.10222339740893029</v>
      </c>
    </row>
    <row r="15" spans="1:6" ht="18" customHeight="1" x14ac:dyDescent="0.25">
      <c r="A15" s="99">
        <v>2</v>
      </c>
      <c r="B15" s="100" t="s">
        <v>113</v>
      </c>
      <c r="C15" s="97">
        <v>122556300</v>
      </c>
      <c r="D15" s="97">
        <v>147412203</v>
      </c>
      <c r="E15" s="97">
        <f t="shared" si="0"/>
        <v>24855903</v>
      </c>
      <c r="F15" s="98">
        <f t="shared" si="1"/>
        <v>0.20281211981758587</v>
      </c>
    </row>
    <row r="16" spans="1:6" ht="18" customHeight="1" x14ac:dyDescent="0.25">
      <c r="A16" s="99">
        <v>3</v>
      </c>
      <c r="B16" s="100" t="s">
        <v>114</v>
      </c>
      <c r="C16" s="97">
        <v>267526938</v>
      </c>
      <c r="D16" s="97">
        <v>286203012</v>
      </c>
      <c r="E16" s="97">
        <f t="shared" si="0"/>
        <v>18676074</v>
      </c>
      <c r="F16" s="98">
        <f t="shared" si="1"/>
        <v>6.9810068995743518E-2</v>
      </c>
    </row>
    <row r="17" spans="1:6" ht="18" customHeight="1" x14ac:dyDescent="0.25">
      <c r="A17" s="99">
        <v>4</v>
      </c>
      <c r="B17" s="100" t="s">
        <v>115</v>
      </c>
      <c r="C17" s="97">
        <v>207540295</v>
      </c>
      <c r="D17" s="97">
        <v>267069837</v>
      </c>
      <c r="E17" s="97">
        <f t="shared" si="0"/>
        <v>59529542</v>
      </c>
      <c r="F17" s="98">
        <f t="shared" si="1"/>
        <v>0.28683365801325472</v>
      </c>
    </row>
    <row r="18" spans="1:6" ht="18" customHeight="1" x14ac:dyDescent="0.25">
      <c r="A18" s="99">
        <v>5</v>
      </c>
      <c r="B18" s="100" t="s">
        <v>116</v>
      </c>
      <c r="C18" s="97">
        <v>11355606</v>
      </c>
      <c r="D18" s="97">
        <v>16820452</v>
      </c>
      <c r="E18" s="97">
        <f t="shared" si="0"/>
        <v>5464846</v>
      </c>
      <c r="F18" s="98">
        <f t="shared" si="1"/>
        <v>0.48124653144887203</v>
      </c>
    </row>
    <row r="19" spans="1:6" ht="18" customHeight="1" x14ac:dyDescent="0.25">
      <c r="A19" s="99">
        <v>6</v>
      </c>
      <c r="B19" s="100" t="s">
        <v>117</v>
      </c>
      <c r="C19" s="97">
        <v>63751831</v>
      </c>
      <c r="D19" s="97">
        <v>56188720</v>
      </c>
      <c r="E19" s="97">
        <f t="shared" si="0"/>
        <v>-7563111</v>
      </c>
      <c r="F19" s="98">
        <f t="shared" si="1"/>
        <v>-0.11863362795023095</v>
      </c>
    </row>
    <row r="20" spans="1:6" ht="18" customHeight="1" x14ac:dyDescent="0.25">
      <c r="A20" s="99">
        <v>7</v>
      </c>
      <c r="B20" s="100" t="s">
        <v>118</v>
      </c>
      <c r="C20" s="97">
        <v>813334758</v>
      </c>
      <c r="D20" s="97">
        <v>878507681</v>
      </c>
      <c r="E20" s="97">
        <f t="shared" si="0"/>
        <v>65172923</v>
      </c>
      <c r="F20" s="98">
        <f t="shared" si="1"/>
        <v>8.0130502673045723E-2</v>
      </c>
    </row>
    <row r="21" spans="1:6" ht="18" customHeight="1" x14ac:dyDescent="0.25">
      <c r="A21" s="99">
        <v>8</v>
      </c>
      <c r="B21" s="100" t="s">
        <v>119</v>
      </c>
      <c r="C21" s="97">
        <v>12855506</v>
      </c>
      <c r="D21" s="97">
        <v>10950780</v>
      </c>
      <c r="E21" s="97">
        <f t="shared" si="0"/>
        <v>-1904726</v>
      </c>
      <c r="F21" s="98">
        <f t="shared" si="1"/>
        <v>-0.14816421850684058</v>
      </c>
    </row>
    <row r="22" spans="1:6" ht="18" customHeight="1" x14ac:dyDescent="0.25">
      <c r="A22" s="99">
        <v>9</v>
      </c>
      <c r="B22" s="100" t="s">
        <v>120</v>
      </c>
      <c r="C22" s="97">
        <v>47689294</v>
      </c>
      <c r="D22" s="97">
        <v>51128104</v>
      </c>
      <c r="E22" s="97">
        <f t="shared" si="0"/>
        <v>3438810</v>
      </c>
      <c r="F22" s="98">
        <f t="shared" si="1"/>
        <v>7.2108637213207649E-2</v>
      </c>
    </row>
    <row r="23" spans="1:6" ht="18" customHeight="1" x14ac:dyDescent="0.25">
      <c r="A23" s="99">
        <v>10</v>
      </c>
      <c r="B23" s="100" t="s">
        <v>121</v>
      </c>
      <c r="C23" s="97">
        <v>105510597</v>
      </c>
      <c r="D23" s="97">
        <v>134657674</v>
      </c>
      <c r="E23" s="97">
        <f t="shared" si="0"/>
        <v>29147077</v>
      </c>
      <c r="F23" s="98">
        <f t="shared" si="1"/>
        <v>0.27624786352028696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2358191436</v>
      </c>
      <c r="D25" s="103">
        <f>SUM(D14:D24)</f>
        <v>2627185680</v>
      </c>
      <c r="E25" s="103">
        <f t="shared" si="0"/>
        <v>268994244</v>
      </c>
      <c r="F25" s="104">
        <f t="shared" si="1"/>
        <v>0.11406802683342457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257984831</v>
      </c>
      <c r="D27" s="97">
        <v>273606698</v>
      </c>
      <c r="E27" s="97">
        <f t="shared" ref="E27:E38" si="2">D27-C27</f>
        <v>15621867</v>
      </c>
      <c r="F27" s="98">
        <f t="shared" ref="F27:F38" si="3">IF(C27=0,0,E27/C27)</f>
        <v>6.0553432306258349E-2</v>
      </c>
    </row>
    <row r="28" spans="1:6" ht="18" customHeight="1" x14ac:dyDescent="0.25">
      <c r="A28" s="99">
        <v>2</v>
      </c>
      <c r="B28" s="100" t="s">
        <v>113</v>
      </c>
      <c r="C28" s="97">
        <v>49617825</v>
      </c>
      <c r="D28" s="97">
        <v>55347990</v>
      </c>
      <c r="E28" s="97">
        <f t="shared" si="2"/>
        <v>5730165</v>
      </c>
      <c r="F28" s="98">
        <f t="shared" si="3"/>
        <v>0.11548601737379662</v>
      </c>
    </row>
    <row r="29" spans="1:6" ht="18" customHeight="1" x14ac:dyDescent="0.25">
      <c r="A29" s="99">
        <v>3</v>
      </c>
      <c r="B29" s="100" t="s">
        <v>114</v>
      </c>
      <c r="C29" s="97">
        <v>63752865</v>
      </c>
      <c r="D29" s="97">
        <v>66631076</v>
      </c>
      <c r="E29" s="97">
        <f t="shared" si="2"/>
        <v>2878211</v>
      </c>
      <c r="F29" s="98">
        <f t="shared" si="3"/>
        <v>4.5146378911755575E-2</v>
      </c>
    </row>
    <row r="30" spans="1:6" ht="18" customHeight="1" x14ac:dyDescent="0.25">
      <c r="A30" s="99">
        <v>4</v>
      </c>
      <c r="B30" s="100" t="s">
        <v>115</v>
      </c>
      <c r="C30" s="97">
        <v>83530711</v>
      </c>
      <c r="D30" s="97">
        <v>134537496</v>
      </c>
      <c r="E30" s="97">
        <f t="shared" si="2"/>
        <v>51006785</v>
      </c>
      <c r="F30" s="98">
        <f t="shared" si="3"/>
        <v>0.61063511119880209</v>
      </c>
    </row>
    <row r="31" spans="1:6" ht="18" customHeight="1" x14ac:dyDescent="0.25">
      <c r="A31" s="99">
        <v>5</v>
      </c>
      <c r="B31" s="100" t="s">
        <v>116</v>
      </c>
      <c r="C31" s="97">
        <v>6731377</v>
      </c>
      <c r="D31" s="97">
        <v>6247026</v>
      </c>
      <c r="E31" s="97">
        <f t="shared" si="2"/>
        <v>-484351</v>
      </c>
      <c r="F31" s="98">
        <f t="shared" si="3"/>
        <v>-7.1954222739270143E-2</v>
      </c>
    </row>
    <row r="32" spans="1:6" ht="18" customHeight="1" x14ac:dyDescent="0.25">
      <c r="A32" s="99">
        <v>6</v>
      </c>
      <c r="B32" s="100" t="s">
        <v>117</v>
      </c>
      <c r="C32" s="97">
        <v>32056888</v>
      </c>
      <c r="D32" s="97">
        <v>30536890</v>
      </c>
      <c r="E32" s="97">
        <f t="shared" si="2"/>
        <v>-1519998</v>
      </c>
      <c r="F32" s="98">
        <f t="shared" si="3"/>
        <v>-4.7415644338277628E-2</v>
      </c>
    </row>
    <row r="33" spans="1:6" ht="18" customHeight="1" x14ac:dyDescent="0.25">
      <c r="A33" s="99">
        <v>7</v>
      </c>
      <c r="B33" s="100" t="s">
        <v>118</v>
      </c>
      <c r="C33" s="97">
        <v>560110572</v>
      </c>
      <c r="D33" s="97">
        <v>599631883</v>
      </c>
      <c r="E33" s="97">
        <f t="shared" si="2"/>
        <v>39521311</v>
      </c>
      <c r="F33" s="98">
        <f t="shared" si="3"/>
        <v>7.0559837602922448E-2</v>
      </c>
    </row>
    <row r="34" spans="1:6" ht="18" customHeight="1" x14ac:dyDescent="0.25">
      <c r="A34" s="99">
        <v>8</v>
      </c>
      <c r="B34" s="100" t="s">
        <v>119</v>
      </c>
      <c r="C34" s="97">
        <v>6611525</v>
      </c>
      <c r="D34" s="97">
        <v>11361380</v>
      </c>
      <c r="E34" s="97">
        <f t="shared" si="2"/>
        <v>4749855</v>
      </c>
      <c r="F34" s="98">
        <f t="shared" si="3"/>
        <v>0.71842048544019721</v>
      </c>
    </row>
    <row r="35" spans="1:6" ht="18" customHeight="1" x14ac:dyDescent="0.25">
      <c r="A35" s="99">
        <v>9</v>
      </c>
      <c r="B35" s="100" t="s">
        <v>120</v>
      </c>
      <c r="C35" s="97">
        <v>61677977</v>
      </c>
      <c r="D35" s="97">
        <v>54157729</v>
      </c>
      <c r="E35" s="97">
        <f t="shared" si="2"/>
        <v>-7520248</v>
      </c>
      <c r="F35" s="98">
        <f t="shared" si="3"/>
        <v>-0.12192760472672443</v>
      </c>
    </row>
    <row r="36" spans="1:6" ht="18" customHeight="1" x14ac:dyDescent="0.25">
      <c r="A36" s="99">
        <v>10</v>
      </c>
      <c r="B36" s="100" t="s">
        <v>121</v>
      </c>
      <c r="C36" s="97">
        <v>36281683</v>
      </c>
      <c r="D36" s="97">
        <v>42816317</v>
      </c>
      <c r="E36" s="97">
        <f t="shared" si="2"/>
        <v>6534634</v>
      </c>
      <c r="F36" s="98">
        <f t="shared" si="3"/>
        <v>0.18010834833654216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1158356254</v>
      </c>
      <c r="D38" s="103">
        <f>SUM(D27:D37)</f>
        <v>1274874485</v>
      </c>
      <c r="E38" s="103">
        <f t="shared" si="2"/>
        <v>116518231</v>
      </c>
      <c r="F38" s="104">
        <f t="shared" si="3"/>
        <v>0.10058928813794793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964055142</v>
      </c>
      <c r="D41" s="103">
        <f t="shared" si="4"/>
        <v>1051853915</v>
      </c>
      <c r="E41" s="107">
        <f t="shared" ref="E41:E52" si="5">D41-C41</f>
        <v>87798773</v>
      </c>
      <c r="F41" s="108">
        <f t="shared" ref="F41:F52" si="6">IF(C41=0,0,E41/C41)</f>
        <v>9.10723559005715E-2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172174125</v>
      </c>
      <c r="D42" s="103">
        <f t="shared" si="4"/>
        <v>202760193</v>
      </c>
      <c r="E42" s="107">
        <f t="shared" si="5"/>
        <v>30586068</v>
      </c>
      <c r="F42" s="108">
        <f t="shared" si="6"/>
        <v>0.17764613585229488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331279803</v>
      </c>
      <c r="D43" s="103">
        <f t="shared" si="4"/>
        <v>352834088</v>
      </c>
      <c r="E43" s="107">
        <f t="shared" si="5"/>
        <v>21554285</v>
      </c>
      <c r="F43" s="108">
        <f t="shared" si="6"/>
        <v>6.5063685756900788E-2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291071006</v>
      </c>
      <c r="D44" s="103">
        <f t="shared" si="4"/>
        <v>401607333</v>
      </c>
      <c r="E44" s="107">
        <f t="shared" si="5"/>
        <v>110536327</v>
      </c>
      <c r="F44" s="108">
        <f t="shared" si="6"/>
        <v>0.37975725758133394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18086983</v>
      </c>
      <c r="D45" s="103">
        <f t="shared" si="4"/>
        <v>23067478</v>
      </c>
      <c r="E45" s="107">
        <f t="shared" si="5"/>
        <v>4980495</v>
      </c>
      <c r="F45" s="108">
        <f t="shared" si="6"/>
        <v>0.27536350313371777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95808719</v>
      </c>
      <c r="D46" s="103">
        <f t="shared" si="4"/>
        <v>86725610</v>
      </c>
      <c r="E46" s="107">
        <f t="shared" si="5"/>
        <v>-9083109</v>
      </c>
      <c r="F46" s="108">
        <f t="shared" si="6"/>
        <v>-9.480461793879115E-2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1373445330</v>
      </c>
      <c r="D47" s="103">
        <f t="shared" si="4"/>
        <v>1478139564</v>
      </c>
      <c r="E47" s="107">
        <f t="shared" si="5"/>
        <v>104694234</v>
      </c>
      <c r="F47" s="108">
        <f t="shared" si="6"/>
        <v>7.6227449111498313E-2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19467031</v>
      </c>
      <c r="D48" s="103">
        <f t="shared" si="4"/>
        <v>22312160</v>
      </c>
      <c r="E48" s="107">
        <f t="shared" si="5"/>
        <v>2845129</v>
      </c>
      <c r="F48" s="108">
        <f t="shared" si="6"/>
        <v>0.14615115165738421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109367271</v>
      </c>
      <c r="D49" s="103">
        <f t="shared" si="4"/>
        <v>105285833</v>
      </c>
      <c r="E49" s="107">
        <f t="shared" si="5"/>
        <v>-4081438</v>
      </c>
      <c r="F49" s="108">
        <f t="shared" si="6"/>
        <v>-3.7318641698575433E-2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141792280</v>
      </c>
      <c r="D50" s="103">
        <f t="shared" si="4"/>
        <v>177473991</v>
      </c>
      <c r="E50" s="107">
        <f t="shared" si="5"/>
        <v>35681711</v>
      </c>
      <c r="F50" s="108">
        <f t="shared" si="6"/>
        <v>0.2516477695400624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3516547690</v>
      </c>
      <c r="D52" s="112">
        <f>SUM(D41:D51)</f>
        <v>3902060165</v>
      </c>
      <c r="E52" s="111">
        <f t="shared" si="5"/>
        <v>385512475</v>
      </c>
      <c r="F52" s="113">
        <f t="shared" si="6"/>
        <v>0.10962810943707121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246353479</v>
      </c>
      <c r="D57" s="97">
        <v>274134769</v>
      </c>
      <c r="E57" s="97">
        <f t="shared" ref="E57:E68" si="7">D57-C57</f>
        <v>27781290</v>
      </c>
      <c r="F57" s="98">
        <f t="shared" ref="F57:F68" si="8">IF(C57=0,0,E57/C57)</f>
        <v>0.11277003317659663</v>
      </c>
    </row>
    <row r="58" spans="1:6" ht="18" customHeight="1" x14ac:dyDescent="0.25">
      <c r="A58" s="99">
        <v>2</v>
      </c>
      <c r="B58" s="100" t="s">
        <v>113</v>
      </c>
      <c r="C58" s="97">
        <v>42453015</v>
      </c>
      <c r="D58" s="97">
        <v>49049996</v>
      </c>
      <c r="E58" s="97">
        <f t="shared" si="7"/>
        <v>6596981</v>
      </c>
      <c r="F58" s="98">
        <f t="shared" si="8"/>
        <v>0.15539487595875109</v>
      </c>
    </row>
    <row r="59" spans="1:6" ht="18" customHeight="1" x14ac:dyDescent="0.25">
      <c r="A59" s="99">
        <v>3</v>
      </c>
      <c r="B59" s="100" t="s">
        <v>114</v>
      </c>
      <c r="C59" s="97">
        <v>50128355</v>
      </c>
      <c r="D59" s="97">
        <v>52895962</v>
      </c>
      <c r="E59" s="97">
        <f t="shared" si="7"/>
        <v>2767607</v>
      </c>
      <c r="F59" s="98">
        <f t="shared" si="8"/>
        <v>5.5210409358136731E-2</v>
      </c>
    </row>
    <row r="60" spans="1:6" ht="18" customHeight="1" x14ac:dyDescent="0.25">
      <c r="A60" s="99">
        <v>4</v>
      </c>
      <c r="B60" s="100" t="s">
        <v>115</v>
      </c>
      <c r="C60" s="97">
        <v>34973923</v>
      </c>
      <c r="D60" s="97">
        <v>44101768</v>
      </c>
      <c r="E60" s="97">
        <f t="shared" si="7"/>
        <v>9127845</v>
      </c>
      <c r="F60" s="98">
        <f t="shared" si="8"/>
        <v>0.26099002391010012</v>
      </c>
    </row>
    <row r="61" spans="1:6" ht="18" customHeight="1" x14ac:dyDescent="0.25">
      <c r="A61" s="99">
        <v>5</v>
      </c>
      <c r="B61" s="100" t="s">
        <v>116</v>
      </c>
      <c r="C61" s="97">
        <v>3296905</v>
      </c>
      <c r="D61" s="97">
        <v>3524787</v>
      </c>
      <c r="E61" s="97">
        <f t="shared" si="7"/>
        <v>227882</v>
      </c>
      <c r="F61" s="98">
        <f t="shared" si="8"/>
        <v>6.9119977676032521E-2</v>
      </c>
    </row>
    <row r="62" spans="1:6" ht="18" customHeight="1" x14ac:dyDescent="0.25">
      <c r="A62" s="99">
        <v>6</v>
      </c>
      <c r="B62" s="100" t="s">
        <v>117</v>
      </c>
      <c r="C62" s="97">
        <v>44690484</v>
      </c>
      <c r="D62" s="97">
        <v>27444432</v>
      </c>
      <c r="E62" s="97">
        <f t="shared" si="7"/>
        <v>-17246052</v>
      </c>
      <c r="F62" s="98">
        <f t="shared" si="8"/>
        <v>-0.38589987076443388</v>
      </c>
    </row>
    <row r="63" spans="1:6" ht="18" customHeight="1" x14ac:dyDescent="0.25">
      <c r="A63" s="99">
        <v>7</v>
      </c>
      <c r="B63" s="100" t="s">
        <v>118</v>
      </c>
      <c r="C63" s="97">
        <v>303701649</v>
      </c>
      <c r="D63" s="97">
        <v>336852447</v>
      </c>
      <c r="E63" s="97">
        <f t="shared" si="7"/>
        <v>33150798</v>
      </c>
      <c r="F63" s="98">
        <f t="shared" si="8"/>
        <v>0.10915580507763394</v>
      </c>
    </row>
    <row r="64" spans="1:6" ht="18" customHeight="1" x14ac:dyDescent="0.25">
      <c r="A64" s="99">
        <v>8</v>
      </c>
      <c r="B64" s="100" t="s">
        <v>119</v>
      </c>
      <c r="C64" s="97">
        <v>4688944</v>
      </c>
      <c r="D64" s="97">
        <v>4944260</v>
      </c>
      <c r="E64" s="97">
        <f t="shared" si="7"/>
        <v>255316</v>
      </c>
      <c r="F64" s="98">
        <f t="shared" si="8"/>
        <v>5.445063963229247E-2</v>
      </c>
    </row>
    <row r="65" spans="1:6" ht="18" customHeight="1" x14ac:dyDescent="0.25">
      <c r="A65" s="99">
        <v>9</v>
      </c>
      <c r="B65" s="100" t="s">
        <v>120</v>
      </c>
      <c r="C65" s="97">
        <v>2265747</v>
      </c>
      <c r="D65" s="97">
        <v>2292001</v>
      </c>
      <c r="E65" s="97">
        <f t="shared" si="7"/>
        <v>26254</v>
      </c>
      <c r="F65" s="98">
        <f t="shared" si="8"/>
        <v>1.1587348455056986E-2</v>
      </c>
    </row>
    <row r="66" spans="1:6" ht="18" customHeight="1" x14ac:dyDescent="0.25">
      <c r="A66" s="99">
        <v>10</v>
      </c>
      <c r="B66" s="100" t="s">
        <v>121</v>
      </c>
      <c r="C66" s="97">
        <v>12917081</v>
      </c>
      <c r="D66" s="97">
        <v>21404615</v>
      </c>
      <c r="E66" s="97">
        <f t="shared" si="7"/>
        <v>8487534</v>
      </c>
      <c r="F66" s="98">
        <f t="shared" si="8"/>
        <v>0.65707832907450225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745469582</v>
      </c>
      <c r="D68" s="103">
        <f>SUM(D57:D67)</f>
        <v>816645037</v>
      </c>
      <c r="E68" s="103">
        <f t="shared" si="7"/>
        <v>71175455</v>
      </c>
      <c r="F68" s="104">
        <f t="shared" si="8"/>
        <v>9.5477343031281456E-2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65111112</v>
      </c>
      <c r="D70" s="97">
        <v>58820799</v>
      </c>
      <c r="E70" s="97">
        <f t="shared" ref="E70:E81" si="9">D70-C70</f>
        <v>-6290313</v>
      </c>
      <c r="F70" s="98">
        <f t="shared" ref="F70:F81" si="10">IF(C70=0,0,E70/C70)</f>
        <v>-9.6608901411482581E-2</v>
      </c>
    </row>
    <row r="71" spans="1:6" ht="18" customHeight="1" x14ac:dyDescent="0.25">
      <c r="A71" s="99">
        <v>2</v>
      </c>
      <c r="B71" s="100" t="s">
        <v>113</v>
      </c>
      <c r="C71" s="97">
        <v>10798466</v>
      </c>
      <c r="D71" s="97">
        <v>14587047</v>
      </c>
      <c r="E71" s="97">
        <f t="shared" si="9"/>
        <v>3788581</v>
      </c>
      <c r="F71" s="98">
        <f t="shared" si="10"/>
        <v>0.35084436993180329</v>
      </c>
    </row>
    <row r="72" spans="1:6" ht="18" customHeight="1" x14ac:dyDescent="0.25">
      <c r="A72" s="99">
        <v>3</v>
      </c>
      <c r="B72" s="100" t="s">
        <v>114</v>
      </c>
      <c r="C72" s="97">
        <v>14375213</v>
      </c>
      <c r="D72" s="97">
        <v>15808903</v>
      </c>
      <c r="E72" s="97">
        <f t="shared" si="9"/>
        <v>1433690</v>
      </c>
      <c r="F72" s="98">
        <f t="shared" si="10"/>
        <v>9.9733478731758612E-2</v>
      </c>
    </row>
    <row r="73" spans="1:6" ht="18" customHeight="1" x14ac:dyDescent="0.25">
      <c r="A73" s="99">
        <v>4</v>
      </c>
      <c r="B73" s="100" t="s">
        <v>115</v>
      </c>
      <c r="C73" s="97">
        <v>31207159</v>
      </c>
      <c r="D73" s="97">
        <v>38328157</v>
      </c>
      <c r="E73" s="97">
        <f t="shared" si="9"/>
        <v>7120998</v>
      </c>
      <c r="F73" s="98">
        <f t="shared" si="10"/>
        <v>0.22818475722189258</v>
      </c>
    </row>
    <row r="74" spans="1:6" ht="18" customHeight="1" x14ac:dyDescent="0.25">
      <c r="A74" s="99">
        <v>5</v>
      </c>
      <c r="B74" s="100" t="s">
        <v>116</v>
      </c>
      <c r="C74" s="97">
        <v>1708262</v>
      </c>
      <c r="D74" s="97">
        <v>2463260</v>
      </c>
      <c r="E74" s="97">
        <f t="shared" si="9"/>
        <v>754998</v>
      </c>
      <c r="F74" s="98">
        <f t="shared" si="10"/>
        <v>0.44196850366044554</v>
      </c>
    </row>
    <row r="75" spans="1:6" ht="18" customHeight="1" x14ac:dyDescent="0.25">
      <c r="A75" s="99">
        <v>6</v>
      </c>
      <c r="B75" s="100" t="s">
        <v>117</v>
      </c>
      <c r="C75" s="97">
        <v>24599020</v>
      </c>
      <c r="D75" s="97">
        <v>28969885</v>
      </c>
      <c r="E75" s="97">
        <f t="shared" si="9"/>
        <v>4370865</v>
      </c>
      <c r="F75" s="98">
        <f t="shared" si="10"/>
        <v>0.17768451751329931</v>
      </c>
    </row>
    <row r="76" spans="1:6" ht="18" customHeight="1" x14ac:dyDescent="0.25">
      <c r="A76" s="99">
        <v>7</v>
      </c>
      <c r="B76" s="100" t="s">
        <v>118</v>
      </c>
      <c r="C76" s="97">
        <v>232927154</v>
      </c>
      <c r="D76" s="97">
        <v>265209847</v>
      </c>
      <c r="E76" s="97">
        <f t="shared" si="9"/>
        <v>32282693</v>
      </c>
      <c r="F76" s="98">
        <f t="shared" si="10"/>
        <v>0.13859566154317929</v>
      </c>
    </row>
    <row r="77" spans="1:6" ht="18" customHeight="1" x14ac:dyDescent="0.25">
      <c r="A77" s="99">
        <v>8</v>
      </c>
      <c r="B77" s="100" t="s">
        <v>119</v>
      </c>
      <c r="C77" s="97">
        <v>281060</v>
      </c>
      <c r="D77" s="97">
        <v>2876886</v>
      </c>
      <c r="E77" s="97">
        <f t="shared" si="9"/>
        <v>2595826</v>
      </c>
      <c r="F77" s="98">
        <f t="shared" si="10"/>
        <v>9.235842880523732</v>
      </c>
    </row>
    <row r="78" spans="1:6" ht="18" customHeight="1" x14ac:dyDescent="0.25">
      <c r="A78" s="99">
        <v>9</v>
      </c>
      <c r="B78" s="100" t="s">
        <v>120</v>
      </c>
      <c r="C78" s="97">
        <v>16658247</v>
      </c>
      <c r="D78" s="97">
        <v>17830957</v>
      </c>
      <c r="E78" s="97">
        <f t="shared" si="9"/>
        <v>1172710</v>
      </c>
      <c r="F78" s="98">
        <f t="shared" si="10"/>
        <v>7.0398163744360379E-2</v>
      </c>
    </row>
    <row r="79" spans="1:6" ht="18" customHeight="1" x14ac:dyDescent="0.25">
      <c r="A79" s="99">
        <v>10</v>
      </c>
      <c r="B79" s="100" t="s">
        <v>121</v>
      </c>
      <c r="C79" s="97">
        <v>7619153</v>
      </c>
      <c r="D79" s="97">
        <v>8339594</v>
      </c>
      <c r="E79" s="97">
        <f t="shared" si="9"/>
        <v>720441</v>
      </c>
      <c r="F79" s="98">
        <f t="shared" si="10"/>
        <v>9.4556573414393968E-2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405284846</v>
      </c>
      <c r="D81" s="103">
        <f>SUM(D70:D80)</f>
        <v>453235335</v>
      </c>
      <c r="E81" s="103">
        <f t="shared" si="9"/>
        <v>47950489</v>
      </c>
      <c r="F81" s="104">
        <f t="shared" si="10"/>
        <v>0.11831305678771913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311464591</v>
      </c>
      <c r="D84" s="103">
        <f t="shared" si="11"/>
        <v>332955568</v>
      </c>
      <c r="E84" s="103">
        <f t="shared" ref="E84:E95" si="12">D84-C84</f>
        <v>21490977</v>
      </c>
      <c r="F84" s="104">
        <f t="shared" ref="F84:F95" si="13">IF(C84=0,0,E84/C84)</f>
        <v>6.8999743858524198E-2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53251481</v>
      </c>
      <c r="D85" s="103">
        <f t="shared" si="11"/>
        <v>63637043</v>
      </c>
      <c r="E85" s="103">
        <f t="shared" si="12"/>
        <v>10385562</v>
      </c>
      <c r="F85" s="104">
        <f t="shared" si="13"/>
        <v>0.19502860399319222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64503568</v>
      </c>
      <c r="D86" s="103">
        <f t="shared" si="11"/>
        <v>68704865</v>
      </c>
      <c r="E86" s="103">
        <f t="shared" si="12"/>
        <v>4201297</v>
      </c>
      <c r="F86" s="104">
        <f t="shared" si="13"/>
        <v>6.5132784592629042E-2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66181082</v>
      </c>
      <c r="D87" s="103">
        <f t="shared" si="11"/>
        <v>82429925</v>
      </c>
      <c r="E87" s="103">
        <f t="shared" si="12"/>
        <v>16248843</v>
      </c>
      <c r="F87" s="104">
        <f t="shared" si="13"/>
        <v>0.24552096322631897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5005167</v>
      </c>
      <c r="D88" s="103">
        <f t="shared" si="11"/>
        <v>5988047</v>
      </c>
      <c r="E88" s="103">
        <f t="shared" si="12"/>
        <v>982880</v>
      </c>
      <c r="F88" s="104">
        <f t="shared" si="13"/>
        <v>0.19637306807145496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69289504</v>
      </c>
      <c r="D89" s="103">
        <f t="shared" si="11"/>
        <v>56414317</v>
      </c>
      <c r="E89" s="103">
        <f t="shared" si="12"/>
        <v>-12875187</v>
      </c>
      <c r="F89" s="104">
        <f t="shared" si="13"/>
        <v>-0.18581727760672093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536628803</v>
      </c>
      <c r="D90" s="103">
        <f t="shared" si="11"/>
        <v>602062294</v>
      </c>
      <c r="E90" s="103">
        <f t="shared" si="12"/>
        <v>65433491</v>
      </c>
      <c r="F90" s="104">
        <f t="shared" si="13"/>
        <v>0.12193436251315046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4970004</v>
      </c>
      <c r="D91" s="103">
        <f t="shared" si="11"/>
        <v>7821146</v>
      </c>
      <c r="E91" s="103">
        <f t="shared" si="12"/>
        <v>2851142</v>
      </c>
      <c r="F91" s="104">
        <f t="shared" si="13"/>
        <v>0.57366996082900534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18923994</v>
      </c>
      <c r="D92" s="103">
        <f t="shared" si="11"/>
        <v>20122958</v>
      </c>
      <c r="E92" s="103">
        <f t="shared" si="12"/>
        <v>1198964</v>
      </c>
      <c r="F92" s="104">
        <f t="shared" si="13"/>
        <v>6.335681569123304E-2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20536234</v>
      </c>
      <c r="D93" s="103">
        <f t="shared" si="11"/>
        <v>29744209</v>
      </c>
      <c r="E93" s="103">
        <f t="shared" si="12"/>
        <v>9207975</v>
      </c>
      <c r="F93" s="104">
        <f t="shared" si="13"/>
        <v>0.44837700037893996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1150754428</v>
      </c>
      <c r="D95" s="112">
        <f>SUM(D84:D94)</f>
        <v>1269880372</v>
      </c>
      <c r="E95" s="112">
        <f t="shared" si="12"/>
        <v>119125944</v>
      </c>
      <c r="F95" s="113">
        <f t="shared" si="13"/>
        <v>0.10351986583883038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14313</v>
      </c>
      <c r="D100" s="117">
        <v>14616</v>
      </c>
      <c r="E100" s="117">
        <f t="shared" ref="E100:E111" si="14">D100-C100</f>
        <v>303</v>
      </c>
      <c r="F100" s="98">
        <f t="shared" ref="F100:F111" si="15">IF(C100=0,0,E100/C100)</f>
        <v>2.1169566128694195E-2</v>
      </c>
    </row>
    <row r="101" spans="1:6" ht="18" customHeight="1" x14ac:dyDescent="0.25">
      <c r="A101" s="99">
        <v>2</v>
      </c>
      <c r="B101" s="100" t="s">
        <v>113</v>
      </c>
      <c r="C101" s="117">
        <v>2449</v>
      </c>
      <c r="D101" s="117">
        <v>2741</v>
      </c>
      <c r="E101" s="117">
        <f t="shared" si="14"/>
        <v>292</v>
      </c>
      <c r="F101" s="98">
        <f t="shared" si="15"/>
        <v>0.11923233973050225</v>
      </c>
    </row>
    <row r="102" spans="1:6" ht="18" customHeight="1" x14ac:dyDescent="0.25">
      <c r="A102" s="99">
        <v>3</v>
      </c>
      <c r="B102" s="100" t="s">
        <v>114</v>
      </c>
      <c r="C102" s="117">
        <v>4629</v>
      </c>
      <c r="D102" s="117">
        <v>5257</v>
      </c>
      <c r="E102" s="117">
        <f t="shared" si="14"/>
        <v>628</v>
      </c>
      <c r="F102" s="98">
        <f t="shared" si="15"/>
        <v>0.13566645063728666</v>
      </c>
    </row>
    <row r="103" spans="1:6" ht="18" customHeight="1" x14ac:dyDescent="0.25">
      <c r="A103" s="99">
        <v>4</v>
      </c>
      <c r="B103" s="100" t="s">
        <v>115</v>
      </c>
      <c r="C103" s="117">
        <v>6193</v>
      </c>
      <c r="D103" s="117">
        <v>7139</v>
      </c>
      <c r="E103" s="117">
        <f t="shared" si="14"/>
        <v>946</v>
      </c>
      <c r="F103" s="98">
        <f t="shared" si="15"/>
        <v>0.15275310834813499</v>
      </c>
    </row>
    <row r="104" spans="1:6" ht="18" customHeight="1" x14ac:dyDescent="0.25">
      <c r="A104" s="99">
        <v>5</v>
      </c>
      <c r="B104" s="100" t="s">
        <v>116</v>
      </c>
      <c r="C104" s="117">
        <v>305</v>
      </c>
      <c r="D104" s="117">
        <v>323</v>
      </c>
      <c r="E104" s="117">
        <f t="shared" si="14"/>
        <v>18</v>
      </c>
      <c r="F104" s="98">
        <f t="shared" si="15"/>
        <v>5.9016393442622953E-2</v>
      </c>
    </row>
    <row r="105" spans="1:6" ht="18" customHeight="1" x14ac:dyDescent="0.25">
      <c r="A105" s="99">
        <v>6</v>
      </c>
      <c r="B105" s="100" t="s">
        <v>117</v>
      </c>
      <c r="C105" s="117">
        <v>1180</v>
      </c>
      <c r="D105" s="117">
        <v>1121</v>
      </c>
      <c r="E105" s="117">
        <f t="shared" si="14"/>
        <v>-59</v>
      </c>
      <c r="F105" s="98">
        <f t="shared" si="15"/>
        <v>-0.05</v>
      </c>
    </row>
    <row r="106" spans="1:6" ht="18" customHeight="1" x14ac:dyDescent="0.25">
      <c r="A106" s="99">
        <v>7</v>
      </c>
      <c r="B106" s="100" t="s">
        <v>118</v>
      </c>
      <c r="C106" s="117">
        <v>20959</v>
      </c>
      <c r="D106" s="117">
        <v>20649</v>
      </c>
      <c r="E106" s="117">
        <f t="shared" si="14"/>
        <v>-310</v>
      </c>
      <c r="F106" s="98">
        <f t="shared" si="15"/>
        <v>-1.4790782002958157E-2</v>
      </c>
    </row>
    <row r="107" spans="1:6" ht="18" customHeight="1" x14ac:dyDescent="0.25">
      <c r="A107" s="99">
        <v>8</v>
      </c>
      <c r="B107" s="100" t="s">
        <v>119</v>
      </c>
      <c r="C107" s="117">
        <v>238</v>
      </c>
      <c r="D107" s="117">
        <v>195</v>
      </c>
      <c r="E107" s="117">
        <f t="shared" si="14"/>
        <v>-43</v>
      </c>
      <c r="F107" s="98">
        <f t="shared" si="15"/>
        <v>-0.18067226890756302</v>
      </c>
    </row>
    <row r="108" spans="1:6" ht="18" customHeight="1" x14ac:dyDescent="0.25">
      <c r="A108" s="99">
        <v>9</v>
      </c>
      <c r="B108" s="100" t="s">
        <v>120</v>
      </c>
      <c r="C108" s="117">
        <v>1533</v>
      </c>
      <c r="D108" s="117">
        <v>1436</v>
      </c>
      <c r="E108" s="117">
        <f t="shared" si="14"/>
        <v>-97</v>
      </c>
      <c r="F108" s="98">
        <f t="shared" si="15"/>
        <v>-6.3274624918460531E-2</v>
      </c>
    </row>
    <row r="109" spans="1:6" ht="18" customHeight="1" x14ac:dyDescent="0.25">
      <c r="A109" s="99">
        <v>10</v>
      </c>
      <c r="B109" s="100" t="s">
        <v>121</v>
      </c>
      <c r="C109" s="117">
        <v>2609</v>
      </c>
      <c r="D109" s="117">
        <v>3125</v>
      </c>
      <c r="E109" s="117">
        <f t="shared" si="14"/>
        <v>516</v>
      </c>
      <c r="F109" s="98">
        <f t="shared" si="15"/>
        <v>0.19777692602529706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54408</v>
      </c>
      <c r="D111" s="118">
        <f>SUM(D100:D110)</f>
        <v>56602</v>
      </c>
      <c r="E111" s="118">
        <f t="shared" si="14"/>
        <v>2194</v>
      </c>
      <c r="F111" s="104">
        <f t="shared" si="15"/>
        <v>4.0324952212909868E-2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86703</v>
      </c>
      <c r="D113" s="117">
        <v>84097</v>
      </c>
      <c r="E113" s="117">
        <f t="shared" ref="E113:E124" si="16">D113-C113</f>
        <v>-2606</v>
      </c>
      <c r="F113" s="98">
        <f t="shared" ref="F113:F124" si="17">IF(C113=0,0,E113/C113)</f>
        <v>-3.0056630105071334E-2</v>
      </c>
    </row>
    <row r="114" spans="1:6" ht="18" customHeight="1" x14ac:dyDescent="0.25">
      <c r="A114" s="99">
        <v>2</v>
      </c>
      <c r="B114" s="100" t="s">
        <v>113</v>
      </c>
      <c r="C114" s="117">
        <v>14095</v>
      </c>
      <c r="D114" s="117">
        <v>14095</v>
      </c>
      <c r="E114" s="117">
        <f t="shared" si="16"/>
        <v>0</v>
      </c>
      <c r="F114" s="98">
        <f t="shared" si="17"/>
        <v>0</v>
      </c>
    </row>
    <row r="115" spans="1:6" ht="18" customHeight="1" x14ac:dyDescent="0.25">
      <c r="A115" s="99">
        <v>3</v>
      </c>
      <c r="B115" s="100" t="s">
        <v>114</v>
      </c>
      <c r="C115" s="117">
        <v>32181</v>
      </c>
      <c r="D115" s="117">
        <v>36943</v>
      </c>
      <c r="E115" s="117">
        <f t="shared" si="16"/>
        <v>4762</v>
      </c>
      <c r="F115" s="98">
        <f t="shared" si="17"/>
        <v>0.1479755135017557</v>
      </c>
    </row>
    <row r="116" spans="1:6" ht="18" customHeight="1" x14ac:dyDescent="0.25">
      <c r="A116" s="99">
        <v>4</v>
      </c>
      <c r="B116" s="100" t="s">
        <v>115</v>
      </c>
      <c r="C116" s="117">
        <v>26917</v>
      </c>
      <c r="D116" s="117">
        <v>33522</v>
      </c>
      <c r="E116" s="117">
        <f t="shared" si="16"/>
        <v>6605</v>
      </c>
      <c r="F116" s="98">
        <f t="shared" si="17"/>
        <v>0.24538395809339822</v>
      </c>
    </row>
    <row r="117" spans="1:6" ht="18" customHeight="1" x14ac:dyDescent="0.25">
      <c r="A117" s="99">
        <v>5</v>
      </c>
      <c r="B117" s="100" t="s">
        <v>116</v>
      </c>
      <c r="C117" s="117">
        <v>1108</v>
      </c>
      <c r="D117" s="117">
        <v>1728</v>
      </c>
      <c r="E117" s="117">
        <f t="shared" si="16"/>
        <v>620</v>
      </c>
      <c r="F117" s="98">
        <f t="shared" si="17"/>
        <v>0.55956678700361007</v>
      </c>
    </row>
    <row r="118" spans="1:6" ht="18" customHeight="1" x14ac:dyDescent="0.25">
      <c r="A118" s="99">
        <v>6</v>
      </c>
      <c r="B118" s="100" t="s">
        <v>117</v>
      </c>
      <c r="C118" s="117">
        <v>6582</v>
      </c>
      <c r="D118" s="117">
        <v>5407</v>
      </c>
      <c r="E118" s="117">
        <f t="shared" si="16"/>
        <v>-1175</v>
      </c>
      <c r="F118" s="98">
        <f t="shared" si="17"/>
        <v>-0.1785171680340322</v>
      </c>
    </row>
    <row r="119" spans="1:6" ht="18" customHeight="1" x14ac:dyDescent="0.25">
      <c r="A119" s="99">
        <v>7</v>
      </c>
      <c r="B119" s="100" t="s">
        <v>118</v>
      </c>
      <c r="C119" s="117">
        <v>90130</v>
      </c>
      <c r="D119" s="117">
        <v>85692</v>
      </c>
      <c r="E119" s="117">
        <f t="shared" si="16"/>
        <v>-4438</v>
      </c>
      <c r="F119" s="98">
        <f t="shared" si="17"/>
        <v>-4.923998668589815E-2</v>
      </c>
    </row>
    <row r="120" spans="1:6" ht="18" customHeight="1" x14ac:dyDescent="0.25">
      <c r="A120" s="99">
        <v>8</v>
      </c>
      <c r="B120" s="100" t="s">
        <v>119</v>
      </c>
      <c r="C120" s="117">
        <v>1139</v>
      </c>
      <c r="D120" s="117">
        <v>785</v>
      </c>
      <c r="E120" s="117">
        <f t="shared" si="16"/>
        <v>-354</v>
      </c>
      <c r="F120" s="98">
        <f t="shared" si="17"/>
        <v>-0.31079894644424932</v>
      </c>
    </row>
    <row r="121" spans="1:6" ht="18" customHeight="1" x14ac:dyDescent="0.25">
      <c r="A121" s="99">
        <v>9</v>
      </c>
      <c r="B121" s="100" t="s">
        <v>120</v>
      </c>
      <c r="C121" s="117">
        <v>6345</v>
      </c>
      <c r="D121" s="117">
        <v>5967</v>
      </c>
      <c r="E121" s="117">
        <f t="shared" si="16"/>
        <v>-378</v>
      </c>
      <c r="F121" s="98">
        <f t="shared" si="17"/>
        <v>-5.9574468085106386E-2</v>
      </c>
    </row>
    <row r="122" spans="1:6" ht="18" customHeight="1" x14ac:dyDescent="0.25">
      <c r="A122" s="99">
        <v>10</v>
      </c>
      <c r="B122" s="100" t="s">
        <v>121</v>
      </c>
      <c r="C122" s="117">
        <v>14399</v>
      </c>
      <c r="D122" s="117">
        <v>16469</v>
      </c>
      <c r="E122" s="117">
        <f t="shared" si="16"/>
        <v>2070</v>
      </c>
      <c r="F122" s="98">
        <f t="shared" si="17"/>
        <v>0.14375998333217585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279599</v>
      </c>
      <c r="D124" s="118">
        <f>SUM(D113:D123)</f>
        <v>284705</v>
      </c>
      <c r="E124" s="118">
        <f t="shared" si="16"/>
        <v>5106</v>
      </c>
      <c r="F124" s="104">
        <f t="shared" si="17"/>
        <v>1.8261867889370134E-2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101639</v>
      </c>
      <c r="D126" s="117">
        <v>104564</v>
      </c>
      <c r="E126" s="117">
        <f t="shared" ref="E126:E137" si="18">D126-C126</f>
        <v>2925</v>
      </c>
      <c r="F126" s="98">
        <f t="shared" ref="F126:F137" si="19">IF(C126=0,0,E126/C126)</f>
        <v>2.8778323281417568E-2</v>
      </c>
    </row>
    <row r="127" spans="1:6" ht="18" customHeight="1" x14ac:dyDescent="0.25">
      <c r="A127" s="99">
        <v>2</v>
      </c>
      <c r="B127" s="100" t="s">
        <v>113</v>
      </c>
      <c r="C127" s="117">
        <v>19617</v>
      </c>
      <c r="D127" s="117">
        <v>21861</v>
      </c>
      <c r="E127" s="117">
        <f t="shared" si="18"/>
        <v>2244</v>
      </c>
      <c r="F127" s="98">
        <f t="shared" si="19"/>
        <v>0.11439057959932711</v>
      </c>
    </row>
    <row r="128" spans="1:6" ht="18" customHeight="1" x14ac:dyDescent="0.25">
      <c r="A128" s="99">
        <v>3</v>
      </c>
      <c r="B128" s="100" t="s">
        <v>114</v>
      </c>
      <c r="C128" s="117">
        <v>38792</v>
      </c>
      <c r="D128" s="117">
        <v>34426</v>
      </c>
      <c r="E128" s="117">
        <f t="shared" si="18"/>
        <v>-4366</v>
      </c>
      <c r="F128" s="98">
        <f t="shared" si="19"/>
        <v>-0.11254897917096308</v>
      </c>
    </row>
    <row r="129" spans="1:6" ht="18" customHeight="1" x14ac:dyDescent="0.25">
      <c r="A129" s="99">
        <v>4</v>
      </c>
      <c r="B129" s="100" t="s">
        <v>115</v>
      </c>
      <c r="C129" s="117">
        <v>117617</v>
      </c>
      <c r="D129" s="117">
        <v>124830</v>
      </c>
      <c r="E129" s="117">
        <f t="shared" si="18"/>
        <v>7213</v>
      </c>
      <c r="F129" s="98">
        <f t="shared" si="19"/>
        <v>6.1326168836137632E-2</v>
      </c>
    </row>
    <row r="130" spans="1:6" ht="18" customHeight="1" x14ac:dyDescent="0.25">
      <c r="A130" s="99">
        <v>5</v>
      </c>
      <c r="B130" s="100" t="s">
        <v>116</v>
      </c>
      <c r="C130" s="117">
        <v>2801</v>
      </c>
      <c r="D130" s="117">
        <v>2974</v>
      </c>
      <c r="E130" s="117">
        <f t="shared" si="18"/>
        <v>173</v>
      </c>
      <c r="F130" s="98">
        <f t="shared" si="19"/>
        <v>6.1763655837200997E-2</v>
      </c>
    </row>
    <row r="131" spans="1:6" ht="18" customHeight="1" x14ac:dyDescent="0.25">
      <c r="A131" s="99">
        <v>6</v>
      </c>
      <c r="B131" s="100" t="s">
        <v>117</v>
      </c>
      <c r="C131" s="117">
        <v>11597</v>
      </c>
      <c r="D131" s="117">
        <v>11908</v>
      </c>
      <c r="E131" s="117">
        <f t="shared" si="18"/>
        <v>311</v>
      </c>
      <c r="F131" s="98">
        <f t="shared" si="19"/>
        <v>2.6817280331120116E-2</v>
      </c>
    </row>
    <row r="132" spans="1:6" ht="18" customHeight="1" x14ac:dyDescent="0.25">
      <c r="A132" s="99">
        <v>7</v>
      </c>
      <c r="B132" s="100" t="s">
        <v>118</v>
      </c>
      <c r="C132" s="117">
        <v>234486</v>
      </c>
      <c r="D132" s="117">
        <v>240708</v>
      </c>
      <c r="E132" s="117">
        <f t="shared" si="18"/>
        <v>6222</v>
      </c>
      <c r="F132" s="98">
        <f t="shared" si="19"/>
        <v>2.653463319771756E-2</v>
      </c>
    </row>
    <row r="133" spans="1:6" ht="18" customHeight="1" x14ac:dyDescent="0.25">
      <c r="A133" s="99">
        <v>8</v>
      </c>
      <c r="B133" s="100" t="s">
        <v>119</v>
      </c>
      <c r="C133" s="117">
        <v>3060</v>
      </c>
      <c r="D133" s="117">
        <v>3062</v>
      </c>
      <c r="E133" s="117">
        <f t="shared" si="18"/>
        <v>2</v>
      </c>
      <c r="F133" s="98">
        <f t="shared" si="19"/>
        <v>6.5359477124183002E-4</v>
      </c>
    </row>
    <row r="134" spans="1:6" ht="18" customHeight="1" x14ac:dyDescent="0.25">
      <c r="A134" s="99">
        <v>9</v>
      </c>
      <c r="B134" s="100" t="s">
        <v>120</v>
      </c>
      <c r="C134" s="117">
        <v>34425</v>
      </c>
      <c r="D134" s="117">
        <v>34442</v>
      </c>
      <c r="E134" s="117">
        <f t="shared" si="18"/>
        <v>17</v>
      </c>
      <c r="F134" s="98">
        <f t="shared" si="19"/>
        <v>4.9382716049382717E-4</v>
      </c>
    </row>
    <row r="135" spans="1:6" ht="18" customHeight="1" x14ac:dyDescent="0.25">
      <c r="A135" s="99">
        <v>10</v>
      </c>
      <c r="B135" s="100" t="s">
        <v>121</v>
      </c>
      <c r="C135" s="117">
        <v>17726</v>
      </c>
      <c r="D135" s="117">
        <v>21370</v>
      </c>
      <c r="E135" s="117">
        <f t="shared" si="18"/>
        <v>3644</v>
      </c>
      <c r="F135" s="98">
        <f t="shared" si="19"/>
        <v>0.2055737334988153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581760</v>
      </c>
      <c r="D137" s="118">
        <f>SUM(D126:D136)</f>
        <v>600145</v>
      </c>
      <c r="E137" s="118">
        <f t="shared" si="18"/>
        <v>18385</v>
      </c>
      <c r="F137" s="104">
        <f t="shared" si="19"/>
        <v>3.1602378987898791E-2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25553879</v>
      </c>
      <c r="D142" s="97">
        <v>28448872</v>
      </c>
      <c r="E142" s="97">
        <f t="shared" ref="E142:E153" si="20">D142-C142</f>
        <v>2894993</v>
      </c>
      <c r="F142" s="98">
        <f t="shared" ref="F142:F153" si="21">IF(C142=0,0,E142/C142)</f>
        <v>0.1132897670838936</v>
      </c>
    </row>
    <row r="143" spans="1:6" ht="18" customHeight="1" x14ac:dyDescent="0.25">
      <c r="A143" s="99">
        <v>2</v>
      </c>
      <c r="B143" s="100" t="s">
        <v>113</v>
      </c>
      <c r="C143" s="97">
        <v>4679828</v>
      </c>
      <c r="D143" s="97">
        <v>5332887</v>
      </c>
      <c r="E143" s="97">
        <f t="shared" si="20"/>
        <v>653059</v>
      </c>
      <c r="F143" s="98">
        <f t="shared" si="21"/>
        <v>0.13954765004183914</v>
      </c>
    </row>
    <row r="144" spans="1:6" ht="18" customHeight="1" x14ac:dyDescent="0.25">
      <c r="A144" s="99">
        <v>3</v>
      </c>
      <c r="B144" s="100" t="s">
        <v>114</v>
      </c>
      <c r="C144" s="97">
        <v>14299187</v>
      </c>
      <c r="D144" s="97">
        <v>13932352</v>
      </c>
      <c r="E144" s="97">
        <f t="shared" si="20"/>
        <v>-366835</v>
      </c>
      <c r="F144" s="98">
        <f t="shared" si="21"/>
        <v>-2.5654255727965512E-2</v>
      </c>
    </row>
    <row r="145" spans="1:6" ht="18" customHeight="1" x14ac:dyDescent="0.25">
      <c r="A145" s="99">
        <v>4</v>
      </c>
      <c r="B145" s="100" t="s">
        <v>115</v>
      </c>
      <c r="C145" s="97">
        <v>33366858</v>
      </c>
      <c r="D145" s="97">
        <v>38997436</v>
      </c>
      <c r="E145" s="97">
        <f t="shared" si="20"/>
        <v>5630578</v>
      </c>
      <c r="F145" s="98">
        <f t="shared" si="21"/>
        <v>0.1687476237648747</v>
      </c>
    </row>
    <row r="146" spans="1:6" ht="18" customHeight="1" x14ac:dyDescent="0.25">
      <c r="A146" s="99">
        <v>5</v>
      </c>
      <c r="B146" s="100" t="s">
        <v>116</v>
      </c>
      <c r="C146" s="97">
        <v>599723</v>
      </c>
      <c r="D146" s="97">
        <v>702218</v>
      </c>
      <c r="E146" s="97">
        <f t="shared" si="20"/>
        <v>102495</v>
      </c>
      <c r="F146" s="98">
        <f t="shared" si="21"/>
        <v>0.17090390063412608</v>
      </c>
    </row>
    <row r="147" spans="1:6" ht="18" customHeight="1" x14ac:dyDescent="0.25">
      <c r="A147" s="99">
        <v>6</v>
      </c>
      <c r="B147" s="100" t="s">
        <v>117</v>
      </c>
      <c r="C147" s="97">
        <v>5312765</v>
      </c>
      <c r="D147" s="97">
        <v>5349145</v>
      </c>
      <c r="E147" s="97">
        <f t="shared" si="20"/>
        <v>36380</v>
      </c>
      <c r="F147" s="98">
        <f t="shared" si="21"/>
        <v>6.8476584226857392E-3</v>
      </c>
    </row>
    <row r="148" spans="1:6" ht="18" customHeight="1" x14ac:dyDescent="0.25">
      <c r="A148" s="99">
        <v>7</v>
      </c>
      <c r="B148" s="100" t="s">
        <v>118</v>
      </c>
      <c r="C148" s="97">
        <v>61661870</v>
      </c>
      <c r="D148" s="97">
        <v>62778824</v>
      </c>
      <c r="E148" s="97">
        <f t="shared" si="20"/>
        <v>1116954</v>
      </c>
      <c r="F148" s="98">
        <f t="shared" si="21"/>
        <v>1.8114176556760279E-2</v>
      </c>
    </row>
    <row r="149" spans="1:6" ht="18" customHeight="1" x14ac:dyDescent="0.25">
      <c r="A149" s="99">
        <v>8</v>
      </c>
      <c r="B149" s="100" t="s">
        <v>119</v>
      </c>
      <c r="C149" s="97">
        <v>2163180</v>
      </c>
      <c r="D149" s="97">
        <v>2198322</v>
      </c>
      <c r="E149" s="97">
        <f t="shared" si="20"/>
        <v>35142</v>
      </c>
      <c r="F149" s="98">
        <f t="shared" si="21"/>
        <v>1.6245527417967993E-2</v>
      </c>
    </row>
    <row r="150" spans="1:6" ht="18" customHeight="1" x14ac:dyDescent="0.25">
      <c r="A150" s="99">
        <v>9</v>
      </c>
      <c r="B150" s="100" t="s">
        <v>120</v>
      </c>
      <c r="C150" s="97">
        <v>20025149</v>
      </c>
      <c r="D150" s="97">
        <v>21503622</v>
      </c>
      <c r="E150" s="97">
        <f t="shared" si="20"/>
        <v>1478473</v>
      </c>
      <c r="F150" s="98">
        <f t="shared" si="21"/>
        <v>7.3830811446147046E-2</v>
      </c>
    </row>
    <row r="151" spans="1:6" ht="18" customHeight="1" x14ac:dyDescent="0.25">
      <c r="A151" s="99">
        <v>10</v>
      </c>
      <c r="B151" s="100" t="s">
        <v>121</v>
      </c>
      <c r="C151" s="97">
        <v>13985022</v>
      </c>
      <c r="D151" s="97">
        <v>16985743</v>
      </c>
      <c r="E151" s="97">
        <f t="shared" si="20"/>
        <v>3000721</v>
      </c>
      <c r="F151" s="98">
        <f t="shared" si="21"/>
        <v>0.21456677007730127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181647461</v>
      </c>
      <c r="D153" s="103">
        <f>SUM(D142:D152)</f>
        <v>196229421</v>
      </c>
      <c r="E153" s="103">
        <f t="shared" si="20"/>
        <v>14581960</v>
      </c>
      <c r="F153" s="104">
        <f t="shared" si="21"/>
        <v>8.0276156461113427E-2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4734266</v>
      </c>
      <c r="D155" s="97">
        <v>5249567</v>
      </c>
      <c r="E155" s="97">
        <f t="shared" ref="E155:E166" si="22">D155-C155</f>
        <v>515301</v>
      </c>
      <c r="F155" s="98">
        <f t="shared" ref="F155:F166" si="23">IF(C155=0,0,E155/C155)</f>
        <v>0.10884496139422668</v>
      </c>
    </row>
    <row r="156" spans="1:6" ht="18" customHeight="1" x14ac:dyDescent="0.25">
      <c r="A156" s="99">
        <v>2</v>
      </c>
      <c r="B156" s="100" t="s">
        <v>113</v>
      </c>
      <c r="C156" s="97">
        <v>1032473</v>
      </c>
      <c r="D156" s="97">
        <v>1182478</v>
      </c>
      <c r="E156" s="97">
        <f t="shared" si="22"/>
        <v>150005</v>
      </c>
      <c r="F156" s="98">
        <f t="shared" si="23"/>
        <v>0.14528709225325989</v>
      </c>
    </row>
    <row r="157" spans="1:6" ht="18" customHeight="1" x14ac:dyDescent="0.25">
      <c r="A157" s="99">
        <v>3</v>
      </c>
      <c r="B157" s="100" t="s">
        <v>114</v>
      </c>
      <c r="C157" s="97">
        <v>3212623</v>
      </c>
      <c r="D157" s="97">
        <v>2812437</v>
      </c>
      <c r="E157" s="97">
        <f t="shared" si="22"/>
        <v>-400186</v>
      </c>
      <c r="F157" s="98">
        <f t="shared" si="23"/>
        <v>-0.12456674810583128</v>
      </c>
    </row>
    <row r="158" spans="1:6" ht="18" customHeight="1" x14ac:dyDescent="0.25">
      <c r="A158" s="99">
        <v>4</v>
      </c>
      <c r="B158" s="100" t="s">
        <v>115</v>
      </c>
      <c r="C158" s="97">
        <v>8694716</v>
      </c>
      <c r="D158" s="97">
        <v>9452187</v>
      </c>
      <c r="E158" s="97">
        <f t="shared" si="22"/>
        <v>757471</v>
      </c>
      <c r="F158" s="98">
        <f t="shared" si="23"/>
        <v>8.7118544182466687E-2</v>
      </c>
    </row>
    <row r="159" spans="1:6" ht="18" customHeight="1" x14ac:dyDescent="0.25">
      <c r="A159" s="99">
        <v>5</v>
      </c>
      <c r="B159" s="100" t="s">
        <v>116</v>
      </c>
      <c r="C159" s="97">
        <v>165286</v>
      </c>
      <c r="D159" s="97">
        <v>201154</v>
      </c>
      <c r="E159" s="97">
        <f t="shared" si="22"/>
        <v>35868</v>
      </c>
      <c r="F159" s="98">
        <f t="shared" si="23"/>
        <v>0.21700567501179774</v>
      </c>
    </row>
    <row r="160" spans="1:6" ht="18" customHeight="1" x14ac:dyDescent="0.25">
      <c r="A160" s="99">
        <v>6</v>
      </c>
      <c r="B160" s="100" t="s">
        <v>117</v>
      </c>
      <c r="C160" s="97">
        <v>3156076</v>
      </c>
      <c r="D160" s="97">
        <v>3146651</v>
      </c>
      <c r="E160" s="97">
        <f t="shared" si="22"/>
        <v>-9425</v>
      </c>
      <c r="F160" s="98">
        <f t="shared" si="23"/>
        <v>-2.9863032449155215E-3</v>
      </c>
    </row>
    <row r="161" spans="1:6" ht="18" customHeight="1" x14ac:dyDescent="0.25">
      <c r="A161" s="99">
        <v>7</v>
      </c>
      <c r="B161" s="100" t="s">
        <v>118</v>
      </c>
      <c r="C161" s="97">
        <v>24475105</v>
      </c>
      <c r="D161" s="97">
        <v>26791476</v>
      </c>
      <c r="E161" s="97">
        <f t="shared" si="22"/>
        <v>2316371</v>
      </c>
      <c r="F161" s="98">
        <f t="shared" si="23"/>
        <v>9.4641922884498353E-2</v>
      </c>
    </row>
    <row r="162" spans="1:6" ht="18" customHeight="1" x14ac:dyDescent="0.25">
      <c r="A162" s="99">
        <v>8</v>
      </c>
      <c r="B162" s="100" t="s">
        <v>119</v>
      </c>
      <c r="C162" s="97">
        <v>1262245</v>
      </c>
      <c r="D162" s="97">
        <v>1346491</v>
      </c>
      <c r="E162" s="97">
        <f t="shared" si="22"/>
        <v>84246</v>
      </c>
      <c r="F162" s="98">
        <f t="shared" si="23"/>
        <v>6.6742985711965588E-2</v>
      </c>
    </row>
    <row r="163" spans="1:6" ht="18" customHeight="1" x14ac:dyDescent="0.25">
      <c r="A163" s="99">
        <v>9</v>
      </c>
      <c r="B163" s="100" t="s">
        <v>120</v>
      </c>
      <c r="C163" s="97">
        <v>742233</v>
      </c>
      <c r="D163" s="97">
        <v>3463222</v>
      </c>
      <c r="E163" s="97">
        <f t="shared" si="22"/>
        <v>2720989</v>
      </c>
      <c r="F163" s="98">
        <f t="shared" si="23"/>
        <v>3.6659499106075857</v>
      </c>
    </row>
    <row r="164" spans="1:6" ht="18" customHeight="1" x14ac:dyDescent="0.25">
      <c r="A164" s="99">
        <v>10</v>
      </c>
      <c r="B164" s="100" t="s">
        <v>121</v>
      </c>
      <c r="C164" s="97">
        <v>1639899</v>
      </c>
      <c r="D164" s="97">
        <v>2662694</v>
      </c>
      <c r="E164" s="97">
        <f t="shared" si="22"/>
        <v>1022795</v>
      </c>
      <c r="F164" s="98">
        <f t="shared" si="23"/>
        <v>0.62369389822178078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49114922</v>
      </c>
      <c r="D166" s="103">
        <f>SUM(D155:D165)</f>
        <v>56308357</v>
      </c>
      <c r="E166" s="103">
        <f t="shared" si="22"/>
        <v>7193435</v>
      </c>
      <c r="F166" s="104">
        <f t="shared" si="23"/>
        <v>0.14646129337230751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10723</v>
      </c>
      <c r="D168" s="117">
        <v>10111</v>
      </c>
      <c r="E168" s="117">
        <f t="shared" ref="E168:E179" si="24">D168-C168</f>
        <v>-612</v>
      </c>
      <c r="F168" s="98">
        <f t="shared" ref="F168:F179" si="25">IF(C168=0,0,E168/C168)</f>
        <v>-5.7073580154807423E-2</v>
      </c>
    </row>
    <row r="169" spans="1:6" ht="18" customHeight="1" x14ac:dyDescent="0.25">
      <c r="A169" s="99">
        <v>2</v>
      </c>
      <c r="B169" s="100" t="s">
        <v>113</v>
      </c>
      <c r="C169" s="117">
        <v>1758</v>
      </c>
      <c r="D169" s="117">
        <v>1853</v>
      </c>
      <c r="E169" s="117">
        <f t="shared" si="24"/>
        <v>95</v>
      </c>
      <c r="F169" s="98">
        <f t="shared" si="25"/>
        <v>5.4038680318543801E-2</v>
      </c>
    </row>
    <row r="170" spans="1:6" ht="18" customHeight="1" x14ac:dyDescent="0.25">
      <c r="A170" s="99">
        <v>3</v>
      </c>
      <c r="B170" s="100" t="s">
        <v>114</v>
      </c>
      <c r="C170" s="117">
        <v>7912</v>
      </c>
      <c r="D170" s="117">
        <v>6277</v>
      </c>
      <c r="E170" s="117">
        <f t="shared" si="24"/>
        <v>-1635</v>
      </c>
      <c r="F170" s="98">
        <f t="shared" si="25"/>
        <v>-0.20664812942366026</v>
      </c>
    </row>
    <row r="171" spans="1:6" ht="18" customHeight="1" x14ac:dyDescent="0.25">
      <c r="A171" s="99">
        <v>4</v>
      </c>
      <c r="B171" s="100" t="s">
        <v>115</v>
      </c>
      <c r="C171" s="117">
        <v>24696</v>
      </c>
      <c r="D171" s="117">
        <v>24514</v>
      </c>
      <c r="E171" s="117">
        <f t="shared" si="24"/>
        <v>-182</v>
      </c>
      <c r="F171" s="98">
        <f t="shared" si="25"/>
        <v>-7.3696145124716554E-3</v>
      </c>
    </row>
    <row r="172" spans="1:6" ht="18" customHeight="1" x14ac:dyDescent="0.25">
      <c r="A172" s="99">
        <v>5</v>
      </c>
      <c r="B172" s="100" t="s">
        <v>116</v>
      </c>
      <c r="C172" s="117">
        <v>388</v>
      </c>
      <c r="D172" s="117">
        <v>425</v>
      </c>
      <c r="E172" s="117">
        <f t="shared" si="24"/>
        <v>37</v>
      </c>
      <c r="F172" s="98">
        <f t="shared" si="25"/>
        <v>9.5360824742268036E-2</v>
      </c>
    </row>
    <row r="173" spans="1:6" ht="18" customHeight="1" x14ac:dyDescent="0.25">
      <c r="A173" s="99">
        <v>6</v>
      </c>
      <c r="B173" s="100" t="s">
        <v>117</v>
      </c>
      <c r="C173" s="117">
        <v>2553</v>
      </c>
      <c r="D173" s="117">
        <v>2205</v>
      </c>
      <c r="E173" s="117">
        <f t="shared" si="24"/>
        <v>-348</v>
      </c>
      <c r="F173" s="98">
        <f t="shared" si="25"/>
        <v>-0.136310223266745</v>
      </c>
    </row>
    <row r="174" spans="1:6" ht="18" customHeight="1" x14ac:dyDescent="0.25">
      <c r="A174" s="99">
        <v>7</v>
      </c>
      <c r="B174" s="100" t="s">
        <v>118</v>
      </c>
      <c r="C174" s="117">
        <v>32273</v>
      </c>
      <c r="D174" s="117">
        <v>28079</v>
      </c>
      <c r="E174" s="117">
        <f t="shared" si="24"/>
        <v>-4194</v>
      </c>
      <c r="F174" s="98">
        <f t="shared" si="25"/>
        <v>-0.12995383137607289</v>
      </c>
    </row>
    <row r="175" spans="1:6" ht="18" customHeight="1" x14ac:dyDescent="0.25">
      <c r="A175" s="99">
        <v>8</v>
      </c>
      <c r="B175" s="100" t="s">
        <v>119</v>
      </c>
      <c r="C175" s="117">
        <v>1271</v>
      </c>
      <c r="D175" s="117">
        <v>1128</v>
      </c>
      <c r="E175" s="117">
        <f t="shared" si="24"/>
        <v>-143</v>
      </c>
      <c r="F175" s="98">
        <f t="shared" si="25"/>
        <v>-0.11250983477576711</v>
      </c>
    </row>
    <row r="176" spans="1:6" ht="18" customHeight="1" x14ac:dyDescent="0.25">
      <c r="A176" s="99">
        <v>9</v>
      </c>
      <c r="B176" s="100" t="s">
        <v>120</v>
      </c>
      <c r="C176" s="117">
        <v>11886</v>
      </c>
      <c r="D176" s="117">
        <v>10868</v>
      </c>
      <c r="E176" s="117">
        <f t="shared" si="24"/>
        <v>-1018</v>
      </c>
      <c r="F176" s="98">
        <f t="shared" si="25"/>
        <v>-8.5646979639912496E-2</v>
      </c>
    </row>
    <row r="177" spans="1:6" ht="18" customHeight="1" x14ac:dyDescent="0.25">
      <c r="A177" s="99">
        <v>10</v>
      </c>
      <c r="B177" s="100" t="s">
        <v>121</v>
      </c>
      <c r="C177" s="117">
        <v>8122</v>
      </c>
      <c r="D177" s="117">
        <v>8119</v>
      </c>
      <c r="E177" s="117">
        <f t="shared" si="24"/>
        <v>-3</v>
      </c>
      <c r="F177" s="98">
        <f t="shared" si="25"/>
        <v>-3.6936715094804237E-4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101582</v>
      </c>
      <c r="D179" s="118">
        <f>SUM(D168:D178)</f>
        <v>93579</v>
      </c>
      <c r="E179" s="118">
        <f t="shared" si="24"/>
        <v>-8003</v>
      </c>
      <c r="F179" s="104">
        <f t="shared" si="25"/>
        <v>-7.8783642771357132E-2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4" fitToHeight="0" orientation="portrait" horizontalDpi="1200" verticalDpi="1200" r:id="rId1"/>
  <headerFooter>
    <oddHeader>&amp;LOFFICE OF HEALTH CARE ACCESS&amp;CTWELVE MONTHS ACTUAL FILING&amp;RYALE-NEW HAVEN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>
      <selection activeCell="B4" sqref="B4"/>
    </sheetView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178889000</v>
      </c>
      <c r="D15" s="146">
        <v>192479000</v>
      </c>
      <c r="E15" s="146">
        <f>+D15-C15</f>
        <v>13590000</v>
      </c>
      <c r="F15" s="150">
        <f>IF(C15=0,0,E15/C15)</f>
        <v>7.5968896913728629E-2</v>
      </c>
    </row>
    <row r="16" spans="1:7" ht="15" customHeight="1" x14ac:dyDescent="0.2">
      <c r="A16" s="141">
        <v>2</v>
      </c>
      <c r="B16" s="149" t="s">
        <v>158</v>
      </c>
      <c r="C16" s="146">
        <v>48173000</v>
      </c>
      <c r="D16" s="146">
        <v>50936000</v>
      </c>
      <c r="E16" s="146">
        <f>+D16-C16</f>
        <v>2763000</v>
      </c>
      <c r="F16" s="150">
        <f>IF(C16=0,0,E16/C16)</f>
        <v>5.735578020883067E-2</v>
      </c>
    </row>
    <row r="17" spans="1:7" ht="15" customHeight="1" x14ac:dyDescent="0.2">
      <c r="A17" s="141">
        <v>3</v>
      </c>
      <c r="B17" s="149" t="s">
        <v>159</v>
      </c>
      <c r="C17" s="146">
        <v>225544000</v>
      </c>
      <c r="D17" s="146">
        <v>244860000</v>
      </c>
      <c r="E17" s="146">
        <f>+D17-C17</f>
        <v>19316000</v>
      </c>
      <c r="F17" s="150">
        <f>IF(C17=0,0,E17/C17)</f>
        <v>8.5641825985173628E-2</v>
      </c>
    </row>
    <row r="18" spans="1:7" ht="15.75" customHeight="1" x14ac:dyDescent="0.25">
      <c r="A18" s="141"/>
      <c r="B18" s="151" t="s">
        <v>160</v>
      </c>
      <c r="C18" s="147">
        <f>SUM(C15:C17)</f>
        <v>452606000</v>
      </c>
      <c r="D18" s="147">
        <f>SUM(D15:D17)</f>
        <v>488275000</v>
      </c>
      <c r="E18" s="147">
        <f>+D18-C18</f>
        <v>35669000</v>
      </c>
      <c r="F18" s="148">
        <f>IF(C18=0,0,E18/C18)</f>
        <v>7.8808058222825147E-2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49082000</v>
      </c>
      <c r="D21" s="146">
        <v>54085000</v>
      </c>
      <c r="E21" s="146">
        <f>+D21-C21</f>
        <v>5003000</v>
      </c>
      <c r="F21" s="150">
        <f>IF(C21=0,0,E21/C21)</f>
        <v>0.10193146163563017</v>
      </c>
    </row>
    <row r="22" spans="1:7" ht="15" customHeight="1" x14ac:dyDescent="0.2">
      <c r="A22" s="141">
        <v>2</v>
      </c>
      <c r="B22" s="149" t="s">
        <v>163</v>
      </c>
      <c r="C22" s="146">
        <v>13217000</v>
      </c>
      <c r="D22" s="146">
        <v>14312000</v>
      </c>
      <c r="E22" s="146">
        <f>+D22-C22</f>
        <v>1095000</v>
      </c>
      <c r="F22" s="150">
        <f>IF(C22=0,0,E22/C22)</f>
        <v>8.2847847469168498E-2</v>
      </c>
    </row>
    <row r="23" spans="1:7" ht="15" customHeight="1" x14ac:dyDescent="0.2">
      <c r="A23" s="141">
        <v>3</v>
      </c>
      <c r="B23" s="149" t="s">
        <v>164</v>
      </c>
      <c r="C23" s="146">
        <v>61882000</v>
      </c>
      <c r="D23" s="146">
        <v>68803000</v>
      </c>
      <c r="E23" s="146">
        <f>+D23-C23</f>
        <v>6921000</v>
      </c>
      <c r="F23" s="150">
        <f>IF(C23=0,0,E23/C23)</f>
        <v>0.11184189263436864</v>
      </c>
    </row>
    <row r="24" spans="1:7" ht="15.75" customHeight="1" x14ac:dyDescent="0.25">
      <c r="A24" s="141"/>
      <c r="B24" s="151" t="s">
        <v>165</v>
      </c>
      <c r="C24" s="147">
        <f>SUM(C21:C23)</f>
        <v>124181000</v>
      </c>
      <c r="D24" s="147">
        <f>SUM(D21:D23)</f>
        <v>137200000</v>
      </c>
      <c r="E24" s="147">
        <f>+D24-C24</f>
        <v>13019000</v>
      </c>
      <c r="F24" s="148">
        <f>IF(C24=0,0,E24/C24)</f>
        <v>0.10483890450229906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1740000</v>
      </c>
      <c r="D27" s="146">
        <v>3819000</v>
      </c>
      <c r="E27" s="146">
        <f>+D27-C27</f>
        <v>2079000</v>
      </c>
      <c r="F27" s="150">
        <f>IF(C27=0,0,E27/C27)</f>
        <v>1.1948275862068964</v>
      </c>
    </row>
    <row r="28" spans="1:7" ht="15" customHeight="1" x14ac:dyDescent="0.2">
      <c r="A28" s="141">
        <v>2</v>
      </c>
      <c r="B28" s="149" t="s">
        <v>168</v>
      </c>
      <c r="C28" s="146">
        <v>64272000</v>
      </c>
      <c r="D28" s="146">
        <v>70728000</v>
      </c>
      <c r="E28" s="146">
        <f>+D28-C28</f>
        <v>6456000</v>
      </c>
      <c r="F28" s="150">
        <f>IF(C28=0,0,E28/C28)</f>
        <v>0.10044809559372667</v>
      </c>
    </row>
    <row r="29" spans="1:7" ht="15" customHeight="1" x14ac:dyDescent="0.2">
      <c r="A29" s="141">
        <v>3</v>
      </c>
      <c r="B29" s="149" t="s">
        <v>169</v>
      </c>
      <c r="C29" s="146">
        <v>10528000</v>
      </c>
      <c r="D29" s="146">
        <v>12158000</v>
      </c>
      <c r="E29" s="146">
        <f>+D29-C29</f>
        <v>1630000</v>
      </c>
      <c r="F29" s="150">
        <f>IF(C29=0,0,E29/C29)</f>
        <v>0.15482522796352582</v>
      </c>
    </row>
    <row r="30" spans="1:7" ht="15.75" customHeight="1" x14ac:dyDescent="0.25">
      <c r="A30" s="141"/>
      <c r="B30" s="151" t="s">
        <v>170</v>
      </c>
      <c r="C30" s="147">
        <f>SUM(C27:C29)</f>
        <v>76540000</v>
      </c>
      <c r="D30" s="147">
        <f>SUM(D27:D29)</f>
        <v>86705000</v>
      </c>
      <c r="E30" s="147">
        <f>+D30-C30</f>
        <v>10165000</v>
      </c>
      <c r="F30" s="148">
        <f>IF(C30=0,0,E30/C30)</f>
        <v>0.13280637575124118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128266000</v>
      </c>
      <c r="D33" s="146">
        <v>136210000</v>
      </c>
      <c r="E33" s="146">
        <f>+D33-C33</f>
        <v>7944000</v>
      </c>
      <c r="F33" s="150">
        <f>IF(C33=0,0,E33/C33)</f>
        <v>6.1933793834687292E-2</v>
      </c>
    </row>
    <row r="34" spans="1:7" ht="15" customHeight="1" x14ac:dyDescent="0.2">
      <c r="A34" s="141">
        <v>2</v>
      </c>
      <c r="B34" s="149" t="s">
        <v>174</v>
      </c>
      <c r="C34" s="146">
        <v>65150000</v>
      </c>
      <c r="D34" s="146">
        <v>73121000</v>
      </c>
      <c r="E34" s="146">
        <f>+D34-C34</f>
        <v>7971000</v>
      </c>
      <c r="F34" s="150">
        <f>IF(C34=0,0,E34/C34)</f>
        <v>0.12234842670759785</v>
      </c>
    </row>
    <row r="35" spans="1:7" ht="15.75" customHeight="1" x14ac:dyDescent="0.25">
      <c r="A35" s="141"/>
      <c r="B35" s="151" t="s">
        <v>175</v>
      </c>
      <c r="C35" s="147">
        <f>SUM(C33:C34)</f>
        <v>193416000</v>
      </c>
      <c r="D35" s="147">
        <f>SUM(D33:D34)</f>
        <v>209331000</v>
      </c>
      <c r="E35" s="147">
        <f>+D35-C35</f>
        <v>15915000</v>
      </c>
      <c r="F35" s="148">
        <f>IF(C35=0,0,E35/C35)</f>
        <v>8.2283782106961162E-2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17338000</v>
      </c>
      <c r="D38" s="146">
        <v>22945000</v>
      </c>
      <c r="E38" s="146">
        <f>+D38-C38</f>
        <v>5607000</v>
      </c>
      <c r="F38" s="150">
        <f>IF(C38=0,0,E38/C38)</f>
        <v>0.32339370169569731</v>
      </c>
    </row>
    <row r="39" spans="1:7" ht="15" customHeight="1" x14ac:dyDescent="0.2">
      <c r="A39" s="141">
        <v>2</v>
      </c>
      <c r="B39" s="149" t="s">
        <v>179</v>
      </c>
      <c r="C39" s="146">
        <v>25712000</v>
      </c>
      <c r="D39" s="146">
        <v>28715000</v>
      </c>
      <c r="E39" s="146">
        <f>+D39-C39</f>
        <v>3003000</v>
      </c>
      <c r="F39" s="150">
        <f>IF(C39=0,0,E39/C39)</f>
        <v>0.11679371499688861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43050000</v>
      </c>
      <c r="D41" s="147">
        <f>SUM(D38:D40)</f>
        <v>51660000</v>
      </c>
      <c r="E41" s="147">
        <f>+D41-C41</f>
        <v>8610000</v>
      </c>
      <c r="F41" s="148">
        <f>IF(C41=0,0,E41/C41)</f>
        <v>0.2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24873000</v>
      </c>
      <c r="D44" s="146">
        <v>27440000</v>
      </c>
      <c r="E44" s="146">
        <f>+D44-C44</f>
        <v>2567000</v>
      </c>
      <c r="F44" s="150">
        <f>IF(C44=0,0,E44/C44)</f>
        <v>0.10320427773087283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1549000</v>
      </c>
      <c r="D47" s="146">
        <v>12306000</v>
      </c>
      <c r="E47" s="146">
        <f>+D47-C47</f>
        <v>10757000</v>
      </c>
      <c r="F47" s="150">
        <f>IF(C47=0,0,E47/C47)</f>
        <v>6.9444803098773402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19909000</v>
      </c>
      <c r="D50" s="146">
        <v>16754000</v>
      </c>
      <c r="E50" s="146">
        <f>+D50-C50</f>
        <v>-3155000</v>
      </c>
      <c r="F50" s="150">
        <f>IF(C50=0,0,E50/C50)</f>
        <v>-0.1584710432467728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506000</v>
      </c>
      <c r="D53" s="146">
        <v>872000</v>
      </c>
      <c r="E53" s="146">
        <f t="shared" ref="E53:E59" si="0">+D53-C53</f>
        <v>366000</v>
      </c>
      <c r="F53" s="150">
        <f t="shared" ref="F53:F59" si="1">IF(C53=0,0,E53/C53)</f>
        <v>0.72332015810276684</v>
      </c>
    </row>
    <row r="54" spans="1:7" ht="15" customHeight="1" x14ac:dyDescent="0.2">
      <c r="A54" s="141">
        <v>2</v>
      </c>
      <c r="B54" s="149" t="s">
        <v>193</v>
      </c>
      <c r="C54" s="146">
        <v>149000</v>
      </c>
      <c r="D54" s="146">
        <v>370000</v>
      </c>
      <c r="E54" s="146">
        <f t="shared" si="0"/>
        <v>221000</v>
      </c>
      <c r="F54" s="150">
        <f t="shared" si="1"/>
        <v>1.4832214765100671</v>
      </c>
    </row>
    <row r="55" spans="1:7" ht="15" customHeight="1" x14ac:dyDescent="0.2">
      <c r="A55" s="141">
        <v>3</v>
      </c>
      <c r="B55" s="149" t="s">
        <v>194</v>
      </c>
      <c r="C55" s="146">
        <v>0</v>
      </c>
      <c r="D55" s="146">
        <v>0</v>
      </c>
      <c r="E55" s="146">
        <f t="shared" si="0"/>
        <v>0</v>
      </c>
      <c r="F55" s="150">
        <f t="shared" si="1"/>
        <v>0</v>
      </c>
    </row>
    <row r="56" spans="1:7" ht="15" customHeight="1" x14ac:dyDescent="0.2">
      <c r="A56" s="141">
        <v>4</v>
      </c>
      <c r="B56" s="149" t="s">
        <v>195</v>
      </c>
      <c r="C56" s="146">
        <v>10961000</v>
      </c>
      <c r="D56" s="146">
        <v>13928000</v>
      </c>
      <c r="E56" s="146">
        <f t="shared" si="0"/>
        <v>2967000</v>
      </c>
      <c r="F56" s="150">
        <f t="shared" si="1"/>
        <v>0.27068698111486178</v>
      </c>
    </row>
    <row r="57" spans="1:7" ht="15" customHeight="1" x14ac:dyDescent="0.2">
      <c r="A57" s="141">
        <v>5</v>
      </c>
      <c r="B57" s="149" t="s">
        <v>196</v>
      </c>
      <c r="C57" s="146">
        <v>5298000</v>
      </c>
      <c r="D57" s="146">
        <v>8836000</v>
      </c>
      <c r="E57" s="146">
        <f t="shared" si="0"/>
        <v>3538000</v>
      </c>
      <c r="F57" s="150">
        <f t="shared" si="1"/>
        <v>0.66779916949792373</v>
      </c>
    </row>
    <row r="58" spans="1:7" ht="15" customHeight="1" x14ac:dyDescent="0.2">
      <c r="A58" s="141">
        <v>6</v>
      </c>
      <c r="B58" s="149" t="s">
        <v>197</v>
      </c>
      <c r="C58" s="146">
        <v>888000</v>
      </c>
      <c r="D58" s="146">
        <v>806000</v>
      </c>
      <c r="E58" s="146">
        <f t="shared" si="0"/>
        <v>-82000</v>
      </c>
      <c r="F58" s="150">
        <f t="shared" si="1"/>
        <v>-9.2342342342342343E-2</v>
      </c>
    </row>
    <row r="59" spans="1:7" ht="15.75" customHeight="1" x14ac:dyDescent="0.25">
      <c r="A59" s="141"/>
      <c r="B59" s="151" t="s">
        <v>198</v>
      </c>
      <c r="C59" s="147">
        <f>SUM(C53:C58)</f>
        <v>17802000</v>
      </c>
      <c r="D59" s="147">
        <f>SUM(D53:D58)</f>
        <v>24812000</v>
      </c>
      <c r="E59" s="147">
        <f t="shared" si="0"/>
        <v>7010000</v>
      </c>
      <c r="F59" s="148">
        <f t="shared" si="1"/>
        <v>0.39377598022694077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928000</v>
      </c>
      <c r="D62" s="146">
        <v>825000</v>
      </c>
      <c r="E62" s="146">
        <f t="shared" ref="E62:E78" si="2">+D62-C62</f>
        <v>-103000</v>
      </c>
      <c r="F62" s="150">
        <f t="shared" ref="F62:F78" si="3">IF(C62=0,0,E62/C62)</f>
        <v>-0.11099137931034483</v>
      </c>
    </row>
    <row r="63" spans="1:7" ht="15" customHeight="1" x14ac:dyDescent="0.2">
      <c r="A63" s="141">
        <v>2</v>
      </c>
      <c r="B63" s="149" t="s">
        <v>202</v>
      </c>
      <c r="C63" s="146">
        <v>3050000</v>
      </c>
      <c r="D63" s="146">
        <v>995000</v>
      </c>
      <c r="E63" s="146">
        <f t="shared" si="2"/>
        <v>-2055000</v>
      </c>
      <c r="F63" s="150">
        <f t="shared" si="3"/>
        <v>-0.67377049180327864</v>
      </c>
    </row>
    <row r="64" spans="1:7" ht="15" customHeight="1" x14ac:dyDescent="0.2">
      <c r="A64" s="141">
        <v>3</v>
      </c>
      <c r="B64" s="149" t="s">
        <v>203</v>
      </c>
      <c r="C64" s="146">
        <v>1314000</v>
      </c>
      <c r="D64" s="146">
        <v>628000</v>
      </c>
      <c r="E64" s="146">
        <f t="shared" si="2"/>
        <v>-686000</v>
      </c>
      <c r="F64" s="150">
        <f t="shared" si="3"/>
        <v>-0.52207001522070018</v>
      </c>
    </row>
    <row r="65" spans="1:7" ht="15" customHeight="1" x14ac:dyDescent="0.2">
      <c r="A65" s="141">
        <v>4</v>
      </c>
      <c r="B65" s="149" t="s">
        <v>204</v>
      </c>
      <c r="C65" s="146">
        <v>1826000</v>
      </c>
      <c r="D65" s="146">
        <v>1752000</v>
      </c>
      <c r="E65" s="146">
        <f t="shared" si="2"/>
        <v>-74000</v>
      </c>
      <c r="F65" s="150">
        <f t="shared" si="3"/>
        <v>-4.0525739320920046E-2</v>
      </c>
    </row>
    <row r="66" spans="1:7" ht="15" customHeight="1" x14ac:dyDescent="0.2">
      <c r="A66" s="141">
        <v>5</v>
      </c>
      <c r="B66" s="149" t="s">
        <v>205</v>
      </c>
      <c r="C66" s="146">
        <v>2377000</v>
      </c>
      <c r="D66" s="146">
        <v>2203000</v>
      </c>
      <c r="E66" s="146">
        <f t="shared" si="2"/>
        <v>-174000</v>
      </c>
      <c r="F66" s="150">
        <f t="shared" si="3"/>
        <v>-7.3201514514093388E-2</v>
      </c>
    </row>
    <row r="67" spans="1:7" ht="15" customHeight="1" x14ac:dyDescent="0.2">
      <c r="A67" s="141">
        <v>6</v>
      </c>
      <c r="B67" s="149" t="s">
        <v>206</v>
      </c>
      <c r="C67" s="146">
        <v>9580000</v>
      </c>
      <c r="D67" s="146">
        <v>9648000</v>
      </c>
      <c r="E67" s="146">
        <f t="shared" si="2"/>
        <v>68000</v>
      </c>
      <c r="F67" s="150">
        <f t="shared" si="3"/>
        <v>7.0981210855949892E-3</v>
      </c>
    </row>
    <row r="68" spans="1:7" ht="15" customHeight="1" x14ac:dyDescent="0.2">
      <c r="A68" s="141">
        <v>7</v>
      </c>
      <c r="B68" s="149" t="s">
        <v>207</v>
      </c>
      <c r="C68" s="146">
        <v>16793000</v>
      </c>
      <c r="D68" s="146">
        <v>18981000</v>
      </c>
      <c r="E68" s="146">
        <f t="shared" si="2"/>
        <v>2188000</v>
      </c>
      <c r="F68" s="150">
        <f t="shared" si="3"/>
        <v>0.13029238373131663</v>
      </c>
    </row>
    <row r="69" spans="1:7" ht="15" customHeight="1" x14ac:dyDescent="0.2">
      <c r="A69" s="141">
        <v>8</v>
      </c>
      <c r="B69" s="149" t="s">
        <v>208</v>
      </c>
      <c r="C69" s="146">
        <v>0</v>
      </c>
      <c r="D69" s="146">
        <v>0</v>
      </c>
      <c r="E69" s="146">
        <f t="shared" si="2"/>
        <v>0</v>
      </c>
      <c r="F69" s="150">
        <f t="shared" si="3"/>
        <v>0</v>
      </c>
    </row>
    <row r="70" spans="1:7" ht="15" customHeight="1" x14ac:dyDescent="0.2">
      <c r="A70" s="141">
        <v>9</v>
      </c>
      <c r="B70" s="149" t="s">
        <v>209</v>
      </c>
      <c r="C70" s="146">
        <v>7000</v>
      </c>
      <c r="D70" s="146">
        <v>32000</v>
      </c>
      <c r="E70" s="146">
        <f t="shared" si="2"/>
        <v>25000</v>
      </c>
      <c r="F70" s="150">
        <f t="shared" si="3"/>
        <v>3.5714285714285716</v>
      </c>
    </row>
    <row r="71" spans="1:7" ht="15" customHeight="1" x14ac:dyDescent="0.2">
      <c r="A71" s="141">
        <v>10</v>
      </c>
      <c r="B71" s="149" t="s">
        <v>210</v>
      </c>
      <c r="C71" s="146">
        <v>1672000</v>
      </c>
      <c r="D71" s="146">
        <v>1774000</v>
      </c>
      <c r="E71" s="146">
        <f t="shared" si="2"/>
        <v>102000</v>
      </c>
      <c r="F71" s="150">
        <f t="shared" si="3"/>
        <v>6.1004784688995214E-2</v>
      </c>
    </row>
    <row r="72" spans="1:7" ht="15" customHeight="1" x14ac:dyDescent="0.2">
      <c r="A72" s="141">
        <v>11</v>
      </c>
      <c r="B72" s="149" t="s">
        <v>211</v>
      </c>
      <c r="C72" s="146">
        <v>27000</v>
      </c>
      <c r="D72" s="146">
        <v>17000</v>
      </c>
      <c r="E72" s="146">
        <f t="shared" si="2"/>
        <v>-10000</v>
      </c>
      <c r="F72" s="150">
        <f t="shared" si="3"/>
        <v>-0.37037037037037035</v>
      </c>
    </row>
    <row r="73" spans="1:7" ht="15" customHeight="1" x14ac:dyDescent="0.2">
      <c r="A73" s="141">
        <v>12</v>
      </c>
      <c r="B73" s="149" t="s">
        <v>212</v>
      </c>
      <c r="C73" s="146">
        <v>14311000</v>
      </c>
      <c r="D73" s="146">
        <v>13830000</v>
      </c>
      <c r="E73" s="146">
        <f t="shared" si="2"/>
        <v>-481000</v>
      </c>
      <c r="F73" s="150">
        <f t="shared" si="3"/>
        <v>-3.3610509398364893E-2</v>
      </c>
    </row>
    <row r="74" spans="1:7" ht="15" customHeight="1" x14ac:dyDescent="0.2">
      <c r="A74" s="141">
        <v>13</v>
      </c>
      <c r="B74" s="149" t="s">
        <v>213</v>
      </c>
      <c r="C74" s="146">
        <v>1141000</v>
      </c>
      <c r="D74" s="146">
        <v>1250000</v>
      </c>
      <c r="E74" s="146">
        <f t="shared" si="2"/>
        <v>109000</v>
      </c>
      <c r="F74" s="150">
        <f t="shared" si="3"/>
        <v>9.5530236634531113E-2</v>
      </c>
    </row>
    <row r="75" spans="1:7" ht="15" customHeight="1" x14ac:dyDescent="0.2">
      <c r="A75" s="141">
        <v>14</v>
      </c>
      <c r="B75" s="149" t="s">
        <v>214</v>
      </c>
      <c r="C75" s="146">
        <v>622000</v>
      </c>
      <c r="D75" s="146">
        <v>533000</v>
      </c>
      <c r="E75" s="146">
        <f t="shared" si="2"/>
        <v>-89000</v>
      </c>
      <c r="F75" s="150">
        <f t="shared" si="3"/>
        <v>-0.14308681672025725</v>
      </c>
    </row>
    <row r="76" spans="1:7" ht="15" customHeight="1" x14ac:dyDescent="0.2">
      <c r="A76" s="141">
        <v>15</v>
      </c>
      <c r="B76" s="149" t="s">
        <v>215</v>
      </c>
      <c r="C76" s="146">
        <v>1335000</v>
      </c>
      <c r="D76" s="146">
        <v>1446000</v>
      </c>
      <c r="E76" s="146">
        <f t="shared" si="2"/>
        <v>111000</v>
      </c>
      <c r="F76" s="150">
        <f t="shared" si="3"/>
        <v>8.3146067415730343E-2</v>
      </c>
    </row>
    <row r="77" spans="1:7" ht="15" customHeight="1" x14ac:dyDescent="0.2">
      <c r="A77" s="141">
        <v>16</v>
      </c>
      <c r="B77" s="149" t="s">
        <v>216</v>
      </c>
      <c r="C77" s="146">
        <v>160787000</v>
      </c>
      <c r="D77" s="146">
        <v>189539000</v>
      </c>
      <c r="E77" s="146">
        <f t="shared" si="2"/>
        <v>28752000</v>
      </c>
      <c r="F77" s="150">
        <f t="shared" si="3"/>
        <v>0.17882042702457288</v>
      </c>
    </row>
    <row r="78" spans="1:7" ht="15.75" customHeight="1" x14ac:dyDescent="0.25">
      <c r="A78" s="141"/>
      <c r="B78" s="151" t="s">
        <v>217</v>
      </c>
      <c r="C78" s="147">
        <f>SUM(C62:C77)</f>
        <v>215770000</v>
      </c>
      <c r="D78" s="147">
        <f>SUM(D62:D77)</f>
        <v>243453000</v>
      </c>
      <c r="E78" s="147">
        <f t="shared" si="2"/>
        <v>27683000</v>
      </c>
      <c r="F78" s="148">
        <f t="shared" si="3"/>
        <v>0.12829865134170645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0</v>
      </c>
      <c r="D81" s="146">
        <v>0</v>
      </c>
      <c r="E81" s="146">
        <f>+D81-C81</f>
        <v>0</v>
      </c>
      <c r="F81" s="150">
        <f>IF(C81=0,0,E81/C81)</f>
        <v>0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1169696000</v>
      </c>
      <c r="D83" s="147">
        <f>+D81+D78+D59+D50+D47+D44+D41+D35+D30+D24+D18</f>
        <v>1297936000</v>
      </c>
      <c r="E83" s="147">
        <f>+D83-C83</f>
        <v>128240000</v>
      </c>
      <c r="F83" s="148">
        <f>IF(C83=0,0,E83/C83)</f>
        <v>0.10963532405000957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44323792</v>
      </c>
      <c r="D91" s="146">
        <v>53823489</v>
      </c>
      <c r="E91" s="146">
        <f t="shared" ref="E91:E109" si="4">D91-C91</f>
        <v>9499697</v>
      </c>
      <c r="F91" s="150">
        <f t="shared" ref="F91:F109" si="5">IF(C91=0,0,E91/C91)</f>
        <v>0.21432500630812454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4358516</v>
      </c>
      <c r="D92" s="146">
        <v>4755040</v>
      </c>
      <c r="E92" s="146">
        <f t="shared" si="4"/>
        <v>396524</v>
      </c>
      <c r="F92" s="150">
        <f t="shared" si="5"/>
        <v>9.0976837070232158E-2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15032585</v>
      </c>
      <c r="D93" s="146">
        <v>15583502</v>
      </c>
      <c r="E93" s="146">
        <f t="shared" si="4"/>
        <v>550917</v>
      </c>
      <c r="F93" s="150">
        <f t="shared" si="5"/>
        <v>3.6648187919775609E-2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6311576</v>
      </c>
      <c r="D94" s="146">
        <v>7883525</v>
      </c>
      <c r="E94" s="146">
        <f t="shared" si="4"/>
        <v>1571949</v>
      </c>
      <c r="F94" s="150">
        <f t="shared" si="5"/>
        <v>0.24905807994706869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0</v>
      </c>
      <c r="D95" s="146">
        <v>0</v>
      </c>
      <c r="E95" s="146">
        <f t="shared" si="4"/>
        <v>0</v>
      </c>
      <c r="F95" s="150">
        <f t="shared" si="5"/>
        <v>0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2752775</v>
      </c>
      <c r="D96" s="146">
        <v>5441796</v>
      </c>
      <c r="E96" s="146">
        <f t="shared" si="4"/>
        <v>2689021</v>
      </c>
      <c r="F96" s="150">
        <f t="shared" si="5"/>
        <v>0.97684009771957392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4200849</v>
      </c>
      <c r="D97" s="146">
        <v>4471815</v>
      </c>
      <c r="E97" s="146">
        <f t="shared" si="4"/>
        <v>270966</v>
      </c>
      <c r="F97" s="150">
        <f t="shared" si="5"/>
        <v>6.4502675530589179E-2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1006182</v>
      </c>
      <c r="D98" s="146">
        <v>914045</v>
      </c>
      <c r="E98" s="146">
        <f t="shared" si="4"/>
        <v>-92137</v>
      </c>
      <c r="F98" s="150">
        <f t="shared" si="5"/>
        <v>-9.1570908642770399E-2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1119516</v>
      </c>
      <c r="D99" s="146">
        <v>1591100</v>
      </c>
      <c r="E99" s="146">
        <f t="shared" si="4"/>
        <v>471584</v>
      </c>
      <c r="F99" s="150">
        <f t="shared" si="5"/>
        <v>0.42123917835921953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17123980</v>
      </c>
      <c r="D100" s="146">
        <v>17151966</v>
      </c>
      <c r="E100" s="146">
        <f t="shared" si="4"/>
        <v>27986</v>
      </c>
      <c r="F100" s="150">
        <f t="shared" si="5"/>
        <v>1.6343163213224962E-3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13281073</v>
      </c>
      <c r="D101" s="146">
        <v>15192209</v>
      </c>
      <c r="E101" s="146">
        <f t="shared" si="4"/>
        <v>1911136</v>
      </c>
      <c r="F101" s="150">
        <f t="shared" si="5"/>
        <v>0.14389921657685339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82543</v>
      </c>
      <c r="D102" s="146">
        <v>30134</v>
      </c>
      <c r="E102" s="146">
        <f t="shared" si="4"/>
        <v>-52409</v>
      </c>
      <c r="F102" s="150">
        <f t="shared" si="5"/>
        <v>-0.63492967301891134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15188772</v>
      </c>
      <c r="D103" s="146">
        <v>18259750</v>
      </c>
      <c r="E103" s="146">
        <f t="shared" si="4"/>
        <v>3070978</v>
      </c>
      <c r="F103" s="150">
        <f t="shared" si="5"/>
        <v>0.2021873789401803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4434286</v>
      </c>
      <c r="D104" s="146">
        <v>6199398</v>
      </c>
      <c r="E104" s="146">
        <f t="shared" si="4"/>
        <v>1765112</v>
      </c>
      <c r="F104" s="150">
        <f t="shared" si="5"/>
        <v>0.39806002589819423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9993202</v>
      </c>
      <c r="D105" s="146">
        <v>11620349</v>
      </c>
      <c r="E105" s="146">
        <f t="shared" si="4"/>
        <v>1627147</v>
      </c>
      <c r="F105" s="150">
        <f t="shared" si="5"/>
        <v>0.16282538869923774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3044547</v>
      </c>
      <c r="D106" s="146">
        <v>3411793</v>
      </c>
      <c r="E106" s="146">
        <f t="shared" si="4"/>
        <v>367246</v>
      </c>
      <c r="F106" s="150">
        <f t="shared" si="5"/>
        <v>0.12062418481304443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34102773</v>
      </c>
      <c r="D107" s="146">
        <v>31878196</v>
      </c>
      <c r="E107" s="146">
        <f t="shared" si="4"/>
        <v>-2224577</v>
      </c>
      <c r="F107" s="150">
        <f t="shared" si="5"/>
        <v>-6.5231557562782358E-2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309374718</v>
      </c>
      <c r="D108" s="146">
        <v>334520791</v>
      </c>
      <c r="E108" s="146">
        <f t="shared" si="4"/>
        <v>25146073</v>
      </c>
      <c r="F108" s="150">
        <f t="shared" si="5"/>
        <v>8.1280310047830082E-2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485731685</v>
      </c>
      <c r="D109" s="147">
        <f>SUM(D91:D108)</f>
        <v>532728898</v>
      </c>
      <c r="E109" s="147">
        <f t="shared" si="4"/>
        <v>46997213</v>
      </c>
      <c r="F109" s="148">
        <f t="shared" si="5"/>
        <v>9.6755501959893769E-2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21421107</v>
      </c>
      <c r="D112" s="146">
        <v>22719257</v>
      </c>
      <c r="E112" s="146">
        <f t="shared" ref="E112:E118" si="6">D112-C112</f>
        <v>1298150</v>
      </c>
      <c r="F112" s="150">
        <f t="shared" ref="F112:F118" si="7">IF(C112=0,0,E112/C112)</f>
        <v>6.0601443240071579E-2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43227392</v>
      </c>
      <c r="D113" s="146">
        <v>45632006</v>
      </c>
      <c r="E113" s="146">
        <f t="shared" si="6"/>
        <v>2404614</v>
      </c>
      <c r="F113" s="150">
        <f t="shared" si="7"/>
        <v>5.5627089415896294E-2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12556668</v>
      </c>
      <c r="D114" s="146">
        <v>10836632</v>
      </c>
      <c r="E114" s="146">
        <f t="shared" si="6"/>
        <v>-1720036</v>
      </c>
      <c r="F114" s="150">
        <f t="shared" si="7"/>
        <v>-0.13698188086202487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6784947</v>
      </c>
      <c r="D115" s="146">
        <v>7082376</v>
      </c>
      <c r="E115" s="146">
        <f t="shared" si="6"/>
        <v>297429</v>
      </c>
      <c r="F115" s="150">
        <f t="shared" si="7"/>
        <v>4.3836598871000762E-2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2418754</v>
      </c>
      <c r="D116" s="146">
        <v>2497298</v>
      </c>
      <c r="E116" s="146">
        <f t="shared" si="6"/>
        <v>78544</v>
      </c>
      <c r="F116" s="150">
        <f t="shared" si="7"/>
        <v>3.2472917874244341E-2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0</v>
      </c>
      <c r="D117" s="146">
        <v>0</v>
      </c>
      <c r="E117" s="146">
        <f t="shared" si="6"/>
        <v>0</v>
      </c>
      <c r="F117" s="150">
        <f t="shared" si="7"/>
        <v>0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86408868</v>
      </c>
      <c r="D118" s="147">
        <f>SUM(D112:D117)</f>
        <v>88767569</v>
      </c>
      <c r="E118" s="147">
        <f t="shared" si="6"/>
        <v>2358701</v>
      </c>
      <c r="F118" s="148">
        <f t="shared" si="7"/>
        <v>2.7296978361063588E-2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70391932</v>
      </c>
      <c r="D121" s="146">
        <v>69632265</v>
      </c>
      <c r="E121" s="146">
        <f t="shared" ref="E121:E155" si="8">D121-C121</f>
        <v>-759667</v>
      </c>
      <c r="F121" s="150">
        <f t="shared" ref="F121:F155" si="9">IF(C121=0,0,E121/C121)</f>
        <v>-1.0791961215100617E-2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5242099</v>
      </c>
      <c r="D122" s="146">
        <v>5736603</v>
      </c>
      <c r="E122" s="146">
        <f t="shared" si="8"/>
        <v>494504</v>
      </c>
      <c r="F122" s="150">
        <f t="shared" si="9"/>
        <v>9.433320507682133E-2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14898846</v>
      </c>
      <c r="D123" s="146">
        <v>20390950</v>
      </c>
      <c r="E123" s="146">
        <f t="shared" si="8"/>
        <v>5492104</v>
      </c>
      <c r="F123" s="150">
        <f t="shared" si="9"/>
        <v>0.36862613386298509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7127254</v>
      </c>
      <c r="D124" s="146">
        <v>7413522</v>
      </c>
      <c r="E124" s="146">
        <f t="shared" si="8"/>
        <v>286268</v>
      </c>
      <c r="F124" s="150">
        <f t="shared" si="9"/>
        <v>4.0165258597490705E-2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52746701</v>
      </c>
      <c r="D125" s="146">
        <v>64574357</v>
      </c>
      <c r="E125" s="146">
        <f t="shared" si="8"/>
        <v>11827656</v>
      </c>
      <c r="F125" s="150">
        <f t="shared" si="9"/>
        <v>0.22423499054471671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2950130</v>
      </c>
      <c r="D126" s="146">
        <v>2461753</v>
      </c>
      <c r="E126" s="146">
        <f t="shared" si="8"/>
        <v>-488377</v>
      </c>
      <c r="F126" s="150">
        <f t="shared" si="9"/>
        <v>-0.16554423025425999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9594919</v>
      </c>
      <c r="D127" s="146">
        <v>9513801</v>
      </c>
      <c r="E127" s="146">
        <f t="shared" si="8"/>
        <v>-81118</v>
      </c>
      <c r="F127" s="150">
        <f t="shared" si="9"/>
        <v>-8.4542662632170213E-3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5321933</v>
      </c>
      <c r="D128" s="146">
        <v>5490340</v>
      </c>
      <c r="E128" s="146">
        <f t="shared" si="8"/>
        <v>168407</v>
      </c>
      <c r="F128" s="150">
        <f t="shared" si="9"/>
        <v>3.1643953428199867E-2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3130348</v>
      </c>
      <c r="D129" s="146">
        <v>3388345</v>
      </c>
      <c r="E129" s="146">
        <f t="shared" si="8"/>
        <v>257997</v>
      </c>
      <c r="F129" s="150">
        <f t="shared" si="9"/>
        <v>8.2417993143254362E-2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42495499</v>
      </c>
      <c r="D130" s="146">
        <v>47440091</v>
      </c>
      <c r="E130" s="146">
        <f t="shared" si="8"/>
        <v>4944592</v>
      </c>
      <c r="F130" s="150">
        <f t="shared" si="9"/>
        <v>0.11635566392572541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17097960</v>
      </c>
      <c r="D131" s="146">
        <v>17381761</v>
      </c>
      <c r="E131" s="146">
        <f t="shared" si="8"/>
        <v>283801</v>
      </c>
      <c r="F131" s="150">
        <f t="shared" si="9"/>
        <v>1.6598529883097166E-2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0</v>
      </c>
      <c r="D132" s="146">
        <v>0</v>
      </c>
      <c r="E132" s="146">
        <f t="shared" si="8"/>
        <v>0</v>
      </c>
      <c r="F132" s="150">
        <f t="shared" si="9"/>
        <v>0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266137</v>
      </c>
      <c r="D133" s="146">
        <v>172847</v>
      </c>
      <c r="E133" s="146">
        <f t="shared" si="8"/>
        <v>-93290</v>
      </c>
      <c r="F133" s="150">
        <f t="shared" si="9"/>
        <v>-0.35053374765628231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1134065</v>
      </c>
      <c r="D134" s="146">
        <v>273515</v>
      </c>
      <c r="E134" s="146">
        <f t="shared" si="8"/>
        <v>-860550</v>
      </c>
      <c r="F134" s="150">
        <f t="shared" si="9"/>
        <v>-0.75881893894970742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10323544</v>
      </c>
      <c r="D138" s="146">
        <v>10676700</v>
      </c>
      <c r="E138" s="146">
        <f t="shared" si="8"/>
        <v>353156</v>
      </c>
      <c r="F138" s="150">
        <f t="shared" si="9"/>
        <v>3.4208794964209963E-2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0</v>
      </c>
      <c r="D140" s="146">
        <v>0</v>
      </c>
      <c r="E140" s="146">
        <f t="shared" si="8"/>
        <v>0</v>
      </c>
      <c r="F140" s="150">
        <f t="shared" si="9"/>
        <v>0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5269079</v>
      </c>
      <c r="D142" s="146">
        <v>5658512</v>
      </c>
      <c r="E142" s="146">
        <f t="shared" si="8"/>
        <v>389433</v>
      </c>
      <c r="F142" s="150">
        <f t="shared" si="9"/>
        <v>7.3909121499222158E-2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2342452</v>
      </c>
      <c r="D143" s="146">
        <v>3018253</v>
      </c>
      <c r="E143" s="146">
        <f t="shared" si="8"/>
        <v>675801</v>
      </c>
      <c r="F143" s="150">
        <f t="shared" si="9"/>
        <v>0.28850153599732248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37328467</v>
      </c>
      <c r="D144" s="146">
        <v>38708830</v>
      </c>
      <c r="E144" s="146">
        <f t="shared" si="8"/>
        <v>1380363</v>
      </c>
      <c r="F144" s="150">
        <f t="shared" si="9"/>
        <v>3.6978829052904852E-2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3697703</v>
      </c>
      <c r="D145" s="146">
        <v>4246746</v>
      </c>
      <c r="E145" s="146">
        <f t="shared" si="8"/>
        <v>549043</v>
      </c>
      <c r="F145" s="150">
        <f t="shared" si="9"/>
        <v>0.14848217934214836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2150241</v>
      </c>
      <c r="D148" s="146">
        <v>2398882</v>
      </c>
      <c r="E148" s="146">
        <f t="shared" si="8"/>
        <v>248641</v>
      </c>
      <c r="F148" s="150">
        <f t="shared" si="9"/>
        <v>0.11563401497785597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94829</v>
      </c>
      <c r="D150" s="146">
        <v>97504</v>
      </c>
      <c r="E150" s="146">
        <f t="shared" si="8"/>
        <v>2675</v>
      </c>
      <c r="F150" s="150">
        <f t="shared" si="9"/>
        <v>2.8208670343460335E-2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2824708</v>
      </c>
      <c r="D151" s="146">
        <v>2843389</v>
      </c>
      <c r="E151" s="146">
        <f t="shared" si="8"/>
        <v>18681</v>
      </c>
      <c r="F151" s="150">
        <f t="shared" si="9"/>
        <v>6.6134269453692208E-3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3818623</v>
      </c>
      <c r="D152" s="146">
        <v>4015412</v>
      </c>
      <c r="E152" s="146">
        <f t="shared" si="8"/>
        <v>196789</v>
      </c>
      <c r="F152" s="150">
        <f t="shared" si="9"/>
        <v>5.1534021556985332E-2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1177678</v>
      </c>
      <c r="D153" s="146">
        <v>1928640</v>
      </c>
      <c r="E153" s="146">
        <f t="shared" si="8"/>
        <v>750962</v>
      </c>
      <c r="F153" s="150">
        <f t="shared" si="9"/>
        <v>0.63766326618990932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4375210</v>
      </c>
      <c r="D154" s="146">
        <v>3723168</v>
      </c>
      <c r="E154" s="146">
        <f t="shared" si="8"/>
        <v>-652042</v>
      </c>
      <c r="F154" s="150">
        <f t="shared" si="9"/>
        <v>-0.14903101793971033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305800357</v>
      </c>
      <c r="D155" s="147">
        <f>SUM(D121:D154)</f>
        <v>331186186</v>
      </c>
      <c r="E155" s="147">
        <f t="shared" si="8"/>
        <v>25385829</v>
      </c>
      <c r="F155" s="148">
        <f t="shared" si="9"/>
        <v>8.3014386408973351E-2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97354195</v>
      </c>
      <c r="D158" s="146">
        <v>109939065</v>
      </c>
      <c r="E158" s="146">
        <f t="shared" ref="E158:E171" si="10">D158-C158</f>
        <v>12584870</v>
      </c>
      <c r="F158" s="150">
        <f t="shared" ref="F158:F171" si="11">IF(C158=0,0,E158/C158)</f>
        <v>0.12926890310171021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32727875</v>
      </c>
      <c r="D159" s="146">
        <v>38952388</v>
      </c>
      <c r="E159" s="146">
        <f t="shared" si="10"/>
        <v>6224513</v>
      </c>
      <c r="F159" s="150">
        <f t="shared" si="11"/>
        <v>0.19018995275434167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5254368</v>
      </c>
      <c r="D160" s="146">
        <v>5189086</v>
      </c>
      <c r="E160" s="146">
        <f t="shared" si="10"/>
        <v>-65282</v>
      </c>
      <c r="F160" s="150">
        <f t="shared" si="11"/>
        <v>-1.242432962441915E-2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11659799</v>
      </c>
      <c r="D161" s="146">
        <v>12654635</v>
      </c>
      <c r="E161" s="146">
        <f t="shared" si="10"/>
        <v>994836</v>
      </c>
      <c r="F161" s="150">
        <f t="shared" si="11"/>
        <v>8.5321882478420083E-2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11723551</v>
      </c>
      <c r="D162" s="146">
        <v>12011131</v>
      </c>
      <c r="E162" s="146">
        <f t="shared" si="10"/>
        <v>287580</v>
      </c>
      <c r="F162" s="150">
        <f t="shared" si="11"/>
        <v>2.4530110373554907E-2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5232899</v>
      </c>
      <c r="D163" s="146">
        <v>5571054</v>
      </c>
      <c r="E163" s="146">
        <f t="shared" si="10"/>
        <v>338155</v>
      </c>
      <c r="F163" s="150">
        <f t="shared" si="11"/>
        <v>6.4620968224305492E-2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3242924</v>
      </c>
      <c r="D164" s="146">
        <v>3218869</v>
      </c>
      <c r="E164" s="146">
        <f t="shared" si="10"/>
        <v>-24055</v>
      </c>
      <c r="F164" s="150">
        <f t="shared" si="11"/>
        <v>-7.41768848113616E-3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16104080</v>
      </c>
      <c r="D165" s="146">
        <v>16384316</v>
      </c>
      <c r="E165" s="146">
        <f t="shared" si="10"/>
        <v>280236</v>
      </c>
      <c r="F165" s="150">
        <f t="shared" si="11"/>
        <v>1.7401552898395935E-2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17239895</v>
      </c>
      <c r="D167" s="146">
        <v>17295367</v>
      </c>
      <c r="E167" s="146">
        <f t="shared" si="10"/>
        <v>55472</v>
      </c>
      <c r="F167" s="150">
        <f t="shared" si="11"/>
        <v>3.2176530077474368E-3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64053356</v>
      </c>
      <c r="D169" s="146">
        <v>80483359</v>
      </c>
      <c r="E169" s="146">
        <f t="shared" si="10"/>
        <v>16430003</v>
      </c>
      <c r="F169" s="150">
        <f t="shared" si="11"/>
        <v>0.25650495190291045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264592942</v>
      </c>
      <c r="D171" s="147">
        <f>SUM(D158:D170)</f>
        <v>301699270</v>
      </c>
      <c r="E171" s="147">
        <f t="shared" si="10"/>
        <v>37106328</v>
      </c>
      <c r="F171" s="148">
        <f t="shared" si="11"/>
        <v>0.14023929633013416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27162148</v>
      </c>
      <c r="D174" s="146">
        <v>43554077</v>
      </c>
      <c r="E174" s="146">
        <f>D174-C174</f>
        <v>16391929</v>
      </c>
      <c r="F174" s="150">
        <f>IF(C174=0,0,E174/C174)</f>
        <v>0.6034842678863247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1169696000</v>
      </c>
      <c r="D176" s="147">
        <f>+D174+D171+D155+D118+D109</f>
        <v>1297936000</v>
      </c>
      <c r="E176" s="147">
        <f>D176-C176</f>
        <v>128240000</v>
      </c>
      <c r="F176" s="148">
        <f>IF(C176=0,0,E176/C176)</f>
        <v>0.10963532405000957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FILING&amp;RYALE-NEW HAVEN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>
      <selection activeCell="B3" sqref="B3"/>
    </sheetView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1049416000</v>
      </c>
      <c r="D11" s="164">
        <v>1196644000</v>
      </c>
      <c r="E11" s="51">
        <v>1318578000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57588000</v>
      </c>
      <c r="D12" s="49">
        <v>40468000</v>
      </c>
      <c r="E12" s="49">
        <v>48425000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1107004000</v>
      </c>
      <c r="D13" s="51">
        <f>+D11+D12</f>
        <v>1237112000</v>
      </c>
      <c r="E13" s="51">
        <f>+E11+E12</f>
        <v>1367003000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1057913000</v>
      </c>
      <c r="D14" s="49">
        <v>1169696000</v>
      </c>
      <c r="E14" s="49">
        <v>1297936000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49091000</v>
      </c>
      <c r="D15" s="51">
        <f>+D13-D14</f>
        <v>67416000</v>
      </c>
      <c r="E15" s="51">
        <f>+E13-E14</f>
        <v>69067000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-48401000</v>
      </c>
      <c r="D16" s="49">
        <v>-14515000</v>
      </c>
      <c r="E16" s="49">
        <v>15633000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690000</v>
      </c>
      <c r="D17" s="51">
        <f>D15+D16</f>
        <v>52901000</v>
      </c>
      <c r="E17" s="51">
        <f>E15+E16</f>
        <v>84700000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4.6373380766916397E-2</v>
      </c>
      <c r="D20" s="169">
        <f>IF(+D27=0,0,+D24/+D27)</f>
        <v>5.5141637023483618E-2</v>
      </c>
      <c r="E20" s="169">
        <f>IF(+E27=0,0,+E24/+E27)</f>
        <v>4.9953133001021235E-2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-4.5721578344289596E-2</v>
      </c>
      <c r="D21" s="169">
        <f>IF(D27=0,0,+D26/D27)</f>
        <v>-1.1872268621630841E-2</v>
      </c>
      <c r="E21" s="169">
        <f>IF(E27=0,0,+E26/E27)</f>
        <v>1.1306663503626406E-2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6.5180242262680155E-4</v>
      </c>
      <c r="D22" s="169">
        <f>IF(D27=0,0,+D28/D27)</f>
        <v>4.3269368401852776E-2</v>
      </c>
      <c r="E22" s="169">
        <f>IF(E27=0,0,+E28/E27)</f>
        <v>6.1259796504647641E-2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49091000</v>
      </c>
      <c r="D24" s="51">
        <f>+D15</f>
        <v>67416000</v>
      </c>
      <c r="E24" s="51">
        <f>+E15</f>
        <v>69067000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1107004000</v>
      </c>
      <c r="D25" s="51">
        <f>+D13</f>
        <v>1237112000</v>
      </c>
      <c r="E25" s="51">
        <f>+E13</f>
        <v>1367003000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-48401000</v>
      </c>
      <c r="D26" s="51">
        <f>+D16</f>
        <v>-14515000</v>
      </c>
      <c r="E26" s="51">
        <f>+E16</f>
        <v>15633000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1058603000</v>
      </c>
      <c r="D27" s="51">
        <f>+D25+D26</f>
        <v>1222597000</v>
      </c>
      <c r="E27" s="51">
        <f>+E25+E26</f>
        <v>1382636000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690000</v>
      </c>
      <c r="D28" s="51">
        <f>+D17</f>
        <v>52901000</v>
      </c>
      <c r="E28" s="51">
        <f>+E17</f>
        <v>84700000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513076000</v>
      </c>
      <c r="D31" s="51">
        <v>514304000</v>
      </c>
      <c r="E31" s="51">
        <v>567531000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620423000</v>
      </c>
      <c r="D32" s="51">
        <v>587531000</v>
      </c>
      <c r="E32" s="51">
        <v>642312000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-30359000</v>
      </c>
      <c r="D33" s="51">
        <f>+D32-C32</f>
        <v>-32892000</v>
      </c>
      <c r="E33" s="51">
        <f>+E32-D32</f>
        <v>54781000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0.95330000000000004</v>
      </c>
      <c r="D34" s="171">
        <f>IF(C32=0,0,+D33/C32)</f>
        <v>-5.3015442689906725E-2</v>
      </c>
      <c r="E34" s="171">
        <f>IF(D32=0,0,+E33/D32)</f>
        <v>9.3239335456341874E-2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0.33159828673900993</v>
      </c>
      <c r="D38" s="172">
        <f>IF((D40+D41)=0,0,+D39/(D40+D41))</f>
        <v>0.3315523957836814</v>
      </c>
      <c r="E38" s="172">
        <f>IF((E40+E41)=0,0,+E39/(E40+E41))</f>
        <v>0.33166033516054122</v>
      </c>
      <c r="F38" s="5"/>
    </row>
    <row r="39" spans="1:6" ht="24" customHeight="1" x14ac:dyDescent="0.2">
      <c r="A39" s="21">
        <v>2</v>
      </c>
      <c r="B39" s="48" t="s">
        <v>324</v>
      </c>
      <c r="C39" s="51">
        <v>995620658</v>
      </c>
      <c r="D39" s="51">
        <v>1169696000</v>
      </c>
      <c r="E39" s="23">
        <v>1297936000</v>
      </c>
      <c r="F39" s="5"/>
    </row>
    <row r="40" spans="1:6" ht="24" customHeight="1" x14ac:dyDescent="0.2">
      <c r="A40" s="21">
        <v>3</v>
      </c>
      <c r="B40" s="48" t="s">
        <v>325</v>
      </c>
      <c r="C40" s="51">
        <v>2991749000</v>
      </c>
      <c r="D40" s="51">
        <v>3516547690</v>
      </c>
      <c r="E40" s="23">
        <v>3902060165</v>
      </c>
      <c r="F40" s="5"/>
    </row>
    <row r="41" spans="1:6" ht="24" customHeight="1" x14ac:dyDescent="0.2">
      <c r="A41" s="21">
        <v>4</v>
      </c>
      <c r="B41" s="48" t="s">
        <v>326</v>
      </c>
      <c r="C41" s="51">
        <v>10741356</v>
      </c>
      <c r="D41" s="51">
        <v>11389417</v>
      </c>
      <c r="E41" s="23">
        <v>11389417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1.2401386746696523</v>
      </c>
      <c r="D43" s="173">
        <f>IF(D38=0,0,IF((D46-D47)=0,0,((+D44-D45)/(D46-D47)/D38)))</f>
        <v>1.2376456132401215</v>
      </c>
      <c r="E43" s="173">
        <f>IF(E38=0,0,IF((E46-E47)=0,0,((+E44-E45)/(E46-E47)/E38)))</f>
        <v>1.2657541593256949</v>
      </c>
      <c r="F43" s="5"/>
    </row>
    <row r="44" spans="1:6" ht="24" customHeight="1" x14ac:dyDescent="0.2">
      <c r="A44" s="21">
        <v>6</v>
      </c>
      <c r="B44" s="48" t="s">
        <v>328</v>
      </c>
      <c r="C44" s="51">
        <v>539803207</v>
      </c>
      <c r="D44" s="51">
        <v>629812305</v>
      </c>
      <c r="E44" s="23">
        <v>686420715</v>
      </c>
      <c r="F44" s="5"/>
    </row>
    <row r="45" spans="1:6" ht="24" customHeight="1" x14ac:dyDescent="0.2">
      <c r="A45" s="21">
        <v>7</v>
      </c>
      <c r="B45" s="48" t="s">
        <v>329</v>
      </c>
      <c r="C45" s="51">
        <v>16131942</v>
      </c>
      <c r="D45" s="51">
        <v>18923994</v>
      </c>
      <c r="E45" s="23">
        <v>20122958</v>
      </c>
      <c r="F45" s="5"/>
    </row>
    <row r="46" spans="1:6" ht="24" customHeight="1" x14ac:dyDescent="0.2">
      <c r="A46" s="21">
        <v>8</v>
      </c>
      <c r="B46" s="48" t="s">
        <v>330</v>
      </c>
      <c r="C46" s="51">
        <v>1375310763</v>
      </c>
      <c r="D46" s="51">
        <v>1598088351</v>
      </c>
      <c r="E46" s="23">
        <v>1692463167</v>
      </c>
      <c r="F46" s="5"/>
    </row>
    <row r="47" spans="1:6" ht="24" customHeight="1" x14ac:dyDescent="0.2">
      <c r="A47" s="21">
        <v>9</v>
      </c>
      <c r="B47" s="48" t="s">
        <v>331</v>
      </c>
      <c r="C47" s="51">
        <v>101877428</v>
      </c>
      <c r="D47" s="51">
        <v>109367271</v>
      </c>
      <c r="E47" s="174">
        <v>105285833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1.0751689312476385</v>
      </c>
      <c r="D49" s="175">
        <f>IF(D38=0,0,IF(D51=0,0,(D50/D51)/D38))</f>
        <v>0.96813686974527469</v>
      </c>
      <c r="E49" s="175">
        <f>IF(E38=0,0,IF(E51=0,0,(E50/E51)/E38))</f>
        <v>0.95310536988794392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342338966</v>
      </c>
      <c r="D50" s="176">
        <v>364716072</v>
      </c>
      <c r="E50" s="176">
        <v>396592611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960212489</v>
      </c>
      <c r="D51" s="176">
        <v>1136229267</v>
      </c>
      <c r="E51" s="176">
        <v>1254614108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0.69562542452130227</v>
      </c>
      <c r="D53" s="175">
        <f>IF(D38=0,0,IF(D55=0,0,(D54/D55)/D38))</f>
        <v>0.63334033900438225</v>
      </c>
      <c r="E53" s="175">
        <f>IF(E38=0,0,IF(E55=0,0,(E54/E55)/E38))</f>
        <v>0.60401175011244046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120648054</v>
      </c>
      <c r="D54" s="176">
        <v>130684650</v>
      </c>
      <c r="E54" s="176">
        <v>151134790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523037222</v>
      </c>
      <c r="D55" s="176">
        <v>622350809</v>
      </c>
      <c r="E55" s="176">
        <v>754441421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28433056.253203761</v>
      </c>
      <c r="D57" s="53">
        <f>+D60*D38</f>
        <v>32346107.507363793</v>
      </c>
      <c r="E57" s="53">
        <f>+E60*E38</f>
        <v>29587927.598286353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21323315</v>
      </c>
      <c r="D58" s="51">
        <v>27032315</v>
      </c>
      <c r="E58" s="52">
        <v>28159845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64422171</v>
      </c>
      <c r="D59" s="51">
        <v>70527250</v>
      </c>
      <c r="E59" s="52">
        <v>61051690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85745486</v>
      </c>
      <c r="D60" s="51">
        <v>97559565</v>
      </c>
      <c r="E60" s="52">
        <v>89211535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2.8558122036479242E-2</v>
      </c>
      <c r="D62" s="178">
        <f>IF(D63=0,0,+D57/D63)</f>
        <v>2.7653430897740774E-2</v>
      </c>
      <c r="E62" s="178">
        <f>IF(E63=0,0,+E57/E63)</f>
        <v>2.2796137558621036E-2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995620658</v>
      </c>
      <c r="D63" s="176">
        <v>1169696000</v>
      </c>
      <c r="E63" s="176">
        <v>1297936000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3.6243438124050846</v>
      </c>
      <c r="D67" s="179">
        <f>IF(D69=0,0,D68/D69)</f>
        <v>3.3329203832177074</v>
      </c>
      <c r="E67" s="179">
        <f>IF(E69=0,0,E68/E69)</f>
        <v>2.7212623932462945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606186000</v>
      </c>
      <c r="D68" s="180">
        <v>686035000</v>
      </c>
      <c r="E68" s="180">
        <v>609873000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167254000</v>
      </c>
      <c r="D69" s="180">
        <v>205836000</v>
      </c>
      <c r="E69" s="180">
        <v>224114000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157.7580903840288</v>
      </c>
      <c r="D71" s="181">
        <f>IF((D77/365)=0,0,+D74/(D77/365))</f>
        <v>164.72730564880183</v>
      </c>
      <c r="E71" s="181">
        <f>IF((E77/365)=0,0,+E74/(E77/365))</f>
        <v>119.90289069194945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17908000</v>
      </c>
      <c r="D72" s="182">
        <v>51804000</v>
      </c>
      <c r="E72" s="182">
        <v>66556000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421364000</v>
      </c>
      <c r="D73" s="184">
        <v>456660000</v>
      </c>
      <c r="E73" s="184">
        <v>342847000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439272000</v>
      </c>
      <c r="D74" s="180">
        <f>+D72+D73</f>
        <v>508464000</v>
      </c>
      <c r="E74" s="180">
        <f>+E72+E73</f>
        <v>409403000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1057913000</v>
      </c>
      <c r="D75" s="180">
        <f>+D14</f>
        <v>1169696000</v>
      </c>
      <c r="E75" s="180">
        <f>+E14</f>
        <v>1297936000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41583000</v>
      </c>
      <c r="D76" s="180">
        <v>43050000</v>
      </c>
      <c r="E76" s="180">
        <v>51660000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1016330000</v>
      </c>
      <c r="D77" s="180">
        <f>+D75-D76</f>
        <v>1126646000</v>
      </c>
      <c r="E77" s="180">
        <f>+E75-E76</f>
        <v>1246276000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41.945491587702115</v>
      </c>
      <c r="D79" s="179">
        <f>IF((D84/365)=0,0,+D83/(D84/365))</f>
        <v>37.716601595796249</v>
      </c>
      <c r="E79" s="179">
        <f>IF((E84/365)=0,0,+E83/(E84/365))</f>
        <v>37.492984867030998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120598000</v>
      </c>
      <c r="D80" s="189">
        <v>123653000</v>
      </c>
      <c r="E80" s="189">
        <v>135445000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0</v>
      </c>
      <c r="D82" s="190">
        <v>0</v>
      </c>
      <c r="E82" s="190">
        <v>0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120598000</v>
      </c>
      <c r="D83" s="191">
        <f>+D80+D81-D82</f>
        <v>123653000</v>
      </c>
      <c r="E83" s="191">
        <f>+E80+E81-E82</f>
        <v>135445000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1049416000</v>
      </c>
      <c r="D84" s="191">
        <f>+D11</f>
        <v>1196644000</v>
      </c>
      <c r="E84" s="191">
        <f>+E11</f>
        <v>1318578000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60.066818848208754</v>
      </c>
      <c r="D86" s="179">
        <f>IF((D90/365)=0,0,+D87/(D90/365))</f>
        <v>66.684779424948033</v>
      </c>
      <c r="E86" s="179">
        <f>IF((E90/365)=0,0,+E87/(E90/365))</f>
        <v>65.636833253629206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167254000</v>
      </c>
      <c r="D87" s="51">
        <f>+D69</f>
        <v>205836000</v>
      </c>
      <c r="E87" s="51">
        <f>+E69</f>
        <v>224114000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1057913000</v>
      </c>
      <c r="D88" s="51">
        <f t="shared" si="0"/>
        <v>1169696000</v>
      </c>
      <c r="E88" s="51">
        <f t="shared" si="0"/>
        <v>1297936000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41583000</v>
      </c>
      <c r="D89" s="52">
        <f t="shared" si="0"/>
        <v>43050000</v>
      </c>
      <c r="E89" s="52">
        <f t="shared" si="0"/>
        <v>51660000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1016330000</v>
      </c>
      <c r="D90" s="51">
        <f>+D88-D89</f>
        <v>1126646000</v>
      </c>
      <c r="E90" s="51">
        <f>+E88-E89</f>
        <v>1246276000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42.829766274397187</v>
      </c>
      <c r="D94" s="192">
        <f>IF(D96=0,0,(D95/D96)*100)</f>
        <v>37.410680742952835</v>
      </c>
      <c r="E94" s="192">
        <f>IF(E96=0,0,(E95/E96)*100)</f>
        <v>36.388130541608199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620423000</v>
      </c>
      <c r="D95" s="51">
        <f>+D32</f>
        <v>587531000</v>
      </c>
      <c r="E95" s="51">
        <f>+E32</f>
        <v>642312000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1448579000</v>
      </c>
      <c r="D96" s="51">
        <v>1570490000</v>
      </c>
      <c r="E96" s="51">
        <v>1765169000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7.5213106470501359</v>
      </c>
      <c r="D98" s="192">
        <f>IF(D104=0,0,(D101/D104)*100)</f>
        <v>16.131586645640063</v>
      </c>
      <c r="E98" s="192">
        <f>IF(E104=0,0,(E101/E104)*100)</f>
        <v>19.159085320875338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690000</v>
      </c>
      <c r="D99" s="51">
        <f>+D28</f>
        <v>52901000</v>
      </c>
      <c r="E99" s="51">
        <f>+E28</f>
        <v>84700000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41583000</v>
      </c>
      <c r="D100" s="52">
        <f>+D76</f>
        <v>43050000</v>
      </c>
      <c r="E100" s="52">
        <f>+E76</f>
        <v>51660000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42273000</v>
      </c>
      <c r="D101" s="51">
        <f>+D99+D100</f>
        <v>95951000</v>
      </c>
      <c r="E101" s="51">
        <f>+E99+E100</f>
        <v>136360000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167254000</v>
      </c>
      <c r="D102" s="180">
        <f>+D69</f>
        <v>205836000</v>
      </c>
      <c r="E102" s="180">
        <f>+E69</f>
        <v>224114000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394789000</v>
      </c>
      <c r="D103" s="194">
        <v>388966000</v>
      </c>
      <c r="E103" s="194">
        <v>487611000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562043000</v>
      </c>
      <c r="D104" s="180">
        <f>+D102+D103</f>
        <v>594802000</v>
      </c>
      <c r="E104" s="180">
        <f>+E102+E103</f>
        <v>711725000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38.88734569725338</v>
      </c>
      <c r="D106" s="197">
        <f>IF(D109=0,0,(D107/D109)*100)</f>
        <v>39.832790064895235</v>
      </c>
      <c r="E106" s="197">
        <f>IF(E109=0,0,(E107/E109)*100)</f>
        <v>43.154356535799344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394789000</v>
      </c>
      <c r="D107" s="180">
        <f>+D103</f>
        <v>388966000</v>
      </c>
      <c r="E107" s="180">
        <f>+E103</f>
        <v>487611000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620423000</v>
      </c>
      <c r="D108" s="180">
        <f>+D32</f>
        <v>587531000</v>
      </c>
      <c r="E108" s="180">
        <f>+E32</f>
        <v>642312000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1015212000</v>
      </c>
      <c r="D109" s="180">
        <f>+D107+D108</f>
        <v>976497000</v>
      </c>
      <c r="E109" s="180">
        <f>+E107+E108</f>
        <v>1129923000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11.142274472168905</v>
      </c>
      <c r="D111" s="197">
        <f>IF((+D113+D115)=0,0,((+D112+D113+D114)/(+D113+D115)))</f>
        <v>23.499638467100507</v>
      </c>
      <c r="E111" s="197">
        <f>IF((+E113+E115)=0,0,((+E112+E113+E114)/(+E113+E115)))</f>
        <v>6.3584106753346736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690000</v>
      </c>
      <c r="D112" s="180">
        <f>+D17</f>
        <v>52901000</v>
      </c>
      <c r="E112" s="180">
        <f>+E17</f>
        <v>84700000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4168000</v>
      </c>
      <c r="D113" s="180">
        <v>1549000</v>
      </c>
      <c r="E113" s="180">
        <v>12306000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41583000</v>
      </c>
      <c r="D114" s="180">
        <v>43050000</v>
      </c>
      <c r="E114" s="180">
        <v>51660000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2600000</v>
      </c>
      <c r="E115" s="180">
        <v>11075000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12.990597119014982</v>
      </c>
      <c r="D119" s="197">
        <f>IF(+D121=0,0,(+D120)/(+D121))</f>
        <v>12.863368176538907</v>
      </c>
      <c r="E119" s="197">
        <f>IF(+E121=0,0,(+E120)/(+E121))</f>
        <v>10.169725125822687</v>
      </c>
    </row>
    <row r="120" spans="1:8" ht="24" customHeight="1" x14ac:dyDescent="0.25">
      <c r="A120" s="17">
        <v>21</v>
      </c>
      <c r="B120" s="48" t="s">
        <v>369</v>
      </c>
      <c r="C120" s="180">
        <v>540188000</v>
      </c>
      <c r="D120" s="180">
        <v>553768000</v>
      </c>
      <c r="E120" s="180">
        <v>525368000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41583000</v>
      </c>
      <c r="D121" s="180">
        <v>43050000</v>
      </c>
      <c r="E121" s="180">
        <v>51660000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272757</v>
      </c>
      <c r="D124" s="198">
        <v>279599</v>
      </c>
      <c r="E124" s="198">
        <v>284705</v>
      </c>
    </row>
    <row r="125" spans="1:8" ht="24" customHeight="1" x14ac:dyDescent="0.2">
      <c r="A125" s="44">
        <v>2</v>
      </c>
      <c r="B125" s="48" t="s">
        <v>373</v>
      </c>
      <c r="C125" s="198">
        <v>52124</v>
      </c>
      <c r="D125" s="198">
        <v>54408</v>
      </c>
      <c r="E125" s="198">
        <v>56602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5.2328485918195069</v>
      </c>
      <c r="D126" s="199">
        <f>IF(D125=0,0,D124/D125)</f>
        <v>5.1389317747390093</v>
      </c>
      <c r="E126" s="199">
        <f>IF(E125=0,0,E124/E125)</f>
        <v>5.0299459383060672</v>
      </c>
    </row>
    <row r="127" spans="1:8" ht="24" customHeight="1" x14ac:dyDescent="0.2">
      <c r="A127" s="44">
        <v>4</v>
      </c>
      <c r="B127" s="48" t="s">
        <v>375</v>
      </c>
      <c r="C127" s="198">
        <v>752</v>
      </c>
      <c r="D127" s="198">
        <v>851</v>
      </c>
      <c r="E127" s="198">
        <v>871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895</v>
      </c>
      <c r="E128" s="198">
        <v>919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944</v>
      </c>
      <c r="D129" s="198">
        <v>944</v>
      </c>
      <c r="E129" s="198">
        <v>944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0.99370000000000003</v>
      </c>
      <c r="D130" s="171">
        <v>0.90010000000000001</v>
      </c>
      <c r="E130" s="171">
        <v>0.89549999999999996</v>
      </c>
    </row>
    <row r="131" spans="1:8" ht="24" customHeight="1" x14ac:dyDescent="0.2">
      <c r="A131" s="44">
        <v>7</v>
      </c>
      <c r="B131" s="48" t="s">
        <v>379</v>
      </c>
      <c r="C131" s="171">
        <v>0.88219999999999998</v>
      </c>
      <c r="D131" s="171">
        <v>0.85580000000000001</v>
      </c>
      <c r="E131" s="171">
        <v>0.84870000000000001</v>
      </c>
    </row>
    <row r="132" spans="1:8" ht="24" customHeight="1" x14ac:dyDescent="0.2">
      <c r="A132" s="44">
        <v>8</v>
      </c>
      <c r="B132" s="48" t="s">
        <v>380</v>
      </c>
      <c r="C132" s="199">
        <v>6343.9</v>
      </c>
      <c r="D132" s="199">
        <v>6648</v>
      </c>
      <c r="E132" s="199">
        <v>7078.8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0.42564845346317487</v>
      </c>
      <c r="D135" s="203">
        <f>IF(D149=0,0,D143/D149)</f>
        <v>0.42334733131402519</v>
      </c>
      <c r="E135" s="203">
        <f>IF(E149=0,0,E143/E149)</f>
        <v>0.40675368059067329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0.32095355893826655</v>
      </c>
      <c r="D136" s="203">
        <f>IF(D149=0,0,D144/D149)</f>
        <v>0.32310930127041732</v>
      </c>
      <c r="E136" s="203">
        <f>IF(E149=0,0,E144/E149)</f>
        <v>0.32152607980097608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0.17482657201523255</v>
      </c>
      <c r="D137" s="203">
        <f>IF(D149=0,0,D145/D149)</f>
        <v>0.1769777815810028</v>
      </c>
      <c r="E137" s="203">
        <f>IF(E149=0,0,E145/E149)</f>
        <v>0.19334438452975519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3.9016516759928725E-2</v>
      </c>
      <c r="D138" s="203">
        <f>IF(D149=0,0,D146/D149)</f>
        <v>4.032144378511187E-2</v>
      </c>
      <c r="E138" s="203">
        <f>IF(E149=0,0,E146/E149)</f>
        <v>4.5482125722169635E-2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3.4052799215442207E-2</v>
      </c>
      <c r="D139" s="203">
        <f>IF(D149=0,0,D147/D149)</f>
        <v>3.1100750122345134E-2</v>
      </c>
      <c r="E139" s="203">
        <f>IF(E149=0,0,E147/E149)</f>
        <v>2.6982114203254474E-2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5.5020996079550794E-3</v>
      </c>
      <c r="D140" s="203">
        <f>IF(D149=0,0,D148/D149)</f>
        <v>5.1433919270976814E-3</v>
      </c>
      <c r="E140" s="203">
        <f>IF(E149=0,0,E148/E149)</f>
        <v>5.9116151531712737E-3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</v>
      </c>
      <c r="D141" s="203">
        <f>SUM(D135:D140)</f>
        <v>1</v>
      </c>
      <c r="E141" s="203">
        <f>SUM(E135:E140)</f>
        <v>0.99999999999999989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1273433335</v>
      </c>
      <c r="D143" s="205">
        <f>+D46-D147</f>
        <v>1488721080</v>
      </c>
      <c r="E143" s="205">
        <f>+E46-E147</f>
        <v>1587177334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960212489</v>
      </c>
      <c r="D144" s="205">
        <f>+D51</f>
        <v>1136229267</v>
      </c>
      <c r="E144" s="205">
        <f>+E51</f>
        <v>1254614108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523037222</v>
      </c>
      <c r="D145" s="205">
        <f>+D55</f>
        <v>622350809</v>
      </c>
      <c r="E145" s="205">
        <f>+E55</f>
        <v>754441421</v>
      </c>
    </row>
    <row r="146" spans="1:7" ht="20.100000000000001" customHeight="1" x14ac:dyDescent="0.2">
      <c r="A146" s="202">
        <v>11</v>
      </c>
      <c r="B146" s="201" t="s">
        <v>392</v>
      </c>
      <c r="C146" s="204">
        <v>116727625</v>
      </c>
      <c r="D146" s="205">
        <v>141792280</v>
      </c>
      <c r="E146" s="205">
        <v>177473991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101877428</v>
      </c>
      <c r="D147" s="205">
        <f>+D47</f>
        <v>109367271</v>
      </c>
      <c r="E147" s="205">
        <f>+E47</f>
        <v>105285833</v>
      </c>
    </row>
    <row r="148" spans="1:7" ht="20.100000000000001" customHeight="1" x14ac:dyDescent="0.2">
      <c r="A148" s="202">
        <v>13</v>
      </c>
      <c r="B148" s="201" t="s">
        <v>394</v>
      </c>
      <c r="C148" s="206">
        <v>16460901</v>
      </c>
      <c r="D148" s="205">
        <v>18086983</v>
      </c>
      <c r="E148" s="205">
        <v>23067478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2991749000</v>
      </c>
      <c r="D149" s="205">
        <f>SUM(D143:D148)</f>
        <v>3516547690</v>
      </c>
      <c r="E149" s="205">
        <f>SUM(E143:E148)</f>
        <v>3902060165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0.51343554540628</v>
      </c>
      <c r="D152" s="203">
        <f>IF(D166=0,0,D160/D166)</f>
        <v>0.53085897008526739</v>
      </c>
      <c r="E152" s="203">
        <f>IF(E166=0,0,E160/E166)</f>
        <v>0.5246933267821231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0.33564758173628634</v>
      </c>
      <c r="D153" s="203">
        <f>IF(D166=0,0,D161/D166)</f>
        <v>0.31693649210365105</v>
      </c>
      <c r="E153" s="203">
        <f>IF(E166=0,0,E161/E166)</f>
        <v>0.31230706430668415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0.11828985767950495</v>
      </c>
      <c r="D154" s="203">
        <f>IF(D166=0,0,D162/D166)</f>
        <v>0.11356432502594348</v>
      </c>
      <c r="E154" s="203">
        <f>IF(E166=0,0,E162/E166)</f>
        <v>0.1190149823026007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1.2647308495543814E-2</v>
      </c>
      <c r="D155" s="203">
        <f>IF(D166=0,0,D163/D166)</f>
        <v>1.7845888299422744E-2</v>
      </c>
      <c r="E155" s="203">
        <f>IF(E166=0,0,E163/E166)</f>
        <v>2.342284332905651E-2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1.5816625797163943E-2</v>
      </c>
      <c r="D156" s="203">
        <f>IF(D166=0,0,D164/D166)</f>
        <v>1.6444858714508584E-2</v>
      </c>
      <c r="E156" s="203">
        <f>IF(E166=0,0,E164/E166)</f>
        <v>1.584634146939945E-2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4.1630808852209421E-3</v>
      </c>
      <c r="D157" s="203">
        <f>IF(D166=0,0,D165/D166)</f>
        <v>4.3494657712066908E-3</v>
      </c>
      <c r="E157" s="203">
        <f>IF(E166=0,0,E165/E166)</f>
        <v>4.7154418101361126E-3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523671265</v>
      </c>
      <c r="D160" s="208">
        <f>+D44-D164</f>
        <v>610888311</v>
      </c>
      <c r="E160" s="208">
        <f>+E44-E164</f>
        <v>666297757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342338966</v>
      </c>
      <c r="D161" s="208">
        <f>+D50</f>
        <v>364716072</v>
      </c>
      <c r="E161" s="208">
        <f>+E50</f>
        <v>396592611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120648054</v>
      </c>
      <c r="D162" s="208">
        <f>+D54</f>
        <v>130684650</v>
      </c>
      <c r="E162" s="208">
        <f>+E54</f>
        <v>151134790</v>
      </c>
    </row>
    <row r="163" spans="1:6" ht="20.100000000000001" customHeight="1" x14ac:dyDescent="0.2">
      <c r="A163" s="202">
        <v>11</v>
      </c>
      <c r="B163" s="201" t="s">
        <v>408</v>
      </c>
      <c r="C163" s="207">
        <v>12899442</v>
      </c>
      <c r="D163" s="208">
        <v>20536235</v>
      </c>
      <c r="E163" s="208">
        <v>29744209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16131942</v>
      </c>
      <c r="D164" s="208">
        <f>+D45</f>
        <v>18923994</v>
      </c>
      <c r="E164" s="208">
        <f>+E45</f>
        <v>20122958</v>
      </c>
    </row>
    <row r="165" spans="1:6" ht="20.100000000000001" customHeight="1" x14ac:dyDescent="0.2">
      <c r="A165" s="202">
        <v>13</v>
      </c>
      <c r="B165" s="201" t="s">
        <v>410</v>
      </c>
      <c r="C165" s="209">
        <v>4246075</v>
      </c>
      <c r="D165" s="208">
        <v>5005167</v>
      </c>
      <c r="E165" s="208">
        <v>5988047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1019935744</v>
      </c>
      <c r="D166" s="208">
        <f>SUM(D160:D165)</f>
        <v>1150754429</v>
      </c>
      <c r="E166" s="208">
        <f>SUM(E160:E165)</f>
        <v>1269880372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23461</v>
      </c>
      <c r="D169" s="198">
        <v>23910</v>
      </c>
      <c r="E169" s="198">
        <v>23401</v>
      </c>
    </row>
    <row r="170" spans="1:6" ht="20.100000000000001" customHeight="1" x14ac:dyDescent="0.2">
      <c r="A170" s="202">
        <v>2</v>
      </c>
      <c r="B170" s="201" t="s">
        <v>414</v>
      </c>
      <c r="C170" s="198">
        <v>15721</v>
      </c>
      <c r="D170" s="198">
        <v>16762</v>
      </c>
      <c r="E170" s="198">
        <v>17357</v>
      </c>
    </row>
    <row r="171" spans="1:6" ht="20.100000000000001" customHeight="1" x14ac:dyDescent="0.2">
      <c r="A171" s="202">
        <v>3</v>
      </c>
      <c r="B171" s="201" t="s">
        <v>415</v>
      </c>
      <c r="C171" s="198">
        <v>12614</v>
      </c>
      <c r="D171" s="198">
        <v>13431</v>
      </c>
      <c r="E171" s="198">
        <v>15521</v>
      </c>
    </row>
    <row r="172" spans="1:6" ht="20.100000000000001" customHeight="1" x14ac:dyDescent="0.2">
      <c r="A172" s="202">
        <v>4</v>
      </c>
      <c r="B172" s="201" t="s">
        <v>416</v>
      </c>
      <c r="C172" s="198">
        <v>10281</v>
      </c>
      <c r="D172" s="198">
        <v>10822</v>
      </c>
      <c r="E172" s="198">
        <v>12396</v>
      </c>
    </row>
    <row r="173" spans="1:6" ht="20.100000000000001" customHeight="1" x14ac:dyDescent="0.2">
      <c r="A173" s="202">
        <v>5</v>
      </c>
      <c r="B173" s="201" t="s">
        <v>417</v>
      </c>
      <c r="C173" s="198">
        <v>2333</v>
      </c>
      <c r="D173" s="198">
        <v>2609</v>
      </c>
      <c r="E173" s="198">
        <v>3125</v>
      </c>
    </row>
    <row r="174" spans="1:6" ht="20.100000000000001" customHeight="1" x14ac:dyDescent="0.2">
      <c r="A174" s="202">
        <v>6</v>
      </c>
      <c r="B174" s="201" t="s">
        <v>418</v>
      </c>
      <c r="C174" s="198">
        <v>328</v>
      </c>
      <c r="D174" s="198">
        <v>305</v>
      </c>
      <c r="E174" s="198">
        <v>323</v>
      </c>
    </row>
    <row r="175" spans="1:6" ht="20.100000000000001" customHeight="1" x14ac:dyDescent="0.2">
      <c r="A175" s="202">
        <v>7</v>
      </c>
      <c r="B175" s="201" t="s">
        <v>419</v>
      </c>
      <c r="C175" s="198">
        <v>1559</v>
      </c>
      <c r="D175" s="198">
        <v>1533</v>
      </c>
      <c r="E175" s="198">
        <v>1436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52124</v>
      </c>
      <c r="D176" s="198">
        <f>+D169+D170+D171+D174</f>
        <v>54408</v>
      </c>
      <c r="E176" s="198">
        <f>+E169+E170+E171+E174</f>
        <v>56602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1.2738</v>
      </c>
      <c r="D179" s="210">
        <v>1.2747999999999999</v>
      </c>
      <c r="E179" s="210">
        <v>1.2417</v>
      </c>
    </row>
    <row r="180" spans="1:6" ht="20.100000000000001" customHeight="1" x14ac:dyDescent="0.2">
      <c r="A180" s="202">
        <v>2</v>
      </c>
      <c r="B180" s="201" t="s">
        <v>414</v>
      </c>
      <c r="C180" s="210">
        <v>1.6591</v>
      </c>
      <c r="D180" s="210">
        <v>1.6653</v>
      </c>
      <c r="E180" s="210">
        <v>1.6712</v>
      </c>
    </row>
    <row r="181" spans="1:6" ht="20.100000000000001" customHeight="1" x14ac:dyDescent="0.2">
      <c r="A181" s="202">
        <v>3</v>
      </c>
      <c r="B181" s="201" t="s">
        <v>415</v>
      </c>
      <c r="C181" s="210">
        <v>1.150488</v>
      </c>
      <c r="D181" s="210">
        <v>1.149383</v>
      </c>
      <c r="E181" s="210">
        <v>1.147697</v>
      </c>
    </row>
    <row r="182" spans="1:6" ht="20.100000000000001" customHeight="1" x14ac:dyDescent="0.2">
      <c r="A182" s="202">
        <v>4</v>
      </c>
      <c r="B182" s="201" t="s">
        <v>416</v>
      </c>
      <c r="C182" s="210">
        <v>1.1324000000000001</v>
      </c>
      <c r="D182" s="210">
        <v>1.1298999999999999</v>
      </c>
      <c r="E182" s="210">
        <v>1.1359999999999999</v>
      </c>
    </row>
    <row r="183" spans="1:6" ht="20.100000000000001" customHeight="1" x14ac:dyDescent="0.2">
      <c r="A183" s="202">
        <v>5</v>
      </c>
      <c r="B183" s="201" t="s">
        <v>417</v>
      </c>
      <c r="C183" s="210">
        <v>1.2302</v>
      </c>
      <c r="D183" s="210">
        <v>1.2302</v>
      </c>
      <c r="E183" s="210">
        <v>1.1940999999999999</v>
      </c>
    </row>
    <row r="184" spans="1:6" ht="20.100000000000001" customHeight="1" x14ac:dyDescent="0.2">
      <c r="A184" s="202">
        <v>6</v>
      </c>
      <c r="B184" s="201" t="s">
        <v>418</v>
      </c>
      <c r="C184" s="210">
        <v>1.4931000000000001</v>
      </c>
      <c r="D184" s="210">
        <v>1.4928999999999999</v>
      </c>
      <c r="E184" s="210">
        <v>1.2423</v>
      </c>
    </row>
    <row r="185" spans="1:6" ht="20.100000000000001" customHeight="1" x14ac:dyDescent="0.2">
      <c r="A185" s="202">
        <v>7</v>
      </c>
      <c r="B185" s="201" t="s">
        <v>419</v>
      </c>
      <c r="C185" s="210">
        <v>1.2664</v>
      </c>
      <c r="D185" s="210">
        <v>1.2775000000000001</v>
      </c>
      <c r="E185" s="210">
        <v>1.3184</v>
      </c>
    </row>
    <row r="186" spans="1:6" ht="20.100000000000001" customHeight="1" x14ac:dyDescent="0.2">
      <c r="A186" s="202">
        <v>8</v>
      </c>
      <c r="B186" s="201" t="s">
        <v>423</v>
      </c>
      <c r="C186" s="210">
        <v>1.361548</v>
      </c>
      <c r="D186" s="210">
        <v>1.365367</v>
      </c>
      <c r="E186" s="210">
        <v>1.3476319999999999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26849</v>
      </c>
      <c r="D189" s="198">
        <v>26820</v>
      </c>
      <c r="E189" s="198">
        <v>28571</v>
      </c>
    </row>
    <row r="190" spans="1:6" ht="20.100000000000001" customHeight="1" x14ac:dyDescent="0.2">
      <c r="A190" s="202">
        <v>2</v>
      </c>
      <c r="B190" s="201" t="s">
        <v>427</v>
      </c>
      <c r="C190" s="198">
        <v>96073</v>
      </c>
      <c r="D190" s="198">
        <v>101582</v>
      </c>
      <c r="E190" s="198">
        <v>93579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122922</v>
      </c>
      <c r="D191" s="198">
        <f>+D190+D189</f>
        <v>128402</v>
      </c>
      <c r="E191" s="198">
        <f>+E190+E189</f>
        <v>122150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FILING&amp;RYALE-NEW HAVEN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>
      <selection activeCell="A3" sqref="A3:F3"/>
    </sheetView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429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6334588</v>
      </c>
      <c r="D14" s="237">
        <v>9559120</v>
      </c>
      <c r="E14" s="237">
        <f t="shared" ref="E14:E24" si="0">D14-C14</f>
        <v>3224532</v>
      </c>
      <c r="F14" s="238">
        <f t="shared" ref="F14:F24" si="1">IF(C14=0,0,E14/C14)</f>
        <v>0.50903578891002854</v>
      </c>
    </row>
    <row r="15" spans="1:7" ht="20.25" customHeight="1" x14ac:dyDescent="0.3">
      <c r="A15" s="235">
        <v>2</v>
      </c>
      <c r="B15" s="236" t="s">
        <v>435</v>
      </c>
      <c r="C15" s="237">
        <v>2467694</v>
      </c>
      <c r="D15" s="237">
        <v>3398395</v>
      </c>
      <c r="E15" s="237">
        <f t="shared" si="0"/>
        <v>930701</v>
      </c>
      <c r="F15" s="238">
        <f t="shared" si="1"/>
        <v>0.37715413661499358</v>
      </c>
    </row>
    <row r="16" spans="1:7" ht="20.25" customHeight="1" x14ac:dyDescent="0.3">
      <c r="A16" s="235">
        <v>3</v>
      </c>
      <c r="B16" s="236" t="s">
        <v>436</v>
      </c>
      <c r="C16" s="237">
        <v>2612753</v>
      </c>
      <c r="D16" s="237">
        <v>2539883</v>
      </c>
      <c r="E16" s="237">
        <f t="shared" si="0"/>
        <v>-72870</v>
      </c>
      <c r="F16" s="238">
        <f t="shared" si="1"/>
        <v>-2.7890122028373904E-2</v>
      </c>
    </row>
    <row r="17" spans="1:6" ht="20.25" customHeight="1" x14ac:dyDescent="0.3">
      <c r="A17" s="235">
        <v>4</v>
      </c>
      <c r="B17" s="236" t="s">
        <v>437</v>
      </c>
      <c r="C17" s="237">
        <v>717931</v>
      </c>
      <c r="D17" s="237">
        <v>799260</v>
      </c>
      <c r="E17" s="237">
        <f t="shared" si="0"/>
        <v>81329</v>
      </c>
      <c r="F17" s="238">
        <f t="shared" si="1"/>
        <v>0.11328247422106025</v>
      </c>
    </row>
    <row r="18" spans="1:6" ht="20.25" customHeight="1" x14ac:dyDescent="0.3">
      <c r="A18" s="235">
        <v>5</v>
      </c>
      <c r="B18" s="236" t="s">
        <v>373</v>
      </c>
      <c r="C18" s="239">
        <v>138</v>
      </c>
      <c r="D18" s="239">
        <v>179</v>
      </c>
      <c r="E18" s="239">
        <f t="shared" si="0"/>
        <v>41</v>
      </c>
      <c r="F18" s="238">
        <f t="shared" si="1"/>
        <v>0.29710144927536231</v>
      </c>
    </row>
    <row r="19" spans="1:6" ht="20.25" customHeight="1" x14ac:dyDescent="0.3">
      <c r="A19" s="235">
        <v>6</v>
      </c>
      <c r="B19" s="236" t="s">
        <v>372</v>
      </c>
      <c r="C19" s="239">
        <v>587</v>
      </c>
      <c r="D19" s="239">
        <v>887</v>
      </c>
      <c r="E19" s="239">
        <f t="shared" si="0"/>
        <v>300</v>
      </c>
      <c r="F19" s="238">
        <f t="shared" si="1"/>
        <v>0.51107325383304936</v>
      </c>
    </row>
    <row r="20" spans="1:6" ht="20.25" customHeight="1" x14ac:dyDescent="0.3">
      <c r="A20" s="235">
        <v>7</v>
      </c>
      <c r="B20" s="236" t="s">
        <v>438</v>
      </c>
      <c r="C20" s="239">
        <v>1172</v>
      </c>
      <c r="D20" s="239">
        <v>1148</v>
      </c>
      <c r="E20" s="239">
        <f t="shared" si="0"/>
        <v>-24</v>
      </c>
      <c r="F20" s="238">
        <f t="shared" si="1"/>
        <v>-2.0477815699658702E-2</v>
      </c>
    </row>
    <row r="21" spans="1:6" ht="20.25" customHeight="1" x14ac:dyDescent="0.3">
      <c r="A21" s="235">
        <v>8</v>
      </c>
      <c r="B21" s="236" t="s">
        <v>439</v>
      </c>
      <c r="C21" s="239">
        <v>109</v>
      </c>
      <c r="D21" s="239">
        <v>73</v>
      </c>
      <c r="E21" s="239">
        <f t="shared" si="0"/>
        <v>-36</v>
      </c>
      <c r="F21" s="238">
        <f t="shared" si="1"/>
        <v>-0.33027522935779818</v>
      </c>
    </row>
    <row r="22" spans="1:6" ht="20.25" customHeight="1" x14ac:dyDescent="0.3">
      <c r="A22" s="235">
        <v>9</v>
      </c>
      <c r="B22" s="236" t="s">
        <v>440</v>
      </c>
      <c r="C22" s="239">
        <v>79</v>
      </c>
      <c r="D22" s="239">
        <v>96</v>
      </c>
      <c r="E22" s="239">
        <f t="shared" si="0"/>
        <v>17</v>
      </c>
      <c r="F22" s="238">
        <f t="shared" si="1"/>
        <v>0.21518987341772153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8947341</v>
      </c>
      <c r="D23" s="243">
        <f>+D14+D16</f>
        <v>12099003</v>
      </c>
      <c r="E23" s="243">
        <f t="shared" si="0"/>
        <v>3151662</v>
      </c>
      <c r="F23" s="244">
        <f t="shared" si="1"/>
        <v>0.35224565599992219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3185625</v>
      </c>
      <c r="D24" s="243">
        <f>+D15+D17</f>
        <v>4197655</v>
      </c>
      <c r="E24" s="243">
        <f t="shared" si="0"/>
        <v>1012030</v>
      </c>
      <c r="F24" s="244">
        <f t="shared" si="1"/>
        <v>0.3176864822444575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290340</v>
      </c>
      <c r="D27" s="237">
        <v>169890</v>
      </c>
      <c r="E27" s="237">
        <f t="shared" ref="E27:E37" si="2">D27-C27</f>
        <v>-120450</v>
      </c>
      <c r="F27" s="238">
        <f t="shared" ref="F27:F37" si="3">IF(C27=0,0,E27/C27)</f>
        <v>-0.41485844182682374</v>
      </c>
    </row>
    <row r="28" spans="1:6" ht="20.25" customHeight="1" x14ac:dyDescent="0.3">
      <c r="A28" s="235">
        <v>2</v>
      </c>
      <c r="B28" s="236" t="s">
        <v>435</v>
      </c>
      <c r="C28" s="237">
        <v>53048</v>
      </c>
      <c r="D28" s="237">
        <v>56344</v>
      </c>
      <c r="E28" s="237">
        <f t="shared" si="2"/>
        <v>3296</v>
      </c>
      <c r="F28" s="238">
        <f t="shared" si="3"/>
        <v>6.2132408384858999E-2</v>
      </c>
    </row>
    <row r="29" spans="1:6" ht="20.25" customHeight="1" x14ac:dyDescent="0.3">
      <c r="A29" s="235">
        <v>3</v>
      </c>
      <c r="B29" s="236" t="s">
        <v>436</v>
      </c>
      <c r="C29" s="237">
        <v>21843</v>
      </c>
      <c r="D29" s="237">
        <v>50011</v>
      </c>
      <c r="E29" s="237">
        <f t="shared" si="2"/>
        <v>28168</v>
      </c>
      <c r="F29" s="238">
        <f t="shared" si="3"/>
        <v>1.289566451494758</v>
      </c>
    </row>
    <row r="30" spans="1:6" ht="20.25" customHeight="1" x14ac:dyDescent="0.3">
      <c r="A30" s="235">
        <v>4</v>
      </c>
      <c r="B30" s="236" t="s">
        <v>437</v>
      </c>
      <c r="C30" s="237">
        <v>5921</v>
      </c>
      <c r="D30" s="237">
        <v>11614</v>
      </c>
      <c r="E30" s="237">
        <f t="shared" si="2"/>
        <v>5693</v>
      </c>
      <c r="F30" s="238">
        <f t="shared" si="3"/>
        <v>0.96149299104880936</v>
      </c>
    </row>
    <row r="31" spans="1:6" ht="20.25" customHeight="1" x14ac:dyDescent="0.3">
      <c r="A31" s="235">
        <v>5</v>
      </c>
      <c r="B31" s="236" t="s">
        <v>373</v>
      </c>
      <c r="C31" s="239">
        <v>1</v>
      </c>
      <c r="D31" s="239">
        <v>2</v>
      </c>
      <c r="E31" s="239">
        <f t="shared" si="2"/>
        <v>1</v>
      </c>
      <c r="F31" s="238">
        <f t="shared" si="3"/>
        <v>1</v>
      </c>
    </row>
    <row r="32" spans="1:6" ht="20.25" customHeight="1" x14ac:dyDescent="0.3">
      <c r="A32" s="235">
        <v>6</v>
      </c>
      <c r="B32" s="236" t="s">
        <v>372</v>
      </c>
      <c r="C32" s="239">
        <v>38</v>
      </c>
      <c r="D32" s="239">
        <v>8</v>
      </c>
      <c r="E32" s="239">
        <f t="shared" si="2"/>
        <v>-30</v>
      </c>
      <c r="F32" s="238">
        <f t="shared" si="3"/>
        <v>-0.78947368421052633</v>
      </c>
    </row>
    <row r="33" spans="1:6" ht="20.25" customHeight="1" x14ac:dyDescent="0.3">
      <c r="A33" s="235">
        <v>7</v>
      </c>
      <c r="B33" s="236" t="s">
        <v>438</v>
      </c>
      <c r="C33" s="239">
        <v>10</v>
      </c>
      <c r="D33" s="239">
        <v>10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1</v>
      </c>
      <c r="D34" s="239">
        <v>2</v>
      </c>
      <c r="E34" s="239">
        <f t="shared" si="2"/>
        <v>1</v>
      </c>
      <c r="F34" s="238">
        <f t="shared" si="3"/>
        <v>1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312183</v>
      </c>
      <c r="D36" s="243">
        <f>+D27+D29</f>
        <v>219901</v>
      </c>
      <c r="E36" s="243">
        <f t="shared" si="2"/>
        <v>-92282</v>
      </c>
      <c r="F36" s="244">
        <f t="shared" si="3"/>
        <v>-0.29560225893146008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58969</v>
      </c>
      <c r="D37" s="243">
        <f>+D28+D30</f>
        <v>67958</v>
      </c>
      <c r="E37" s="243">
        <f t="shared" si="2"/>
        <v>8989</v>
      </c>
      <c r="F37" s="244">
        <f t="shared" si="3"/>
        <v>0.15243602570842307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9432643</v>
      </c>
      <c r="D40" s="237">
        <v>16267821</v>
      </c>
      <c r="E40" s="237">
        <f t="shared" ref="E40:E50" si="4">D40-C40</f>
        <v>6835178</v>
      </c>
      <c r="F40" s="238">
        <f t="shared" ref="F40:F50" si="5">IF(C40=0,0,E40/C40)</f>
        <v>0.72463020173667125</v>
      </c>
    </row>
    <row r="41" spans="1:6" ht="20.25" customHeight="1" x14ac:dyDescent="0.3">
      <c r="A41" s="235">
        <v>2</v>
      </c>
      <c r="B41" s="236" t="s">
        <v>435</v>
      </c>
      <c r="C41" s="237">
        <v>2271943</v>
      </c>
      <c r="D41" s="237">
        <v>5027233</v>
      </c>
      <c r="E41" s="237">
        <f t="shared" si="4"/>
        <v>2755290</v>
      </c>
      <c r="F41" s="238">
        <f t="shared" si="5"/>
        <v>1.2127460944222632</v>
      </c>
    </row>
    <row r="42" spans="1:6" ht="20.25" customHeight="1" x14ac:dyDescent="0.3">
      <c r="A42" s="235">
        <v>3</v>
      </c>
      <c r="B42" s="236" t="s">
        <v>436</v>
      </c>
      <c r="C42" s="237">
        <v>5049276</v>
      </c>
      <c r="D42" s="237">
        <v>707143</v>
      </c>
      <c r="E42" s="237">
        <f t="shared" si="4"/>
        <v>-4342133</v>
      </c>
      <c r="F42" s="238">
        <f t="shared" si="5"/>
        <v>-0.85995160494296607</v>
      </c>
    </row>
    <row r="43" spans="1:6" ht="20.25" customHeight="1" x14ac:dyDescent="0.3">
      <c r="A43" s="235">
        <v>4</v>
      </c>
      <c r="B43" s="236" t="s">
        <v>437</v>
      </c>
      <c r="C43" s="237">
        <v>1097209</v>
      </c>
      <c r="D43" s="237">
        <v>163244</v>
      </c>
      <c r="E43" s="237">
        <f t="shared" si="4"/>
        <v>-933965</v>
      </c>
      <c r="F43" s="238">
        <f t="shared" si="5"/>
        <v>-0.85121886532100999</v>
      </c>
    </row>
    <row r="44" spans="1:6" ht="20.25" customHeight="1" x14ac:dyDescent="0.3">
      <c r="A44" s="235">
        <v>5</v>
      </c>
      <c r="B44" s="236" t="s">
        <v>373</v>
      </c>
      <c r="C44" s="239">
        <v>197</v>
      </c>
      <c r="D44" s="239">
        <v>309</v>
      </c>
      <c r="E44" s="239">
        <f t="shared" si="4"/>
        <v>112</v>
      </c>
      <c r="F44" s="238">
        <f t="shared" si="5"/>
        <v>0.56852791878172593</v>
      </c>
    </row>
    <row r="45" spans="1:6" ht="20.25" customHeight="1" x14ac:dyDescent="0.3">
      <c r="A45" s="235">
        <v>6</v>
      </c>
      <c r="B45" s="236" t="s">
        <v>372</v>
      </c>
      <c r="C45" s="239">
        <v>995</v>
      </c>
      <c r="D45" s="239">
        <v>1437</v>
      </c>
      <c r="E45" s="239">
        <f t="shared" si="4"/>
        <v>442</v>
      </c>
      <c r="F45" s="238">
        <f t="shared" si="5"/>
        <v>0.44422110552763822</v>
      </c>
    </row>
    <row r="46" spans="1:6" ht="20.25" customHeight="1" x14ac:dyDescent="0.3">
      <c r="A46" s="235">
        <v>7</v>
      </c>
      <c r="B46" s="236" t="s">
        <v>438</v>
      </c>
      <c r="C46" s="239">
        <v>1901</v>
      </c>
      <c r="D46" s="239">
        <v>237</v>
      </c>
      <c r="E46" s="239">
        <f t="shared" si="4"/>
        <v>-1664</v>
      </c>
      <c r="F46" s="238">
        <f t="shared" si="5"/>
        <v>-0.87532877432930034</v>
      </c>
    </row>
    <row r="47" spans="1:6" ht="20.25" customHeight="1" x14ac:dyDescent="0.3">
      <c r="A47" s="235">
        <v>8</v>
      </c>
      <c r="B47" s="236" t="s">
        <v>439</v>
      </c>
      <c r="C47" s="239">
        <v>168</v>
      </c>
      <c r="D47" s="239">
        <v>34</v>
      </c>
      <c r="E47" s="239">
        <f t="shared" si="4"/>
        <v>-134</v>
      </c>
      <c r="F47" s="238">
        <f t="shared" si="5"/>
        <v>-0.79761904761904767</v>
      </c>
    </row>
    <row r="48" spans="1:6" ht="20.25" customHeight="1" x14ac:dyDescent="0.3">
      <c r="A48" s="235">
        <v>9</v>
      </c>
      <c r="B48" s="236" t="s">
        <v>440</v>
      </c>
      <c r="C48" s="239">
        <v>105</v>
      </c>
      <c r="D48" s="239">
        <v>23</v>
      </c>
      <c r="E48" s="239">
        <f t="shared" si="4"/>
        <v>-82</v>
      </c>
      <c r="F48" s="238">
        <f t="shared" si="5"/>
        <v>-0.78095238095238095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14481919</v>
      </c>
      <c r="D49" s="243">
        <f>+D40+D42</f>
        <v>16974964</v>
      </c>
      <c r="E49" s="243">
        <f t="shared" si="4"/>
        <v>2493045</v>
      </c>
      <c r="F49" s="244">
        <f t="shared" si="5"/>
        <v>0.17214880155040227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3369152</v>
      </c>
      <c r="D50" s="243">
        <f>+D41+D43</f>
        <v>5190477</v>
      </c>
      <c r="E50" s="243">
        <f t="shared" si="4"/>
        <v>1821325</v>
      </c>
      <c r="F50" s="244">
        <f t="shared" si="5"/>
        <v>0.54058855165928998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90221146</v>
      </c>
      <c r="D53" s="237">
        <v>80705384</v>
      </c>
      <c r="E53" s="237">
        <f t="shared" ref="E53:E63" si="6">D53-C53</f>
        <v>-9515762</v>
      </c>
      <c r="F53" s="238">
        <f t="shared" ref="F53:F63" si="7">IF(C53=0,0,E53/C53)</f>
        <v>-0.10547152659754511</v>
      </c>
    </row>
    <row r="54" spans="1:6" ht="20.25" customHeight="1" x14ac:dyDescent="0.3">
      <c r="A54" s="235">
        <v>2</v>
      </c>
      <c r="B54" s="236" t="s">
        <v>435</v>
      </c>
      <c r="C54" s="237">
        <v>32304400</v>
      </c>
      <c r="D54" s="237">
        <v>28075691</v>
      </c>
      <c r="E54" s="237">
        <f t="shared" si="6"/>
        <v>-4228709</v>
      </c>
      <c r="F54" s="238">
        <f t="shared" si="7"/>
        <v>-0.13090195143695596</v>
      </c>
    </row>
    <row r="55" spans="1:6" ht="20.25" customHeight="1" x14ac:dyDescent="0.3">
      <c r="A55" s="235">
        <v>3</v>
      </c>
      <c r="B55" s="236" t="s">
        <v>436</v>
      </c>
      <c r="C55" s="237">
        <v>35736676</v>
      </c>
      <c r="D55" s="237">
        <v>34412114</v>
      </c>
      <c r="E55" s="237">
        <f t="shared" si="6"/>
        <v>-1324562</v>
      </c>
      <c r="F55" s="238">
        <f t="shared" si="7"/>
        <v>-3.7064499227628223E-2</v>
      </c>
    </row>
    <row r="56" spans="1:6" ht="20.25" customHeight="1" x14ac:dyDescent="0.3">
      <c r="A56" s="235">
        <v>4</v>
      </c>
      <c r="B56" s="236" t="s">
        <v>437</v>
      </c>
      <c r="C56" s="237">
        <v>7635485</v>
      </c>
      <c r="D56" s="237">
        <v>9676150</v>
      </c>
      <c r="E56" s="237">
        <f t="shared" si="6"/>
        <v>2040665</v>
      </c>
      <c r="F56" s="238">
        <f t="shared" si="7"/>
        <v>0.26726069136407182</v>
      </c>
    </row>
    <row r="57" spans="1:6" ht="20.25" customHeight="1" x14ac:dyDescent="0.3">
      <c r="A57" s="235">
        <v>5</v>
      </c>
      <c r="B57" s="236" t="s">
        <v>373</v>
      </c>
      <c r="C57" s="239">
        <v>1740</v>
      </c>
      <c r="D57" s="239">
        <v>1511</v>
      </c>
      <c r="E57" s="239">
        <f t="shared" si="6"/>
        <v>-229</v>
      </c>
      <c r="F57" s="238">
        <f t="shared" si="7"/>
        <v>-0.13160919540229885</v>
      </c>
    </row>
    <row r="58" spans="1:6" ht="20.25" customHeight="1" x14ac:dyDescent="0.3">
      <c r="A58" s="235">
        <v>6</v>
      </c>
      <c r="B58" s="236" t="s">
        <v>372</v>
      </c>
      <c r="C58" s="239">
        <v>10543</v>
      </c>
      <c r="D58" s="239">
        <v>7507</v>
      </c>
      <c r="E58" s="239">
        <f t="shared" si="6"/>
        <v>-3036</v>
      </c>
      <c r="F58" s="238">
        <f t="shared" si="7"/>
        <v>-0.28796357772929904</v>
      </c>
    </row>
    <row r="59" spans="1:6" ht="20.25" customHeight="1" x14ac:dyDescent="0.3">
      <c r="A59" s="235">
        <v>7</v>
      </c>
      <c r="B59" s="236" t="s">
        <v>438</v>
      </c>
      <c r="C59" s="239">
        <v>10765</v>
      </c>
      <c r="D59" s="239">
        <v>11512</v>
      </c>
      <c r="E59" s="239">
        <f t="shared" si="6"/>
        <v>747</v>
      </c>
      <c r="F59" s="238">
        <f t="shared" si="7"/>
        <v>6.9391546679052479E-2</v>
      </c>
    </row>
    <row r="60" spans="1:6" ht="20.25" customHeight="1" x14ac:dyDescent="0.3">
      <c r="A60" s="235">
        <v>8</v>
      </c>
      <c r="B60" s="236" t="s">
        <v>439</v>
      </c>
      <c r="C60" s="239">
        <v>912</v>
      </c>
      <c r="D60" s="239">
        <v>956</v>
      </c>
      <c r="E60" s="239">
        <f t="shared" si="6"/>
        <v>44</v>
      </c>
      <c r="F60" s="238">
        <f t="shared" si="7"/>
        <v>4.8245614035087717E-2</v>
      </c>
    </row>
    <row r="61" spans="1:6" ht="20.25" customHeight="1" x14ac:dyDescent="0.3">
      <c r="A61" s="235">
        <v>9</v>
      </c>
      <c r="B61" s="236" t="s">
        <v>440</v>
      </c>
      <c r="C61" s="239">
        <v>1111</v>
      </c>
      <c r="D61" s="239">
        <v>961</v>
      </c>
      <c r="E61" s="239">
        <f t="shared" si="6"/>
        <v>-150</v>
      </c>
      <c r="F61" s="238">
        <f t="shared" si="7"/>
        <v>-0.13501350135013501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125957822</v>
      </c>
      <c r="D62" s="243">
        <f>+D53+D55</f>
        <v>115117498</v>
      </c>
      <c r="E62" s="243">
        <f t="shared" si="6"/>
        <v>-10840324</v>
      </c>
      <c r="F62" s="244">
        <f t="shared" si="7"/>
        <v>-8.6063126750476837E-2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39939885</v>
      </c>
      <c r="D63" s="243">
        <f>+D54+D56</f>
        <v>37751841</v>
      </c>
      <c r="E63" s="243">
        <f t="shared" si="6"/>
        <v>-2188044</v>
      </c>
      <c r="F63" s="244">
        <f t="shared" si="7"/>
        <v>-5.4783432651345894E-2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5709084</v>
      </c>
      <c r="D66" s="237">
        <v>4595377</v>
      </c>
      <c r="E66" s="237">
        <f t="shared" ref="E66:E76" si="8">D66-C66</f>
        <v>-1113707</v>
      </c>
      <c r="F66" s="238">
        <f t="shared" ref="F66:F76" si="9">IF(C66=0,0,E66/C66)</f>
        <v>-0.19507630295858319</v>
      </c>
    </row>
    <row r="67" spans="1:6" ht="20.25" customHeight="1" x14ac:dyDescent="0.3">
      <c r="A67" s="235">
        <v>2</v>
      </c>
      <c r="B67" s="236" t="s">
        <v>435</v>
      </c>
      <c r="C67" s="237">
        <v>2240618</v>
      </c>
      <c r="D67" s="237">
        <v>1486564</v>
      </c>
      <c r="E67" s="237">
        <f t="shared" si="8"/>
        <v>-754054</v>
      </c>
      <c r="F67" s="238">
        <f t="shared" si="9"/>
        <v>-0.3365384014588832</v>
      </c>
    </row>
    <row r="68" spans="1:6" ht="20.25" customHeight="1" x14ac:dyDescent="0.3">
      <c r="A68" s="235">
        <v>3</v>
      </c>
      <c r="B68" s="236" t="s">
        <v>436</v>
      </c>
      <c r="C68" s="237">
        <v>1998398</v>
      </c>
      <c r="D68" s="237">
        <v>6119368</v>
      </c>
      <c r="E68" s="237">
        <f t="shared" si="8"/>
        <v>4120970</v>
      </c>
      <c r="F68" s="238">
        <f t="shared" si="9"/>
        <v>2.0621367715540146</v>
      </c>
    </row>
    <row r="69" spans="1:6" ht="20.25" customHeight="1" x14ac:dyDescent="0.3">
      <c r="A69" s="235">
        <v>4</v>
      </c>
      <c r="B69" s="236" t="s">
        <v>437</v>
      </c>
      <c r="C69" s="237">
        <v>394145</v>
      </c>
      <c r="D69" s="237">
        <v>1433821</v>
      </c>
      <c r="E69" s="237">
        <f t="shared" si="8"/>
        <v>1039676</v>
      </c>
      <c r="F69" s="238">
        <f t="shared" si="9"/>
        <v>2.6378008093468139</v>
      </c>
    </row>
    <row r="70" spans="1:6" ht="20.25" customHeight="1" x14ac:dyDescent="0.3">
      <c r="A70" s="235">
        <v>5</v>
      </c>
      <c r="B70" s="236" t="s">
        <v>373</v>
      </c>
      <c r="C70" s="239">
        <v>116</v>
      </c>
      <c r="D70" s="239">
        <v>69</v>
      </c>
      <c r="E70" s="239">
        <f t="shared" si="8"/>
        <v>-47</v>
      </c>
      <c r="F70" s="238">
        <f t="shared" si="9"/>
        <v>-0.40517241379310343</v>
      </c>
    </row>
    <row r="71" spans="1:6" ht="20.25" customHeight="1" x14ac:dyDescent="0.3">
      <c r="A71" s="235">
        <v>6</v>
      </c>
      <c r="B71" s="236" t="s">
        <v>372</v>
      </c>
      <c r="C71" s="239">
        <v>615</v>
      </c>
      <c r="D71" s="239">
        <v>471</v>
      </c>
      <c r="E71" s="239">
        <f t="shared" si="8"/>
        <v>-144</v>
      </c>
      <c r="F71" s="238">
        <f t="shared" si="9"/>
        <v>-0.23414634146341465</v>
      </c>
    </row>
    <row r="72" spans="1:6" ht="20.25" customHeight="1" x14ac:dyDescent="0.3">
      <c r="A72" s="235">
        <v>7</v>
      </c>
      <c r="B72" s="236" t="s">
        <v>438</v>
      </c>
      <c r="C72" s="239">
        <v>2316</v>
      </c>
      <c r="D72" s="239">
        <v>1909</v>
      </c>
      <c r="E72" s="239">
        <f t="shared" si="8"/>
        <v>-407</v>
      </c>
      <c r="F72" s="238">
        <f t="shared" si="9"/>
        <v>-0.17573402417962003</v>
      </c>
    </row>
    <row r="73" spans="1:6" ht="20.25" customHeight="1" x14ac:dyDescent="0.3">
      <c r="A73" s="235">
        <v>8</v>
      </c>
      <c r="B73" s="236" t="s">
        <v>439</v>
      </c>
      <c r="C73" s="239">
        <v>269</v>
      </c>
      <c r="D73" s="239">
        <v>158</v>
      </c>
      <c r="E73" s="239">
        <f t="shared" si="8"/>
        <v>-111</v>
      </c>
      <c r="F73" s="238">
        <f t="shared" si="9"/>
        <v>-0.41263940520446096</v>
      </c>
    </row>
    <row r="74" spans="1:6" ht="20.25" customHeight="1" x14ac:dyDescent="0.3">
      <c r="A74" s="235">
        <v>9</v>
      </c>
      <c r="B74" s="236" t="s">
        <v>440</v>
      </c>
      <c r="C74" s="239">
        <v>62</v>
      </c>
      <c r="D74" s="239">
        <v>156</v>
      </c>
      <c r="E74" s="239">
        <f t="shared" si="8"/>
        <v>94</v>
      </c>
      <c r="F74" s="238">
        <f t="shared" si="9"/>
        <v>1.5161290322580645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7707482</v>
      </c>
      <c r="D75" s="243">
        <f>+D66+D68</f>
        <v>10714745</v>
      </c>
      <c r="E75" s="243">
        <f t="shared" si="8"/>
        <v>3007263</v>
      </c>
      <c r="F75" s="244">
        <f t="shared" si="9"/>
        <v>0.39017450835434969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2634763</v>
      </c>
      <c r="D76" s="243">
        <f>+D67+D69</f>
        <v>2920385</v>
      </c>
      <c r="E76" s="243">
        <f t="shared" si="8"/>
        <v>285622</v>
      </c>
      <c r="F76" s="244">
        <f t="shared" si="9"/>
        <v>0.10840519621688934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5669989</v>
      </c>
      <c r="D79" s="237">
        <v>8649385</v>
      </c>
      <c r="E79" s="237">
        <f t="shared" ref="E79:E89" si="10">D79-C79</f>
        <v>2979396</v>
      </c>
      <c r="F79" s="238">
        <f t="shared" ref="F79:F89" si="11">IF(C79=0,0,E79/C79)</f>
        <v>0.52546768609251271</v>
      </c>
    </row>
    <row r="80" spans="1:6" ht="20.25" customHeight="1" x14ac:dyDescent="0.3">
      <c r="A80" s="235">
        <v>2</v>
      </c>
      <c r="B80" s="236" t="s">
        <v>435</v>
      </c>
      <c r="C80" s="237">
        <v>1523876</v>
      </c>
      <c r="D80" s="237">
        <v>3159908</v>
      </c>
      <c r="E80" s="237">
        <f t="shared" si="10"/>
        <v>1636032</v>
      </c>
      <c r="F80" s="238">
        <f t="shared" si="11"/>
        <v>1.0735991642364602</v>
      </c>
    </row>
    <row r="81" spans="1:6" ht="20.25" customHeight="1" x14ac:dyDescent="0.3">
      <c r="A81" s="235">
        <v>3</v>
      </c>
      <c r="B81" s="236" t="s">
        <v>436</v>
      </c>
      <c r="C81" s="237">
        <v>2178005</v>
      </c>
      <c r="D81" s="237">
        <v>2126132</v>
      </c>
      <c r="E81" s="237">
        <f t="shared" si="10"/>
        <v>-51873</v>
      </c>
      <c r="F81" s="238">
        <f t="shared" si="11"/>
        <v>-2.3816749731979496E-2</v>
      </c>
    </row>
    <row r="82" spans="1:6" ht="20.25" customHeight="1" x14ac:dyDescent="0.3">
      <c r="A82" s="235">
        <v>4</v>
      </c>
      <c r="B82" s="236" t="s">
        <v>437</v>
      </c>
      <c r="C82" s="237">
        <v>570510</v>
      </c>
      <c r="D82" s="237">
        <v>394459</v>
      </c>
      <c r="E82" s="237">
        <f t="shared" si="10"/>
        <v>-176051</v>
      </c>
      <c r="F82" s="238">
        <f t="shared" si="11"/>
        <v>-0.30858530087115038</v>
      </c>
    </row>
    <row r="83" spans="1:6" ht="20.25" customHeight="1" x14ac:dyDescent="0.3">
      <c r="A83" s="235">
        <v>5</v>
      </c>
      <c r="B83" s="236" t="s">
        <v>373</v>
      </c>
      <c r="C83" s="239">
        <v>140</v>
      </c>
      <c r="D83" s="239">
        <v>179</v>
      </c>
      <c r="E83" s="239">
        <f t="shared" si="10"/>
        <v>39</v>
      </c>
      <c r="F83" s="238">
        <f t="shared" si="11"/>
        <v>0.27857142857142858</v>
      </c>
    </row>
    <row r="84" spans="1:6" ht="20.25" customHeight="1" x14ac:dyDescent="0.3">
      <c r="A84" s="235">
        <v>6</v>
      </c>
      <c r="B84" s="236" t="s">
        <v>372</v>
      </c>
      <c r="C84" s="239">
        <v>651</v>
      </c>
      <c r="D84" s="239">
        <v>1008</v>
      </c>
      <c r="E84" s="239">
        <f t="shared" si="10"/>
        <v>357</v>
      </c>
      <c r="F84" s="238">
        <f t="shared" si="11"/>
        <v>0.54838709677419351</v>
      </c>
    </row>
    <row r="85" spans="1:6" ht="20.25" customHeight="1" x14ac:dyDescent="0.3">
      <c r="A85" s="235">
        <v>7</v>
      </c>
      <c r="B85" s="236" t="s">
        <v>438</v>
      </c>
      <c r="C85" s="239">
        <v>1003</v>
      </c>
      <c r="D85" s="239">
        <v>1454</v>
      </c>
      <c r="E85" s="239">
        <f t="shared" si="10"/>
        <v>451</v>
      </c>
      <c r="F85" s="238">
        <f t="shared" si="11"/>
        <v>0.44965104685942175</v>
      </c>
    </row>
    <row r="86" spans="1:6" ht="20.25" customHeight="1" x14ac:dyDescent="0.3">
      <c r="A86" s="235">
        <v>8</v>
      </c>
      <c r="B86" s="236" t="s">
        <v>439</v>
      </c>
      <c r="C86" s="239">
        <v>134</v>
      </c>
      <c r="D86" s="239">
        <v>147</v>
      </c>
      <c r="E86" s="239">
        <f t="shared" si="10"/>
        <v>13</v>
      </c>
      <c r="F86" s="238">
        <f t="shared" si="11"/>
        <v>9.7014925373134331E-2</v>
      </c>
    </row>
    <row r="87" spans="1:6" ht="20.25" customHeight="1" x14ac:dyDescent="0.3">
      <c r="A87" s="235">
        <v>9</v>
      </c>
      <c r="B87" s="236" t="s">
        <v>440</v>
      </c>
      <c r="C87" s="239">
        <v>109</v>
      </c>
      <c r="D87" s="239">
        <v>147</v>
      </c>
      <c r="E87" s="239">
        <f t="shared" si="10"/>
        <v>38</v>
      </c>
      <c r="F87" s="238">
        <f t="shared" si="11"/>
        <v>0.34862385321100919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7847994</v>
      </c>
      <c r="D88" s="243">
        <f>+D79+D81</f>
        <v>10775517</v>
      </c>
      <c r="E88" s="243">
        <f t="shared" si="10"/>
        <v>2927523</v>
      </c>
      <c r="F88" s="244">
        <f t="shared" si="11"/>
        <v>0.37302819038852475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2094386</v>
      </c>
      <c r="D89" s="243">
        <f>+D80+D82</f>
        <v>3554367</v>
      </c>
      <c r="E89" s="243">
        <f t="shared" si="10"/>
        <v>1459981</v>
      </c>
      <c r="F89" s="244">
        <f t="shared" si="11"/>
        <v>0.69709260852583999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14375172</v>
      </c>
      <c r="E92" s="237">
        <f t="shared" ref="E92:E102" si="12">D92-C92</f>
        <v>14375172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4488603</v>
      </c>
      <c r="E93" s="237">
        <f t="shared" si="12"/>
        <v>4488603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4865765</v>
      </c>
      <c r="E94" s="237">
        <f t="shared" si="12"/>
        <v>4865765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1021979</v>
      </c>
      <c r="E95" s="237">
        <f t="shared" si="12"/>
        <v>1021979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277</v>
      </c>
      <c r="E96" s="239">
        <f t="shared" si="12"/>
        <v>277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1469</v>
      </c>
      <c r="E97" s="239">
        <f t="shared" si="12"/>
        <v>1469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2081</v>
      </c>
      <c r="E98" s="239">
        <f t="shared" si="12"/>
        <v>2081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268</v>
      </c>
      <c r="E99" s="239">
        <f t="shared" si="12"/>
        <v>268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207</v>
      </c>
      <c r="E100" s="239">
        <f t="shared" si="12"/>
        <v>207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19240937</v>
      </c>
      <c r="E101" s="243">
        <f t="shared" si="12"/>
        <v>19240937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5510582</v>
      </c>
      <c r="E102" s="243">
        <f t="shared" si="12"/>
        <v>5510582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4196484</v>
      </c>
      <c r="D105" s="237">
        <v>4584445</v>
      </c>
      <c r="E105" s="237">
        <f t="shared" ref="E105:E115" si="14">D105-C105</f>
        <v>387961</v>
      </c>
      <c r="F105" s="238">
        <f t="shared" ref="F105:F115" si="15">IF(C105=0,0,E105/C105)</f>
        <v>9.2449059736674791E-2</v>
      </c>
    </row>
    <row r="106" spans="1:6" ht="20.25" customHeight="1" x14ac:dyDescent="0.3">
      <c r="A106" s="235">
        <v>2</v>
      </c>
      <c r="B106" s="236" t="s">
        <v>435</v>
      </c>
      <c r="C106" s="237">
        <v>1198649</v>
      </c>
      <c r="D106" s="237">
        <v>1069220</v>
      </c>
      <c r="E106" s="237">
        <f t="shared" si="14"/>
        <v>-129429</v>
      </c>
      <c r="F106" s="238">
        <f t="shared" si="15"/>
        <v>-0.10797906643229169</v>
      </c>
    </row>
    <row r="107" spans="1:6" ht="20.25" customHeight="1" x14ac:dyDescent="0.3">
      <c r="A107" s="235">
        <v>3</v>
      </c>
      <c r="B107" s="236" t="s">
        <v>436</v>
      </c>
      <c r="C107" s="237">
        <v>1825603</v>
      </c>
      <c r="D107" s="237">
        <v>1381050</v>
      </c>
      <c r="E107" s="237">
        <f t="shared" si="14"/>
        <v>-444553</v>
      </c>
      <c r="F107" s="238">
        <f t="shared" si="15"/>
        <v>-0.24351022648407128</v>
      </c>
    </row>
    <row r="108" spans="1:6" ht="20.25" customHeight="1" x14ac:dyDescent="0.3">
      <c r="A108" s="235">
        <v>4</v>
      </c>
      <c r="B108" s="236" t="s">
        <v>437</v>
      </c>
      <c r="C108" s="237">
        <v>345407</v>
      </c>
      <c r="D108" s="237">
        <v>366764</v>
      </c>
      <c r="E108" s="237">
        <f t="shared" si="14"/>
        <v>21357</v>
      </c>
      <c r="F108" s="238">
        <f t="shared" si="15"/>
        <v>6.183140469069822E-2</v>
      </c>
    </row>
    <row r="109" spans="1:6" ht="20.25" customHeight="1" x14ac:dyDescent="0.3">
      <c r="A109" s="235">
        <v>5</v>
      </c>
      <c r="B109" s="236" t="s">
        <v>373</v>
      </c>
      <c r="C109" s="239">
        <v>104</v>
      </c>
      <c r="D109" s="239">
        <v>67</v>
      </c>
      <c r="E109" s="239">
        <f t="shared" si="14"/>
        <v>-37</v>
      </c>
      <c r="F109" s="238">
        <f t="shared" si="15"/>
        <v>-0.35576923076923078</v>
      </c>
    </row>
    <row r="110" spans="1:6" ht="20.25" customHeight="1" x14ac:dyDescent="0.3">
      <c r="A110" s="235">
        <v>6</v>
      </c>
      <c r="B110" s="236" t="s">
        <v>372</v>
      </c>
      <c r="C110" s="239">
        <v>598</v>
      </c>
      <c r="D110" s="239">
        <v>440</v>
      </c>
      <c r="E110" s="239">
        <f t="shared" si="14"/>
        <v>-158</v>
      </c>
      <c r="F110" s="238">
        <f t="shared" si="15"/>
        <v>-0.26421404682274247</v>
      </c>
    </row>
    <row r="111" spans="1:6" ht="20.25" customHeight="1" x14ac:dyDescent="0.3">
      <c r="A111" s="235">
        <v>7</v>
      </c>
      <c r="B111" s="236" t="s">
        <v>438</v>
      </c>
      <c r="C111" s="239">
        <v>632</v>
      </c>
      <c r="D111" s="239">
        <v>460</v>
      </c>
      <c r="E111" s="239">
        <f t="shared" si="14"/>
        <v>-172</v>
      </c>
      <c r="F111" s="238">
        <f t="shared" si="15"/>
        <v>-0.27215189873417722</v>
      </c>
    </row>
    <row r="112" spans="1:6" ht="20.25" customHeight="1" x14ac:dyDescent="0.3">
      <c r="A112" s="235">
        <v>8</v>
      </c>
      <c r="B112" s="236" t="s">
        <v>439</v>
      </c>
      <c r="C112" s="239">
        <v>157</v>
      </c>
      <c r="D112" s="239">
        <v>103</v>
      </c>
      <c r="E112" s="239">
        <f t="shared" si="14"/>
        <v>-54</v>
      </c>
      <c r="F112" s="238">
        <f t="shared" si="15"/>
        <v>-0.34394904458598724</v>
      </c>
    </row>
    <row r="113" spans="1:6" ht="20.25" customHeight="1" x14ac:dyDescent="0.3">
      <c r="A113" s="235">
        <v>9</v>
      </c>
      <c r="B113" s="236" t="s">
        <v>440</v>
      </c>
      <c r="C113" s="239">
        <v>84</v>
      </c>
      <c r="D113" s="239">
        <v>54</v>
      </c>
      <c r="E113" s="239">
        <f t="shared" si="14"/>
        <v>-30</v>
      </c>
      <c r="F113" s="238">
        <f t="shared" si="15"/>
        <v>-0.35714285714285715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6022087</v>
      </c>
      <c r="D114" s="243">
        <f>+D105+D107</f>
        <v>5965495</v>
      </c>
      <c r="E114" s="243">
        <f t="shared" si="14"/>
        <v>-56592</v>
      </c>
      <c r="F114" s="244">
        <f t="shared" si="15"/>
        <v>-9.39740658014406E-3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1544056</v>
      </c>
      <c r="D115" s="243">
        <f>+D106+D108</f>
        <v>1435984</v>
      </c>
      <c r="E115" s="243">
        <f t="shared" si="14"/>
        <v>-108072</v>
      </c>
      <c r="F115" s="244">
        <f t="shared" si="15"/>
        <v>-6.9992280072743482E-2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0</v>
      </c>
      <c r="D118" s="237">
        <v>7734399</v>
      </c>
      <c r="E118" s="237">
        <f t="shared" ref="E118:E128" si="16">D118-C118</f>
        <v>7734399</v>
      </c>
      <c r="F118" s="238">
        <f t="shared" ref="F118:F128" si="17">IF(C118=0,0,E118/C118)</f>
        <v>0</v>
      </c>
    </row>
    <row r="119" spans="1:6" ht="20.25" customHeight="1" x14ac:dyDescent="0.3">
      <c r="A119" s="235">
        <v>2</v>
      </c>
      <c r="B119" s="236" t="s">
        <v>435</v>
      </c>
      <c r="C119" s="237">
        <v>0</v>
      </c>
      <c r="D119" s="237">
        <v>2159753</v>
      </c>
      <c r="E119" s="237">
        <f t="shared" si="16"/>
        <v>2159753</v>
      </c>
      <c r="F119" s="238">
        <f t="shared" si="17"/>
        <v>0</v>
      </c>
    </row>
    <row r="120" spans="1:6" ht="20.25" customHeight="1" x14ac:dyDescent="0.3">
      <c r="A120" s="235">
        <v>3</v>
      </c>
      <c r="B120" s="236" t="s">
        <v>436</v>
      </c>
      <c r="C120" s="237">
        <v>0</v>
      </c>
      <c r="D120" s="237">
        <v>3014344</v>
      </c>
      <c r="E120" s="237">
        <f t="shared" si="16"/>
        <v>3014344</v>
      </c>
      <c r="F120" s="238">
        <f t="shared" si="17"/>
        <v>0</v>
      </c>
    </row>
    <row r="121" spans="1:6" ht="20.25" customHeight="1" x14ac:dyDescent="0.3">
      <c r="A121" s="235">
        <v>4</v>
      </c>
      <c r="B121" s="236" t="s">
        <v>437</v>
      </c>
      <c r="C121" s="237">
        <v>0</v>
      </c>
      <c r="D121" s="237">
        <v>688040</v>
      </c>
      <c r="E121" s="237">
        <f t="shared" si="16"/>
        <v>688040</v>
      </c>
      <c r="F121" s="238">
        <f t="shared" si="17"/>
        <v>0</v>
      </c>
    </row>
    <row r="122" spans="1:6" ht="20.25" customHeight="1" x14ac:dyDescent="0.3">
      <c r="A122" s="235">
        <v>5</v>
      </c>
      <c r="B122" s="236" t="s">
        <v>373</v>
      </c>
      <c r="C122" s="239">
        <v>0</v>
      </c>
      <c r="D122" s="239">
        <v>136</v>
      </c>
      <c r="E122" s="239">
        <f t="shared" si="16"/>
        <v>136</v>
      </c>
      <c r="F122" s="238">
        <f t="shared" si="17"/>
        <v>0</v>
      </c>
    </row>
    <row r="123" spans="1:6" ht="20.25" customHeight="1" x14ac:dyDescent="0.3">
      <c r="A123" s="235">
        <v>6</v>
      </c>
      <c r="B123" s="236" t="s">
        <v>372</v>
      </c>
      <c r="C123" s="239">
        <v>0</v>
      </c>
      <c r="D123" s="239">
        <v>786</v>
      </c>
      <c r="E123" s="239">
        <f t="shared" si="16"/>
        <v>786</v>
      </c>
      <c r="F123" s="238">
        <f t="shared" si="17"/>
        <v>0</v>
      </c>
    </row>
    <row r="124" spans="1:6" ht="20.25" customHeight="1" x14ac:dyDescent="0.3">
      <c r="A124" s="235">
        <v>7</v>
      </c>
      <c r="B124" s="236" t="s">
        <v>438</v>
      </c>
      <c r="C124" s="239">
        <v>0</v>
      </c>
      <c r="D124" s="239">
        <v>1114</v>
      </c>
      <c r="E124" s="239">
        <f t="shared" si="16"/>
        <v>1114</v>
      </c>
      <c r="F124" s="238">
        <f t="shared" si="17"/>
        <v>0</v>
      </c>
    </row>
    <row r="125" spans="1:6" ht="20.25" customHeight="1" x14ac:dyDescent="0.3">
      <c r="A125" s="235">
        <v>8</v>
      </c>
      <c r="B125" s="236" t="s">
        <v>439</v>
      </c>
      <c r="C125" s="239">
        <v>0</v>
      </c>
      <c r="D125" s="239">
        <v>103</v>
      </c>
      <c r="E125" s="239">
        <f t="shared" si="16"/>
        <v>103</v>
      </c>
      <c r="F125" s="238">
        <f t="shared" si="17"/>
        <v>0</v>
      </c>
    </row>
    <row r="126" spans="1:6" ht="20.25" customHeight="1" x14ac:dyDescent="0.3">
      <c r="A126" s="235">
        <v>9</v>
      </c>
      <c r="B126" s="236" t="s">
        <v>440</v>
      </c>
      <c r="C126" s="239">
        <v>0</v>
      </c>
      <c r="D126" s="239">
        <v>81</v>
      </c>
      <c r="E126" s="239">
        <f t="shared" si="16"/>
        <v>81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0</v>
      </c>
      <c r="D127" s="243">
        <f>+D118+D120</f>
        <v>10748743</v>
      </c>
      <c r="E127" s="243">
        <f t="shared" si="16"/>
        <v>10748743</v>
      </c>
      <c r="F127" s="244">
        <f t="shared" si="17"/>
        <v>0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0</v>
      </c>
      <c r="D128" s="243">
        <f>+D119+D121</f>
        <v>2847793</v>
      </c>
      <c r="E128" s="243">
        <f t="shared" si="16"/>
        <v>2847793</v>
      </c>
      <c r="F128" s="244">
        <f t="shared" si="17"/>
        <v>0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702026</v>
      </c>
      <c r="D131" s="237">
        <v>771210</v>
      </c>
      <c r="E131" s="237">
        <f t="shared" ref="E131:E141" si="18">D131-C131</f>
        <v>69184</v>
      </c>
      <c r="F131" s="238">
        <f t="shared" ref="F131:F141" si="19">IF(C131=0,0,E131/C131)</f>
        <v>9.8549056587647746E-2</v>
      </c>
    </row>
    <row r="132" spans="1:6" ht="20.25" customHeight="1" x14ac:dyDescent="0.3">
      <c r="A132" s="235">
        <v>2</v>
      </c>
      <c r="B132" s="236" t="s">
        <v>435</v>
      </c>
      <c r="C132" s="237">
        <v>392787</v>
      </c>
      <c r="D132" s="237">
        <v>128285</v>
      </c>
      <c r="E132" s="237">
        <f t="shared" si="18"/>
        <v>-264502</v>
      </c>
      <c r="F132" s="238">
        <f t="shared" si="19"/>
        <v>-0.67339805034280664</v>
      </c>
    </row>
    <row r="133" spans="1:6" ht="20.25" customHeight="1" x14ac:dyDescent="0.3">
      <c r="A133" s="235">
        <v>3</v>
      </c>
      <c r="B133" s="236" t="s">
        <v>436</v>
      </c>
      <c r="C133" s="237">
        <v>195271</v>
      </c>
      <c r="D133" s="237">
        <v>132180</v>
      </c>
      <c r="E133" s="237">
        <f t="shared" si="18"/>
        <v>-63091</v>
      </c>
      <c r="F133" s="238">
        <f t="shared" si="19"/>
        <v>-0.32309457113447465</v>
      </c>
    </row>
    <row r="134" spans="1:6" ht="20.25" customHeight="1" x14ac:dyDescent="0.3">
      <c r="A134" s="235">
        <v>4</v>
      </c>
      <c r="B134" s="236" t="s">
        <v>437</v>
      </c>
      <c r="C134" s="237">
        <v>31858</v>
      </c>
      <c r="D134" s="237">
        <v>31716</v>
      </c>
      <c r="E134" s="237">
        <f t="shared" si="18"/>
        <v>-142</v>
      </c>
      <c r="F134" s="238">
        <f t="shared" si="19"/>
        <v>-4.4572791763450312E-3</v>
      </c>
    </row>
    <row r="135" spans="1:6" ht="20.25" customHeight="1" x14ac:dyDescent="0.3">
      <c r="A135" s="235">
        <v>5</v>
      </c>
      <c r="B135" s="236" t="s">
        <v>373</v>
      </c>
      <c r="C135" s="239">
        <v>13</v>
      </c>
      <c r="D135" s="239">
        <v>12</v>
      </c>
      <c r="E135" s="239">
        <f t="shared" si="18"/>
        <v>-1</v>
      </c>
      <c r="F135" s="238">
        <f t="shared" si="19"/>
        <v>-7.6923076923076927E-2</v>
      </c>
    </row>
    <row r="136" spans="1:6" ht="20.25" customHeight="1" x14ac:dyDescent="0.3">
      <c r="A136" s="235">
        <v>6</v>
      </c>
      <c r="B136" s="236" t="s">
        <v>372</v>
      </c>
      <c r="C136" s="239">
        <v>68</v>
      </c>
      <c r="D136" s="239">
        <v>82</v>
      </c>
      <c r="E136" s="239">
        <f t="shared" si="18"/>
        <v>14</v>
      </c>
      <c r="F136" s="238">
        <f t="shared" si="19"/>
        <v>0.20588235294117646</v>
      </c>
    </row>
    <row r="137" spans="1:6" ht="20.25" customHeight="1" x14ac:dyDescent="0.3">
      <c r="A137" s="235">
        <v>7</v>
      </c>
      <c r="B137" s="236" t="s">
        <v>438</v>
      </c>
      <c r="C137" s="239">
        <v>60</v>
      </c>
      <c r="D137" s="239">
        <v>83</v>
      </c>
      <c r="E137" s="239">
        <f t="shared" si="18"/>
        <v>23</v>
      </c>
      <c r="F137" s="238">
        <f t="shared" si="19"/>
        <v>0.38333333333333336</v>
      </c>
    </row>
    <row r="138" spans="1:6" ht="20.25" customHeight="1" x14ac:dyDescent="0.3">
      <c r="A138" s="235">
        <v>8</v>
      </c>
      <c r="B138" s="236" t="s">
        <v>439</v>
      </c>
      <c r="C138" s="239">
        <v>8</v>
      </c>
      <c r="D138" s="239">
        <v>9</v>
      </c>
      <c r="E138" s="239">
        <f t="shared" si="18"/>
        <v>1</v>
      </c>
      <c r="F138" s="238">
        <f t="shared" si="19"/>
        <v>0.125</v>
      </c>
    </row>
    <row r="139" spans="1:6" ht="20.25" customHeight="1" x14ac:dyDescent="0.3">
      <c r="A139" s="235">
        <v>9</v>
      </c>
      <c r="B139" s="236" t="s">
        <v>440</v>
      </c>
      <c r="C139" s="239">
        <v>7</v>
      </c>
      <c r="D139" s="239">
        <v>4</v>
      </c>
      <c r="E139" s="239">
        <f t="shared" si="18"/>
        <v>-3</v>
      </c>
      <c r="F139" s="238">
        <f t="shared" si="19"/>
        <v>-0.42857142857142855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897297</v>
      </c>
      <c r="D140" s="243">
        <f>+D131+D133</f>
        <v>903390</v>
      </c>
      <c r="E140" s="243">
        <f t="shared" si="18"/>
        <v>6093</v>
      </c>
      <c r="F140" s="244">
        <f t="shared" si="19"/>
        <v>6.7903938160943367E-3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424645</v>
      </c>
      <c r="D141" s="243">
        <f>+D132+D134</f>
        <v>160001</v>
      </c>
      <c r="E141" s="243">
        <f t="shared" si="18"/>
        <v>-264644</v>
      </c>
      <c r="F141" s="244">
        <f t="shared" si="19"/>
        <v>-0.62321233029942658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459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122556300</v>
      </c>
      <c r="D198" s="243">
        <f t="shared" si="28"/>
        <v>147412203</v>
      </c>
      <c r="E198" s="243">
        <f t="shared" ref="E198:E208" si="29">D198-C198</f>
        <v>24855903</v>
      </c>
      <c r="F198" s="251">
        <f t="shared" ref="F198:F208" si="30">IF(C198=0,0,E198/C198)</f>
        <v>0.20281211981758587</v>
      </c>
    </row>
    <row r="199" spans="1:9" ht="20.25" customHeight="1" x14ac:dyDescent="0.3">
      <c r="A199" s="249"/>
      <c r="B199" s="250" t="s">
        <v>461</v>
      </c>
      <c r="C199" s="243">
        <f t="shared" si="28"/>
        <v>42453015</v>
      </c>
      <c r="D199" s="243">
        <f t="shared" si="28"/>
        <v>49049996</v>
      </c>
      <c r="E199" s="243">
        <f t="shared" si="29"/>
        <v>6596981</v>
      </c>
      <c r="F199" s="251">
        <f t="shared" si="30"/>
        <v>0.15539487595875109</v>
      </c>
    </row>
    <row r="200" spans="1:9" ht="20.25" customHeight="1" x14ac:dyDescent="0.3">
      <c r="A200" s="249"/>
      <c r="B200" s="250" t="s">
        <v>462</v>
      </c>
      <c r="C200" s="243">
        <f t="shared" si="28"/>
        <v>49617825</v>
      </c>
      <c r="D200" s="243">
        <f t="shared" si="28"/>
        <v>55347990</v>
      </c>
      <c r="E200" s="243">
        <f t="shared" si="29"/>
        <v>5730165</v>
      </c>
      <c r="F200" s="251">
        <f t="shared" si="30"/>
        <v>0.11548601737379662</v>
      </c>
    </row>
    <row r="201" spans="1:9" ht="20.25" customHeight="1" x14ac:dyDescent="0.3">
      <c r="A201" s="249"/>
      <c r="B201" s="250" t="s">
        <v>463</v>
      </c>
      <c r="C201" s="243">
        <f t="shared" si="28"/>
        <v>10798466</v>
      </c>
      <c r="D201" s="243">
        <f t="shared" si="28"/>
        <v>14587047</v>
      </c>
      <c r="E201" s="243">
        <f t="shared" si="29"/>
        <v>3788581</v>
      </c>
      <c r="F201" s="251">
        <f t="shared" si="30"/>
        <v>0.35084436993180329</v>
      </c>
    </row>
    <row r="202" spans="1:9" ht="20.25" customHeight="1" x14ac:dyDescent="0.3">
      <c r="A202" s="249"/>
      <c r="B202" s="250" t="s">
        <v>464</v>
      </c>
      <c r="C202" s="252">
        <f t="shared" si="28"/>
        <v>2449</v>
      </c>
      <c r="D202" s="252">
        <f t="shared" si="28"/>
        <v>2741</v>
      </c>
      <c r="E202" s="252">
        <f t="shared" si="29"/>
        <v>292</v>
      </c>
      <c r="F202" s="251">
        <f t="shared" si="30"/>
        <v>0.11923233973050225</v>
      </c>
    </row>
    <row r="203" spans="1:9" ht="20.25" customHeight="1" x14ac:dyDescent="0.3">
      <c r="A203" s="249"/>
      <c r="B203" s="250" t="s">
        <v>465</v>
      </c>
      <c r="C203" s="252">
        <f t="shared" si="28"/>
        <v>14095</v>
      </c>
      <c r="D203" s="252">
        <f t="shared" si="28"/>
        <v>14095</v>
      </c>
      <c r="E203" s="252">
        <f t="shared" si="29"/>
        <v>0</v>
      </c>
      <c r="F203" s="251">
        <f t="shared" si="30"/>
        <v>0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17859</v>
      </c>
      <c r="D204" s="252">
        <f t="shared" si="28"/>
        <v>20008</v>
      </c>
      <c r="E204" s="252">
        <f t="shared" si="29"/>
        <v>2149</v>
      </c>
      <c r="F204" s="251">
        <f t="shared" si="30"/>
        <v>0.12033148552550535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1758</v>
      </c>
      <c r="D205" s="252">
        <f t="shared" si="28"/>
        <v>1853</v>
      </c>
      <c r="E205" s="252">
        <f t="shared" si="29"/>
        <v>95</v>
      </c>
      <c r="F205" s="251">
        <f t="shared" si="30"/>
        <v>5.4038680318543801E-2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1557</v>
      </c>
      <c r="D206" s="252">
        <f t="shared" si="28"/>
        <v>1729</v>
      </c>
      <c r="E206" s="252">
        <f t="shared" si="29"/>
        <v>172</v>
      </c>
      <c r="F206" s="251">
        <f t="shared" si="30"/>
        <v>0.11046885035324341</v>
      </c>
    </row>
    <row r="207" spans="1:9" ht="20.25" customHeight="1" x14ac:dyDescent="0.3">
      <c r="A207" s="249"/>
      <c r="B207" s="242" t="s">
        <v>469</v>
      </c>
      <c r="C207" s="243">
        <f>+C198+C200</f>
        <v>172174125</v>
      </c>
      <c r="D207" s="243">
        <f>+D198+D200</f>
        <v>202760193</v>
      </c>
      <c r="E207" s="243">
        <f t="shared" si="29"/>
        <v>30586068</v>
      </c>
      <c r="F207" s="251">
        <f t="shared" si="30"/>
        <v>0.17764613585229488</v>
      </c>
    </row>
    <row r="208" spans="1:9" ht="20.25" customHeight="1" x14ac:dyDescent="0.3">
      <c r="A208" s="249"/>
      <c r="B208" s="242" t="s">
        <v>470</v>
      </c>
      <c r="C208" s="243">
        <f>+C199+C201</f>
        <v>53251481</v>
      </c>
      <c r="D208" s="243">
        <f>+D199+D201</f>
        <v>63637043</v>
      </c>
      <c r="E208" s="243">
        <f t="shared" si="29"/>
        <v>10385562</v>
      </c>
      <c r="F208" s="251">
        <f t="shared" si="30"/>
        <v>0.19502860399319222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FILING&amp;RYALE-NEW HAVEN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opLeftCell="A2" zoomScale="70" workbookViewId="0">
      <selection activeCell="A3" sqref="A3:F3"/>
    </sheetView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471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25517555</v>
      </c>
      <c r="D14" s="237">
        <v>0</v>
      </c>
      <c r="E14" s="237">
        <f t="shared" ref="E14:E24" si="0">D14-C14</f>
        <v>-25517555</v>
      </c>
      <c r="F14" s="238">
        <f t="shared" ref="F14:F24" si="1">IF(C14=0,0,E14/C14)</f>
        <v>-1</v>
      </c>
    </row>
    <row r="15" spans="1:7" ht="20.25" customHeight="1" x14ac:dyDescent="0.3">
      <c r="A15" s="235">
        <v>2</v>
      </c>
      <c r="B15" s="236" t="s">
        <v>435</v>
      </c>
      <c r="C15" s="237">
        <v>4426833</v>
      </c>
      <c r="D15" s="237">
        <v>0</v>
      </c>
      <c r="E15" s="237">
        <f t="shared" si="0"/>
        <v>-4426833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436</v>
      </c>
      <c r="C16" s="237">
        <v>30974206</v>
      </c>
      <c r="D16" s="237">
        <v>0</v>
      </c>
      <c r="E16" s="237">
        <f t="shared" si="0"/>
        <v>-30974206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437</v>
      </c>
      <c r="C17" s="237">
        <v>11355829</v>
      </c>
      <c r="D17" s="237">
        <v>0</v>
      </c>
      <c r="E17" s="237">
        <f t="shared" si="0"/>
        <v>-11355829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373</v>
      </c>
      <c r="C18" s="239">
        <v>739</v>
      </c>
      <c r="D18" s="239">
        <v>0</v>
      </c>
      <c r="E18" s="239">
        <f t="shared" si="0"/>
        <v>-739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3265</v>
      </c>
      <c r="D19" s="239">
        <v>0</v>
      </c>
      <c r="E19" s="239">
        <f t="shared" si="0"/>
        <v>-3265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7341</v>
      </c>
      <c r="D20" s="239">
        <v>0</v>
      </c>
      <c r="E20" s="239">
        <f t="shared" si="0"/>
        <v>-7341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439</v>
      </c>
      <c r="C21" s="239">
        <v>2112</v>
      </c>
      <c r="D21" s="239">
        <v>0</v>
      </c>
      <c r="E21" s="239">
        <f t="shared" si="0"/>
        <v>-2112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440</v>
      </c>
      <c r="C22" s="239">
        <v>301</v>
      </c>
      <c r="D22" s="239">
        <v>0</v>
      </c>
      <c r="E22" s="239">
        <f t="shared" si="0"/>
        <v>-301</v>
      </c>
      <c r="F22" s="238">
        <f t="shared" si="1"/>
        <v>-1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56491761</v>
      </c>
      <c r="D23" s="243">
        <f>+D14+D16</f>
        <v>0</v>
      </c>
      <c r="E23" s="243">
        <f t="shared" si="0"/>
        <v>-56491761</v>
      </c>
      <c r="F23" s="244">
        <f t="shared" si="1"/>
        <v>-1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15782662</v>
      </c>
      <c r="D24" s="243">
        <f>+D15+D17</f>
        <v>0</v>
      </c>
      <c r="E24" s="243">
        <f t="shared" si="0"/>
        <v>-15782662</v>
      </c>
      <c r="F24" s="244">
        <f t="shared" si="1"/>
        <v>-1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122764151</v>
      </c>
      <c r="D26" s="237">
        <v>169913646</v>
      </c>
      <c r="E26" s="237">
        <f t="shared" ref="E26:E36" si="2">D26-C26</f>
        <v>47149495</v>
      </c>
      <c r="F26" s="238">
        <f t="shared" ref="F26:F36" si="3">IF(C26=0,0,E26/C26)</f>
        <v>0.38406566262165576</v>
      </c>
    </row>
    <row r="27" spans="1:6" ht="20.25" customHeight="1" x14ac:dyDescent="0.3">
      <c r="A27" s="235">
        <v>2</v>
      </c>
      <c r="B27" s="236" t="s">
        <v>435</v>
      </c>
      <c r="C27" s="237">
        <v>20295461</v>
      </c>
      <c r="D27" s="237">
        <v>27813214</v>
      </c>
      <c r="E27" s="237">
        <f t="shared" si="2"/>
        <v>7517753</v>
      </c>
      <c r="F27" s="238">
        <f t="shared" si="3"/>
        <v>0.37041548354087644</v>
      </c>
    </row>
    <row r="28" spans="1:6" ht="20.25" customHeight="1" x14ac:dyDescent="0.3">
      <c r="A28" s="235">
        <v>3</v>
      </c>
      <c r="B28" s="236" t="s">
        <v>436</v>
      </c>
      <c r="C28" s="237">
        <v>37483955</v>
      </c>
      <c r="D28" s="237">
        <v>91982527</v>
      </c>
      <c r="E28" s="237">
        <f t="shared" si="2"/>
        <v>54498572</v>
      </c>
      <c r="F28" s="238">
        <f t="shared" si="3"/>
        <v>1.4539173360975384</v>
      </c>
    </row>
    <row r="29" spans="1:6" ht="20.25" customHeight="1" x14ac:dyDescent="0.3">
      <c r="A29" s="235">
        <v>4</v>
      </c>
      <c r="B29" s="236" t="s">
        <v>437</v>
      </c>
      <c r="C29" s="237">
        <v>13948355</v>
      </c>
      <c r="D29" s="237">
        <v>25275785</v>
      </c>
      <c r="E29" s="237">
        <f t="shared" si="2"/>
        <v>11327430</v>
      </c>
      <c r="F29" s="238">
        <f t="shared" si="3"/>
        <v>0.81209791405509824</v>
      </c>
    </row>
    <row r="30" spans="1:6" ht="20.25" customHeight="1" x14ac:dyDescent="0.3">
      <c r="A30" s="235">
        <v>5</v>
      </c>
      <c r="B30" s="236" t="s">
        <v>373</v>
      </c>
      <c r="C30" s="239">
        <v>3943</v>
      </c>
      <c r="D30" s="239">
        <v>4928</v>
      </c>
      <c r="E30" s="239">
        <f t="shared" si="2"/>
        <v>985</v>
      </c>
      <c r="F30" s="238">
        <f t="shared" si="3"/>
        <v>0.24980978950038041</v>
      </c>
    </row>
    <row r="31" spans="1:6" ht="20.25" customHeight="1" x14ac:dyDescent="0.3">
      <c r="A31" s="235">
        <v>6</v>
      </c>
      <c r="B31" s="236" t="s">
        <v>372</v>
      </c>
      <c r="C31" s="239">
        <v>16084</v>
      </c>
      <c r="D31" s="239">
        <v>21841</v>
      </c>
      <c r="E31" s="239">
        <f t="shared" si="2"/>
        <v>5757</v>
      </c>
      <c r="F31" s="238">
        <f t="shared" si="3"/>
        <v>0.357933349912957</v>
      </c>
    </row>
    <row r="32" spans="1:6" ht="20.25" customHeight="1" x14ac:dyDescent="0.3">
      <c r="A32" s="235">
        <v>7</v>
      </c>
      <c r="B32" s="236" t="s">
        <v>438</v>
      </c>
      <c r="C32" s="239">
        <v>54350</v>
      </c>
      <c r="D32" s="239">
        <v>75696</v>
      </c>
      <c r="E32" s="239">
        <f t="shared" si="2"/>
        <v>21346</v>
      </c>
      <c r="F32" s="238">
        <f t="shared" si="3"/>
        <v>0.39275068997240109</v>
      </c>
    </row>
    <row r="33" spans="1:6" ht="20.25" customHeight="1" x14ac:dyDescent="0.3">
      <c r="A33" s="235">
        <v>8</v>
      </c>
      <c r="B33" s="236" t="s">
        <v>439</v>
      </c>
      <c r="C33" s="239">
        <v>17738</v>
      </c>
      <c r="D33" s="239">
        <v>18266</v>
      </c>
      <c r="E33" s="239">
        <f t="shared" si="2"/>
        <v>528</v>
      </c>
      <c r="F33" s="238">
        <f t="shared" si="3"/>
        <v>2.9766602773706168E-2</v>
      </c>
    </row>
    <row r="34" spans="1:6" ht="20.25" customHeight="1" x14ac:dyDescent="0.3">
      <c r="A34" s="235">
        <v>9</v>
      </c>
      <c r="B34" s="236" t="s">
        <v>440</v>
      </c>
      <c r="C34" s="239">
        <v>2273</v>
      </c>
      <c r="D34" s="239">
        <v>2643</v>
      </c>
      <c r="E34" s="239">
        <f t="shared" si="2"/>
        <v>370</v>
      </c>
      <c r="F34" s="238">
        <f t="shared" si="3"/>
        <v>0.16278046634403873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160248106</v>
      </c>
      <c r="D35" s="243">
        <f>+D26+D28</f>
        <v>261896173</v>
      </c>
      <c r="E35" s="243">
        <f t="shared" si="2"/>
        <v>101648067</v>
      </c>
      <c r="F35" s="244">
        <f t="shared" si="3"/>
        <v>0.63431680746354657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34243816</v>
      </c>
      <c r="D36" s="243">
        <f>+D27+D29</f>
        <v>53088999</v>
      </c>
      <c r="E36" s="243">
        <f t="shared" si="2"/>
        <v>18845183</v>
      </c>
      <c r="F36" s="244">
        <f t="shared" si="3"/>
        <v>0.55032368472018423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19636222</v>
      </c>
      <c r="D50" s="237">
        <v>37344311</v>
      </c>
      <c r="E50" s="237">
        <f t="shared" ref="E50:E60" si="6">D50-C50</f>
        <v>17708089</v>
      </c>
      <c r="F50" s="238">
        <f t="shared" ref="F50:F60" si="7">IF(C50=0,0,E50/C50)</f>
        <v>0.90180733340659924</v>
      </c>
    </row>
    <row r="51" spans="1:6" ht="20.25" customHeight="1" x14ac:dyDescent="0.3">
      <c r="A51" s="235">
        <v>2</v>
      </c>
      <c r="B51" s="236" t="s">
        <v>435</v>
      </c>
      <c r="C51" s="237">
        <v>3547443</v>
      </c>
      <c r="D51" s="237">
        <v>6422422</v>
      </c>
      <c r="E51" s="237">
        <f t="shared" si="6"/>
        <v>2874979</v>
      </c>
      <c r="F51" s="238">
        <f t="shared" si="7"/>
        <v>0.81043698235602379</v>
      </c>
    </row>
    <row r="52" spans="1:6" ht="20.25" customHeight="1" x14ac:dyDescent="0.3">
      <c r="A52" s="235">
        <v>3</v>
      </c>
      <c r="B52" s="236" t="s">
        <v>436</v>
      </c>
      <c r="C52" s="237">
        <v>14631976</v>
      </c>
      <c r="D52" s="237">
        <v>13612712</v>
      </c>
      <c r="E52" s="237">
        <f t="shared" si="6"/>
        <v>-1019264</v>
      </c>
      <c r="F52" s="238">
        <f t="shared" si="7"/>
        <v>-6.9660037714660006E-2</v>
      </c>
    </row>
    <row r="53" spans="1:6" ht="20.25" customHeight="1" x14ac:dyDescent="0.3">
      <c r="A53" s="235">
        <v>4</v>
      </c>
      <c r="B53" s="236" t="s">
        <v>437</v>
      </c>
      <c r="C53" s="237">
        <v>5500199</v>
      </c>
      <c r="D53" s="237">
        <v>4467388</v>
      </c>
      <c r="E53" s="237">
        <f t="shared" si="6"/>
        <v>-1032811</v>
      </c>
      <c r="F53" s="238">
        <f t="shared" si="7"/>
        <v>-0.18777702406767463</v>
      </c>
    </row>
    <row r="54" spans="1:6" ht="20.25" customHeight="1" x14ac:dyDescent="0.3">
      <c r="A54" s="235">
        <v>5</v>
      </c>
      <c r="B54" s="236" t="s">
        <v>373</v>
      </c>
      <c r="C54" s="239">
        <v>410</v>
      </c>
      <c r="D54" s="239">
        <v>697</v>
      </c>
      <c r="E54" s="239">
        <f t="shared" si="6"/>
        <v>287</v>
      </c>
      <c r="F54" s="238">
        <f t="shared" si="7"/>
        <v>0.7</v>
      </c>
    </row>
    <row r="55" spans="1:6" ht="20.25" customHeight="1" x14ac:dyDescent="0.3">
      <c r="A55" s="235">
        <v>6</v>
      </c>
      <c r="B55" s="236" t="s">
        <v>372</v>
      </c>
      <c r="C55" s="239">
        <v>2455</v>
      </c>
      <c r="D55" s="239">
        <v>4669</v>
      </c>
      <c r="E55" s="239">
        <f t="shared" si="6"/>
        <v>2214</v>
      </c>
      <c r="F55" s="238">
        <f t="shared" si="7"/>
        <v>0.90183299389002036</v>
      </c>
    </row>
    <row r="56" spans="1:6" ht="20.25" customHeight="1" x14ac:dyDescent="0.3">
      <c r="A56" s="235">
        <v>7</v>
      </c>
      <c r="B56" s="236" t="s">
        <v>438</v>
      </c>
      <c r="C56" s="239">
        <v>19633</v>
      </c>
      <c r="D56" s="239">
        <v>8071</v>
      </c>
      <c r="E56" s="239">
        <f t="shared" si="6"/>
        <v>-11562</v>
      </c>
      <c r="F56" s="238">
        <f t="shared" si="7"/>
        <v>-0.58890643304640145</v>
      </c>
    </row>
    <row r="57" spans="1:6" ht="20.25" customHeight="1" x14ac:dyDescent="0.3">
      <c r="A57" s="235">
        <v>8</v>
      </c>
      <c r="B57" s="236" t="s">
        <v>439</v>
      </c>
      <c r="C57" s="239">
        <v>1461</v>
      </c>
      <c r="D57" s="239">
        <v>2074</v>
      </c>
      <c r="E57" s="239">
        <f t="shared" si="6"/>
        <v>613</v>
      </c>
      <c r="F57" s="238">
        <f t="shared" si="7"/>
        <v>0.41957563312799451</v>
      </c>
    </row>
    <row r="58" spans="1:6" ht="20.25" customHeight="1" x14ac:dyDescent="0.3">
      <c r="A58" s="235">
        <v>9</v>
      </c>
      <c r="B58" s="236" t="s">
        <v>440</v>
      </c>
      <c r="C58" s="239">
        <v>170</v>
      </c>
      <c r="D58" s="239">
        <v>277</v>
      </c>
      <c r="E58" s="239">
        <f t="shared" si="6"/>
        <v>107</v>
      </c>
      <c r="F58" s="238">
        <f t="shared" si="7"/>
        <v>0.62941176470588234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34268198</v>
      </c>
      <c r="D59" s="243">
        <f>+D50+D52</f>
        <v>50957023</v>
      </c>
      <c r="E59" s="243">
        <f t="shared" si="6"/>
        <v>16688825</v>
      </c>
      <c r="F59" s="244">
        <f t="shared" si="7"/>
        <v>0.48700620324418575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9047642</v>
      </c>
      <c r="D60" s="243">
        <f>+D51+D53</f>
        <v>10889810</v>
      </c>
      <c r="E60" s="243">
        <f t="shared" si="6"/>
        <v>1842168</v>
      </c>
      <c r="F60" s="244">
        <f t="shared" si="7"/>
        <v>0.2036075255851193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0</v>
      </c>
      <c r="D86" s="237">
        <v>27721</v>
      </c>
      <c r="E86" s="237">
        <f t="shared" ref="E86:E96" si="12">D86-C86</f>
        <v>27721</v>
      </c>
      <c r="F86" s="238">
        <f t="shared" ref="F86:F96" si="13">IF(C86=0,0,E86/C86)</f>
        <v>0</v>
      </c>
    </row>
    <row r="87" spans="1:6" ht="20.25" customHeight="1" x14ac:dyDescent="0.3">
      <c r="A87" s="235">
        <v>2</v>
      </c>
      <c r="B87" s="236" t="s">
        <v>435</v>
      </c>
      <c r="C87" s="237">
        <v>0</v>
      </c>
      <c r="D87" s="237">
        <v>15512</v>
      </c>
      <c r="E87" s="237">
        <f t="shared" si="12"/>
        <v>15512</v>
      </c>
      <c r="F87" s="238">
        <f t="shared" si="13"/>
        <v>0</v>
      </c>
    </row>
    <row r="88" spans="1:6" ht="20.25" customHeight="1" x14ac:dyDescent="0.3">
      <c r="A88" s="235">
        <v>3</v>
      </c>
      <c r="B88" s="236" t="s">
        <v>436</v>
      </c>
      <c r="C88" s="237">
        <v>977</v>
      </c>
      <c r="D88" s="237">
        <v>7221</v>
      </c>
      <c r="E88" s="237">
        <f t="shared" si="12"/>
        <v>6244</v>
      </c>
      <c r="F88" s="238">
        <f t="shared" si="13"/>
        <v>6.3909928352098264</v>
      </c>
    </row>
    <row r="89" spans="1:6" ht="20.25" customHeight="1" x14ac:dyDescent="0.3">
      <c r="A89" s="235">
        <v>4</v>
      </c>
      <c r="B89" s="236" t="s">
        <v>437</v>
      </c>
      <c r="C89" s="237">
        <v>968</v>
      </c>
      <c r="D89" s="237">
        <v>2709</v>
      </c>
      <c r="E89" s="237">
        <f t="shared" si="12"/>
        <v>1741</v>
      </c>
      <c r="F89" s="238">
        <f t="shared" si="13"/>
        <v>1.7985537190082646</v>
      </c>
    </row>
    <row r="90" spans="1:6" ht="20.25" customHeight="1" x14ac:dyDescent="0.3">
      <c r="A90" s="235">
        <v>5</v>
      </c>
      <c r="B90" s="236" t="s">
        <v>373</v>
      </c>
      <c r="C90" s="239">
        <v>0</v>
      </c>
      <c r="D90" s="239">
        <v>1</v>
      </c>
      <c r="E90" s="239">
        <f t="shared" si="12"/>
        <v>1</v>
      </c>
      <c r="F90" s="238">
        <f t="shared" si="13"/>
        <v>0</v>
      </c>
    </row>
    <row r="91" spans="1:6" ht="20.25" customHeight="1" x14ac:dyDescent="0.3">
      <c r="A91" s="235">
        <v>6</v>
      </c>
      <c r="B91" s="236" t="s">
        <v>372</v>
      </c>
      <c r="C91" s="239">
        <v>0</v>
      </c>
      <c r="D91" s="239">
        <v>3</v>
      </c>
      <c r="E91" s="239">
        <f t="shared" si="12"/>
        <v>3</v>
      </c>
      <c r="F91" s="238">
        <f t="shared" si="13"/>
        <v>0</v>
      </c>
    </row>
    <row r="92" spans="1:6" ht="20.25" customHeight="1" x14ac:dyDescent="0.3">
      <c r="A92" s="235">
        <v>7</v>
      </c>
      <c r="B92" s="236" t="s">
        <v>438</v>
      </c>
      <c r="C92" s="239">
        <v>6</v>
      </c>
      <c r="D92" s="239">
        <v>0</v>
      </c>
      <c r="E92" s="239">
        <f t="shared" si="12"/>
        <v>-6</v>
      </c>
      <c r="F92" s="238">
        <f t="shared" si="13"/>
        <v>-1</v>
      </c>
    </row>
    <row r="93" spans="1:6" ht="20.25" customHeight="1" x14ac:dyDescent="0.3">
      <c r="A93" s="235">
        <v>8</v>
      </c>
      <c r="B93" s="236" t="s">
        <v>439</v>
      </c>
      <c r="C93" s="239">
        <v>2</v>
      </c>
      <c r="D93" s="239">
        <v>0</v>
      </c>
      <c r="E93" s="239">
        <f t="shared" si="12"/>
        <v>-2</v>
      </c>
      <c r="F93" s="238">
        <f t="shared" si="13"/>
        <v>-1</v>
      </c>
    </row>
    <row r="94" spans="1:6" ht="20.25" customHeight="1" x14ac:dyDescent="0.3">
      <c r="A94" s="235">
        <v>9</v>
      </c>
      <c r="B94" s="236" t="s">
        <v>440</v>
      </c>
      <c r="C94" s="239">
        <v>0</v>
      </c>
      <c r="D94" s="239">
        <v>1</v>
      </c>
      <c r="E94" s="239">
        <f t="shared" si="12"/>
        <v>1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977</v>
      </c>
      <c r="D95" s="243">
        <f>+D86+D88</f>
        <v>34942</v>
      </c>
      <c r="E95" s="243">
        <f t="shared" si="12"/>
        <v>33965</v>
      </c>
      <c r="F95" s="244">
        <f t="shared" si="13"/>
        <v>34.764585465711363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968</v>
      </c>
      <c r="D96" s="243">
        <f>+D87+D89</f>
        <v>18221</v>
      </c>
      <c r="E96" s="243">
        <f t="shared" si="12"/>
        <v>17253</v>
      </c>
      <c r="F96" s="244">
        <f t="shared" si="13"/>
        <v>17.823347107438018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39622367</v>
      </c>
      <c r="D98" s="237">
        <v>59784159</v>
      </c>
      <c r="E98" s="237">
        <f t="shared" ref="E98:E108" si="14">D98-C98</f>
        <v>20161792</v>
      </c>
      <c r="F98" s="238">
        <f t="shared" ref="F98:F108" si="15">IF(C98=0,0,E98/C98)</f>
        <v>0.50884875201928248</v>
      </c>
    </row>
    <row r="99" spans="1:7" ht="20.25" customHeight="1" x14ac:dyDescent="0.3">
      <c r="A99" s="235">
        <v>2</v>
      </c>
      <c r="B99" s="236" t="s">
        <v>435</v>
      </c>
      <c r="C99" s="237">
        <v>6704186</v>
      </c>
      <c r="D99" s="237">
        <v>9850620</v>
      </c>
      <c r="E99" s="237">
        <f t="shared" si="14"/>
        <v>3146434</v>
      </c>
      <c r="F99" s="238">
        <f t="shared" si="15"/>
        <v>0.46932379262747187</v>
      </c>
    </row>
    <row r="100" spans="1:7" ht="20.25" customHeight="1" x14ac:dyDescent="0.3">
      <c r="A100" s="235">
        <v>3</v>
      </c>
      <c r="B100" s="236" t="s">
        <v>436</v>
      </c>
      <c r="C100" s="237">
        <v>439597</v>
      </c>
      <c r="D100" s="237">
        <v>28935036</v>
      </c>
      <c r="E100" s="237">
        <f t="shared" si="14"/>
        <v>28495439</v>
      </c>
      <c r="F100" s="238">
        <f t="shared" si="15"/>
        <v>64.821732177426142</v>
      </c>
    </row>
    <row r="101" spans="1:7" ht="20.25" customHeight="1" x14ac:dyDescent="0.3">
      <c r="A101" s="235">
        <v>4</v>
      </c>
      <c r="B101" s="236" t="s">
        <v>437</v>
      </c>
      <c r="C101" s="237">
        <v>401808</v>
      </c>
      <c r="D101" s="237">
        <v>8582275</v>
      </c>
      <c r="E101" s="237">
        <f t="shared" si="14"/>
        <v>8180467</v>
      </c>
      <c r="F101" s="238">
        <f t="shared" si="15"/>
        <v>20.359144168359016</v>
      </c>
    </row>
    <row r="102" spans="1:7" ht="20.25" customHeight="1" x14ac:dyDescent="0.3">
      <c r="A102" s="235">
        <v>5</v>
      </c>
      <c r="B102" s="236" t="s">
        <v>373</v>
      </c>
      <c r="C102" s="239">
        <v>1101</v>
      </c>
      <c r="D102" s="239">
        <v>1513</v>
      </c>
      <c r="E102" s="239">
        <f t="shared" si="14"/>
        <v>412</v>
      </c>
      <c r="F102" s="238">
        <f t="shared" si="15"/>
        <v>0.37420526793823794</v>
      </c>
    </row>
    <row r="103" spans="1:7" ht="20.25" customHeight="1" x14ac:dyDescent="0.3">
      <c r="A103" s="235">
        <v>6</v>
      </c>
      <c r="B103" s="236" t="s">
        <v>372</v>
      </c>
      <c r="C103" s="239">
        <v>5113</v>
      </c>
      <c r="D103" s="239">
        <v>7009</v>
      </c>
      <c r="E103" s="239">
        <f t="shared" si="14"/>
        <v>1896</v>
      </c>
      <c r="F103" s="238">
        <f t="shared" si="15"/>
        <v>0.37081947975748092</v>
      </c>
    </row>
    <row r="104" spans="1:7" ht="20.25" customHeight="1" x14ac:dyDescent="0.3">
      <c r="A104" s="235">
        <v>7</v>
      </c>
      <c r="B104" s="236" t="s">
        <v>438</v>
      </c>
      <c r="C104" s="239">
        <v>11591</v>
      </c>
      <c r="D104" s="239">
        <v>16549</v>
      </c>
      <c r="E104" s="239">
        <f t="shared" si="14"/>
        <v>4958</v>
      </c>
      <c r="F104" s="238">
        <f t="shared" si="15"/>
        <v>0.4277456647398844</v>
      </c>
    </row>
    <row r="105" spans="1:7" ht="20.25" customHeight="1" x14ac:dyDescent="0.3">
      <c r="A105" s="235">
        <v>8</v>
      </c>
      <c r="B105" s="236" t="s">
        <v>439</v>
      </c>
      <c r="C105" s="239">
        <v>3383</v>
      </c>
      <c r="D105" s="239">
        <v>4174</v>
      </c>
      <c r="E105" s="239">
        <f t="shared" si="14"/>
        <v>791</v>
      </c>
      <c r="F105" s="238">
        <f t="shared" si="15"/>
        <v>0.23381613952113509</v>
      </c>
    </row>
    <row r="106" spans="1:7" ht="20.25" customHeight="1" x14ac:dyDescent="0.3">
      <c r="A106" s="235">
        <v>9</v>
      </c>
      <c r="B106" s="236" t="s">
        <v>440</v>
      </c>
      <c r="C106" s="239">
        <v>494</v>
      </c>
      <c r="D106" s="239">
        <v>690</v>
      </c>
      <c r="E106" s="239">
        <f t="shared" si="14"/>
        <v>196</v>
      </c>
      <c r="F106" s="238">
        <f t="shared" si="15"/>
        <v>0.39676113360323889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40061964</v>
      </c>
      <c r="D107" s="243">
        <f>+D98+D100</f>
        <v>88719195</v>
      </c>
      <c r="E107" s="243">
        <f t="shared" si="14"/>
        <v>48657231</v>
      </c>
      <c r="F107" s="244">
        <f t="shared" si="15"/>
        <v>1.2145493166535719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7105994</v>
      </c>
      <c r="D108" s="243">
        <f>+D99+D101</f>
        <v>18432895</v>
      </c>
      <c r="E108" s="243">
        <f t="shared" si="14"/>
        <v>11326901</v>
      </c>
      <c r="F108" s="244">
        <f t="shared" si="15"/>
        <v>1.5939924801512639</v>
      </c>
    </row>
    <row r="109" spans="1:7" s="240" customFormat="1" ht="20.25" customHeight="1" x14ac:dyDescent="0.3">
      <c r="A109" s="688" t="s">
        <v>44</v>
      </c>
      <c r="B109" s="689" t="s">
        <v>478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207540295</v>
      </c>
      <c r="D112" s="243">
        <f t="shared" si="16"/>
        <v>267069837</v>
      </c>
      <c r="E112" s="243">
        <f t="shared" ref="E112:E122" si="17">D112-C112</f>
        <v>59529542</v>
      </c>
      <c r="F112" s="244">
        <f t="shared" ref="F112:F122" si="18">IF(C112=0,0,E112/C112)</f>
        <v>0.28683365801325472</v>
      </c>
    </row>
    <row r="113" spans="1:6" ht="20.25" customHeight="1" x14ac:dyDescent="0.3">
      <c r="A113" s="249"/>
      <c r="B113" s="250" t="s">
        <v>461</v>
      </c>
      <c r="C113" s="243">
        <f t="shared" si="16"/>
        <v>34973923</v>
      </c>
      <c r="D113" s="243">
        <f t="shared" si="16"/>
        <v>44101768</v>
      </c>
      <c r="E113" s="243">
        <f t="shared" si="17"/>
        <v>9127845</v>
      </c>
      <c r="F113" s="244">
        <f t="shared" si="18"/>
        <v>0.26099002391010012</v>
      </c>
    </row>
    <row r="114" spans="1:6" ht="20.25" customHeight="1" x14ac:dyDescent="0.3">
      <c r="A114" s="249"/>
      <c r="B114" s="250" t="s">
        <v>462</v>
      </c>
      <c r="C114" s="243">
        <f t="shared" si="16"/>
        <v>83530711</v>
      </c>
      <c r="D114" s="243">
        <f t="shared" si="16"/>
        <v>134537496</v>
      </c>
      <c r="E114" s="243">
        <f t="shared" si="17"/>
        <v>51006785</v>
      </c>
      <c r="F114" s="244">
        <f t="shared" si="18"/>
        <v>0.61063511119880209</v>
      </c>
    </row>
    <row r="115" spans="1:6" ht="20.25" customHeight="1" x14ac:dyDescent="0.3">
      <c r="A115" s="249"/>
      <c r="B115" s="250" t="s">
        <v>463</v>
      </c>
      <c r="C115" s="243">
        <f t="shared" si="16"/>
        <v>31207159</v>
      </c>
      <c r="D115" s="243">
        <f t="shared" si="16"/>
        <v>38328157</v>
      </c>
      <c r="E115" s="243">
        <f t="shared" si="17"/>
        <v>7120998</v>
      </c>
      <c r="F115" s="244">
        <f t="shared" si="18"/>
        <v>0.22818475722189258</v>
      </c>
    </row>
    <row r="116" spans="1:6" ht="20.25" customHeight="1" x14ac:dyDescent="0.3">
      <c r="A116" s="249"/>
      <c r="B116" s="250" t="s">
        <v>464</v>
      </c>
      <c r="C116" s="252">
        <f t="shared" si="16"/>
        <v>6193</v>
      </c>
      <c r="D116" s="252">
        <f t="shared" si="16"/>
        <v>7139</v>
      </c>
      <c r="E116" s="252">
        <f t="shared" si="17"/>
        <v>946</v>
      </c>
      <c r="F116" s="244">
        <f t="shared" si="18"/>
        <v>0.15275310834813499</v>
      </c>
    </row>
    <row r="117" spans="1:6" ht="20.25" customHeight="1" x14ac:dyDescent="0.3">
      <c r="A117" s="249"/>
      <c r="B117" s="250" t="s">
        <v>465</v>
      </c>
      <c r="C117" s="252">
        <f t="shared" si="16"/>
        <v>26917</v>
      </c>
      <c r="D117" s="252">
        <f t="shared" si="16"/>
        <v>33522</v>
      </c>
      <c r="E117" s="252">
        <f t="shared" si="17"/>
        <v>6605</v>
      </c>
      <c r="F117" s="244">
        <f t="shared" si="18"/>
        <v>0.24538395809339822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92921</v>
      </c>
      <c r="D118" s="252">
        <f t="shared" si="16"/>
        <v>100316</v>
      </c>
      <c r="E118" s="252">
        <f t="shared" si="17"/>
        <v>7395</v>
      </c>
      <c r="F118" s="244">
        <f t="shared" si="18"/>
        <v>7.9583732417860334E-2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24696</v>
      </c>
      <c r="D119" s="252">
        <f t="shared" si="16"/>
        <v>24514</v>
      </c>
      <c r="E119" s="252">
        <f t="shared" si="17"/>
        <v>-182</v>
      </c>
      <c r="F119" s="244">
        <f t="shared" si="18"/>
        <v>-7.3696145124716554E-3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3238</v>
      </c>
      <c r="D120" s="252">
        <f t="shared" si="16"/>
        <v>3611</v>
      </c>
      <c r="E120" s="252">
        <f t="shared" si="17"/>
        <v>373</v>
      </c>
      <c r="F120" s="244">
        <f t="shared" si="18"/>
        <v>0.11519456454601606</v>
      </c>
    </row>
    <row r="121" spans="1:6" ht="39.950000000000003" customHeight="1" x14ac:dyDescent="0.3">
      <c r="A121" s="249"/>
      <c r="B121" s="242" t="s">
        <v>441</v>
      </c>
      <c r="C121" s="243">
        <f>+C112+C114</f>
        <v>291071006</v>
      </c>
      <c r="D121" s="243">
        <f>+D112+D114</f>
        <v>401607333</v>
      </c>
      <c r="E121" s="243">
        <f t="shared" si="17"/>
        <v>110536327</v>
      </c>
      <c r="F121" s="244">
        <f t="shared" si="18"/>
        <v>0.37975725758133394</v>
      </c>
    </row>
    <row r="122" spans="1:6" ht="39.950000000000003" customHeight="1" x14ac:dyDescent="0.3">
      <c r="A122" s="249"/>
      <c r="B122" s="242" t="s">
        <v>470</v>
      </c>
      <c r="C122" s="243">
        <f>+C113+C115</f>
        <v>66181082</v>
      </c>
      <c r="D122" s="243">
        <f>+D113+D115</f>
        <v>82429925</v>
      </c>
      <c r="E122" s="243">
        <f t="shared" si="17"/>
        <v>16248843</v>
      </c>
      <c r="F122" s="244">
        <f t="shared" si="18"/>
        <v>0.24552096322631897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FILING&amp;RYALE-NEW HAVEN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60217000</v>
      </c>
      <c r="D13" s="23">
        <v>74032000</v>
      </c>
      <c r="E13" s="23">
        <f t="shared" ref="E13:E22" si="0">D13-C13</f>
        <v>13815000</v>
      </c>
      <c r="F13" s="24">
        <f t="shared" ref="F13:F22" si="1">IF(C13=0,0,E13/C13)</f>
        <v>0.22942026338077287</v>
      </c>
    </row>
    <row r="14" spans="1:8" ht="24" customHeight="1" x14ac:dyDescent="0.2">
      <c r="A14" s="21">
        <v>2</v>
      </c>
      <c r="B14" s="22" t="s">
        <v>17</v>
      </c>
      <c r="C14" s="23">
        <v>456660000</v>
      </c>
      <c r="D14" s="23">
        <v>342847000</v>
      </c>
      <c r="E14" s="23">
        <f t="shared" si="0"/>
        <v>-113813000</v>
      </c>
      <c r="F14" s="24">
        <f t="shared" si="1"/>
        <v>-0.24922918582753034</v>
      </c>
    </row>
    <row r="15" spans="1:8" ht="35.1" customHeight="1" x14ac:dyDescent="0.2">
      <c r="A15" s="21">
        <v>3</v>
      </c>
      <c r="B15" s="22" t="s">
        <v>18</v>
      </c>
      <c r="C15" s="23">
        <v>128416000</v>
      </c>
      <c r="D15" s="23">
        <v>138810000</v>
      </c>
      <c r="E15" s="23">
        <f t="shared" si="0"/>
        <v>10394000</v>
      </c>
      <c r="F15" s="24">
        <f t="shared" si="1"/>
        <v>8.0940069773236978E-2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14721000</v>
      </c>
      <c r="D19" s="23">
        <v>20112000</v>
      </c>
      <c r="E19" s="23">
        <f t="shared" si="0"/>
        <v>5391000</v>
      </c>
      <c r="F19" s="24">
        <f t="shared" si="1"/>
        <v>0.36621153454249034</v>
      </c>
    </row>
    <row r="20" spans="1:11" ht="24" customHeight="1" x14ac:dyDescent="0.2">
      <c r="A20" s="21">
        <v>8</v>
      </c>
      <c r="B20" s="22" t="s">
        <v>23</v>
      </c>
      <c r="C20" s="23">
        <v>6309000</v>
      </c>
      <c r="D20" s="23">
        <v>6113000</v>
      </c>
      <c r="E20" s="23">
        <f t="shared" si="0"/>
        <v>-196000</v>
      </c>
      <c r="F20" s="24">
        <f t="shared" si="1"/>
        <v>-3.1066730068156603E-2</v>
      </c>
    </row>
    <row r="21" spans="1:11" ht="24" customHeight="1" x14ac:dyDescent="0.2">
      <c r="A21" s="21">
        <v>9</v>
      </c>
      <c r="B21" s="22" t="s">
        <v>24</v>
      </c>
      <c r="C21" s="23">
        <v>35687000</v>
      </c>
      <c r="D21" s="23">
        <v>41519000</v>
      </c>
      <c r="E21" s="23">
        <f t="shared" si="0"/>
        <v>5832000</v>
      </c>
      <c r="F21" s="24">
        <f t="shared" si="1"/>
        <v>0.16342085353209854</v>
      </c>
    </row>
    <row r="22" spans="1:11" ht="24" customHeight="1" x14ac:dyDescent="0.25">
      <c r="A22" s="25"/>
      <c r="B22" s="26" t="s">
        <v>25</v>
      </c>
      <c r="C22" s="27">
        <f>SUM(C13:C21)</f>
        <v>702010000</v>
      </c>
      <c r="D22" s="27">
        <f>SUM(D13:D21)</f>
        <v>623433000</v>
      </c>
      <c r="E22" s="27">
        <f t="shared" si="0"/>
        <v>-78577000</v>
      </c>
      <c r="F22" s="28">
        <f t="shared" si="1"/>
        <v>-0.1119314539678922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11105000</v>
      </c>
      <c r="D25" s="23">
        <v>11639000</v>
      </c>
      <c r="E25" s="23">
        <f>D25-C25</f>
        <v>534000</v>
      </c>
      <c r="F25" s="24">
        <f>IF(C25=0,0,E25/C25)</f>
        <v>4.8086447546150379E-2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76806000</v>
      </c>
      <c r="D26" s="23">
        <v>54012000</v>
      </c>
      <c r="E26" s="23">
        <f>D26-C26</f>
        <v>-22794000</v>
      </c>
      <c r="F26" s="24">
        <f>IF(C26=0,0,E26/C26)</f>
        <v>-0.29677368955550348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87911000</v>
      </c>
      <c r="D29" s="27">
        <f>SUM(D25:D28)</f>
        <v>65651000</v>
      </c>
      <c r="E29" s="27">
        <f>D29-C29</f>
        <v>-22260000</v>
      </c>
      <c r="F29" s="28">
        <f>IF(C29=0,0,E29/C29)</f>
        <v>-0.25321063348158934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85813000</v>
      </c>
      <c r="D32" s="23">
        <v>157072000</v>
      </c>
      <c r="E32" s="23">
        <f>D32-C32</f>
        <v>71259000</v>
      </c>
      <c r="F32" s="24">
        <f>IF(C32=0,0,E32/C32)</f>
        <v>0.83039865754605946</v>
      </c>
    </row>
    <row r="33" spans="1:8" ht="24" customHeight="1" x14ac:dyDescent="0.2">
      <c r="A33" s="21">
        <v>7</v>
      </c>
      <c r="B33" s="22" t="s">
        <v>35</v>
      </c>
      <c r="C33" s="23">
        <v>60255000</v>
      </c>
      <c r="D33" s="23">
        <v>74680000</v>
      </c>
      <c r="E33" s="23">
        <f>D33-C33</f>
        <v>14425000</v>
      </c>
      <c r="F33" s="24">
        <f>IF(C33=0,0,E33/C33)</f>
        <v>0.23939921998174427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869996000</v>
      </c>
      <c r="D36" s="23">
        <v>1391847000</v>
      </c>
      <c r="E36" s="23">
        <f>D36-C36</f>
        <v>521851000</v>
      </c>
      <c r="F36" s="24">
        <f>IF(C36=0,0,E36/C36)</f>
        <v>0.59983149347813092</v>
      </c>
    </row>
    <row r="37" spans="1:8" ht="24" customHeight="1" x14ac:dyDescent="0.2">
      <c r="A37" s="21">
        <v>2</v>
      </c>
      <c r="B37" s="22" t="s">
        <v>39</v>
      </c>
      <c r="C37" s="23">
        <v>566061000</v>
      </c>
      <c r="D37" s="23">
        <v>539086000</v>
      </c>
      <c r="E37" s="23">
        <f>D37-C37</f>
        <v>-26975000</v>
      </c>
      <c r="F37" s="23">
        <f>IF(C37=0,0,E37/C37)</f>
        <v>-4.7653874759080735E-2</v>
      </c>
    </row>
    <row r="38" spans="1:8" ht="24" customHeight="1" x14ac:dyDescent="0.25">
      <c r="A38" s="25"/>
      <c r="B38" s="26" t="s">
        <v>40</v>
      </c>
      <c r="C38" s="27">
        <f>C36-C37</f>
        <v>303935000</v>
      </c>
      <c r="D38" s="27">
        <f>D36-D37</f>
        <v>852761000</v>
      </c>
      <c r="E38" s="27">
        <f>D38-C38</f>
        <v>548826000</v>
      </c>
      <c r="F38" s="28">
        <f>IF(C38=0,0,E38/C38)</f>
        <v>1.8057347788178393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360678000</v>
      </c>
      <c r="D40" s="23">
        <v>17563000</v>
      </c>
      <c r="E40" s="23">
        <f>D40-C40</f>
        <v>-343115000</v>
      </c>
      <c r="F40" s="24">
        <f>IF(C40=0,0,E40/C40)</f>
        <v>-0.95130559668180481</v>
      </c>
    </row>
    <row r="41" spans="1:8" ht="24" customHeight="1" x14ac:dyDescent="0.25">
      <c r="A41" s="25"/>
      <c r="B41" s="26" t="s">
        <v>42</v>
      </c>
      <c r="C41" s="27">
        <f>+C38+C40</f>
        <v>664613000</v>
      </c>
      <c r="D41" s="27">
        <f>+D38+D40</f>
        <v>870324000</v>
      </c>
      <c r="E41" s="27">
        <f>D41-C41</f>
        <v>205711000</v>
      </c>
      <c r="F41" s="28">
        <f>IF(C41=0,0,E41/C41)</f>
        <v>0.30951997628695194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1600602000</v>
      </c>
      <c r="D43" s="27">
        <f>D22+D29+D31+D32+D33+D41</f>
        <v>1791160000</v>
      </c>
      <c r="E43" s="27">
        <f>D43-C43</f>
        <v>190558000</v>
      </c>
      <c r="F43" s="28">
        <f>IF(C43=0,0,E43/C43)</f>
        <v>0.11905395594907416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129737000</v>
      </c>
      <c r="D49" s="23">
        <v>164517000</v>
      </c>
      <c r="E49" s="23">
        <f t="shared" ref="E49:E56" si="2">D49-C49</f>
        <v>34780000</v>
      </c>
      <c r="F49" s="24">
        <f t="shared" ref="F49:F56" si="3">IF(C49=0,0,E49/C49)</f>
        <v>0.26808080963795988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69420000</v>
      </c>
      <c r="D50" s="23">
        <v>49759000</v>
      </c>
      <c r="E50" s="23">
        <f t="shared" si="2"/>
        <v>-19661000</v>
      </c>
      <c r="F50" s="24">
        <f t="shared" si="3"/>
        <v>-0.28321809276865456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0</v>
      </c>
      <c r="E51" s="23">
        <f t="shared" si="2"/>
        <v>0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12270000</v>
      </c>
      <c r="D53" s="23">
        <v>14663000</v>
      </c>
      <c r="E53" s="23">
        <f t="shared" si="2"/>
        <v>2393000</v>
      </c>
      <c r="F53" s="24">
        <f t="shared" si="3"/>
        <v>0.19502852485737571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2065000</v>
      </c>
      <c r="D55" s="23">
        <v>1117000</v>
      </c>
      <c r="E55" s="23">
        <f t="shared" si="2"/>
        <v>-948000</v>
      </c>
      <c r="F55" s="24">
        <f t="shared" si="3"/>
        <v>-0.45907990314769975</v>
      </c>
    </row>
    <row r="56" spans="1:6" ht="24" customHeight="1" x14ac:dyDescent="0.25">
      <c r="A56" s="25"/>
      <c r="B56" s="26" t="s">
        <v>54</v>
      </c>
      <c r="C56" s="27">
        <f>SUM(C49:C55)</f>
        <v>213492000</v>
      </c>
      <c r="D56" s="27">
        <f>SUM(D49:D55)</f>
        <v>230056000</v>
      </c>
      <c r="E56" s="27">
        <f t="shared" si="2"/>
        <v>16564000</v>
      </c>
      <c r="F56" s="28">
        <f t="shared" si="3"/>
        <v>7.7586045378749552E-2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388034000</v>
      </c>
      <c r="D59" s="23">
        <v>377044000</v>
      </c>
      <c r="E59" s="23">
        <f>D59-C59</f>
        <v>-10990000</v>
      </c>
      <c r="F59" s="24">
        <f>IF(C59=0,0,E59/C59)</f>
        <v>-2.8322260420478619E-2</v>
      </c>
    </row>
    <row r="60" spans="1:6" ht="24" customHeight="1" x14ac:dyDescent="0.2">
      <c r="A60" s="21">
        <v>2</v>
      </c>
      <c r="B60" s="22" t="s">
        <v>57</v>
      </c>
      <c r="C60" s="23">
        <v>8495000</v>
      </c>
      <c r="D60" s="23">
        <v>117100000</v>
      </c>
      <c r="E60" s="23">
        <f>D60-C60</f>
        <v>108605000</v>
      </c>
      <c r="F60" s="24">
        <f>IF(C60=0,0,E60/C60)</f>
        <v>12.784579164214243</v>
      </c>
    </row>
    <row r="61" spans="1:6" ht="24" customHeight="1" x14ac:dyDescent="0.25">
      <c r="A61" s="25"/>
      <c r="B61" s="26" t="s">
        <v>58</v>
      </c>
      <c r="C61" s="27">
        <f>SUM(C59:C60)</f>
        <v>396529000</v>
      </c>
      <c r="D61" s="27">
        <f>SUM(D59:D60)</f>
        <v>494144000</v>
      </c>
      <c r="E61" s="27">
        <f>D61-C61</f>
        <v>97615000</v>
      </c>
      <c r="F61" s="28">
        <f>IF(C61=0,0,E61/C61)</f>
        <v>0.24617367203911947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192862000</v>
      </c>
      <c r="D63" s="23">
        <v>212544000</v>
      </c>
      <c r="E63" s="23">
        <f>D63-C63</f>
        <v>19682000</v>
      </c>
      <c r="F63" s="24">
        <f>IF(C63=0,0,E63/C63)</f>
        <v>0.10205224461013575</v>
      </c>
    </row>
    <row r="64" spans="1:6" ht="24" customHeight="1" x14ac:dyDescent="0.2">
      <c r="A64" s="21">
        <v>4</v>
      </c>
      <c r="B64" s="22" t="s">
        <v>60</v>
      </c>
      <c r="C64" s="23">
        <v>197752000</v>
      </c>
      <c r="D64" s="23">
        <v>198902000</v>
      </c>
      <c r="E64" s="23">
        <f>D64-C64</f>
        <v>1150000</v>
      </c>
      <c r="F64" s="24">
        <f>IF(C64=0,0,E64/C64)</f>
        <v>5.8153646992192241E-3</v>
      </c>
    </row>
    <row r="65" spans="1:6" ht="24" customHeight="1" x14ac:dyDescent="0.25">
      <c r="A65" s="25"/>
      <c r="B65" s="26" t="s">
        <v>61</v>
      </c>
      <c r="C65" s="27">
        <f>SUM(C61:C64)</f>
        <v>787143000</v>
      </c>
      <c r="D65" s="27">
        <f>SUM(D61:D64)</f>
        <v>905590000</v>
      </c>
      <c r="E65" s="27">
        <f>D65-C65</f>
        <v>118447000</v>
      </c>
      <c r="F65" s="28">
        <f>IF(C65=0,0,E65/C65)</f>
        <v>0.15047710517656893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526740000</v>
      </c>
      <c r="D70" s="23">
        <v>580733000</v>
      </c>
      <c r="E70" s="23">
        <f>D70-C70</f>
        <v>53993000</v>
      </c>
      <c r="F70" s="24">
        <f>IF(C70=0,0,E70/C70)</f>
        <v>0.10250408171014162</v>
      </c>
    </row>
    <row r="71" spans="1:6" ht="24" customHeight="1" x14ac:dyDescent="0.2">
      <c r="A71" s="21">
        <v>2</v>
      </c>
      <c r="B71" s="22" t="s">
        <v>65</v>
      </c>
      <c r="C71" s="23">
        <v>47505000</v>
      </c>
      <c r="D71" s="23">
        <v>48525000</v>
      </c>
      <c r="E71" s="23">
        <f>D71-C71</f>
        <v>1020000</v>
      </c>
      <c r="F71" s="24">
        <f>IF(C71=0,0,E71/C71)</f>
        <v>2.1471424060625199E-2</v>
      </c>
    </row>
    <row r="72" spans="1:6" ht="24" customHeight="1" x14ac:dyDescent="0.2">
      <c r="A72" s="21">
        <v>3</v>
      </c>
      <c r="B72" s="22" t="s">
        <v>66</v>
      </c>
      <c r="C72" s="23">
        <v>25722000</v>
      </c>
      <c r="D72" s="23">
        <v>26256000</v>
      </c>
      <c r="E72" s="23">
        <f>D72-C72</f>
        <v>534000</v>
      </c>
      <c r="F72" s="24">
        <f>IF(C72=0,0,E72/C72)</f>
        <v>2.0760438535106136E-2</v>
      </c>
    </row>
    <row r="73" spans="1:6" ht="24" customHeight="1" x14ac:dyDescent="0.25">
      <c r="A73" s="21"/>
      <c r="B73" s="26" t="s">
        <v>67</v>
      </c>
      <c r="C73" s="27">
        <f>SUM(C70:C72)</f>
        <v>599967000</v>
      </c>
      <c r="D73" s="27">
        <f>SUM(D70:D72)</f>
        <v>655514000</v>
      </c>
      <c r="E73" s="27">
        <f>D73-C73</f>
        <v>55547000</v>
      </c>
      <c r="F73" s="28">
        <f>IF(C73=0,0,E73/C73)</f>
        <v>9.2583425421731522E-2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1600602000</v>
      </c>
      <c r="D75" s="27">
        <f>D56+D65+D67+D73</f>
        <v>1791160000</v>
      </c>
      <c r="E75" s="27">
        <f>D75-C75</f>
        <v>190558000</v>
      </c>
      <c r="F75" s="28">
        <f>IF(C75=0,0,E75/C75)</f>
        <v>0.11905395594907416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FILING&amp;RYNH NETWORK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A3" sqref="A3:F3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3615981000</v>
      </c>
      <c r="D12" s="51">
        <v>4018705000</v>
      </c>
      <c r="E12" s="51">
        <f t="shared" ref="E12:E19" si="0">D12-C12</f>
        <v>402724000</v>
      </c>
      <c r="F12" s="70">
        <f t="shared" ref="F12:F19" si="1">IF(C12=0,0,E12/C12)</f>
        <v>0.11137337281362927</v>
      </c>
    </row>
    <row r="13" spans="1:8" ht="23.1" customHeight="1" x14ac:dyDescent="0.2">
      <c r="A13" s="25">
        <v>2</v>
      </c>
      <c r="B13" s="48" t="s">
        <v>72</v>
      </c>
      <c r="C13" s="51">
        <v>2303547000</v>
      </c>
      <c r="D13" s="51">
        <v>2590937000</v>
      </c>
      <c r="E13" s="51">
        <f t="shared" si="0"/>
        <v>287390000</v>
      </c>
      <c r="F13" s="70">
        <f t="shared" si="1"/>
        <v>0.12475977264627117</v>
      </c>
    </row>
    <row r="14" spans="1:8" ht="23.1" customHeight="1" x14ac:dyDescent="0.2">
      <c r="A14" s="25">
        <v>3</v>
      </c>
      <c r="B14" s="48" t="s">
        <v>73</v>
      </c>
      <c r="C14" s="51">
        <v>73500000</v>
      </c>
      <c r="D14" s="51">
        <v>62606000</v>
      </c>
      <c r="E14" s="51">
        <f t="shared" si="0"/>
        <v>-10894000</v>
      </c>
      <c r="F14" s="70">
        <f t="shared" si="1"/>
        <v>-0.14821768707482993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1238934000</v>
      </c>
      <c r="D16" s="27">
        <f>D12-D13-D14-D15</f>
        <v>1365162000</v>
      </c>
      <c r="E16" s="27">
        <f t="shared" si="0"/>
        <v>126228000</v>
      </c>
      <c r="F16" s="28">
        <f t="shared" si="1"/>
        <v>0.10188436187884101</v>
      </c>
    </row>
    <row r="17" spans="1:7" ht="23.1" customHeight="1" x14ac:dyDescent="0.2">
      <c r="A17" s="25">
        <v>5</v>
      </c>
      <c r="B17" s="48" t="s">
        <v>76</v>
      </c>
      <c r="C17" s="51">
        <v>42656000</v>
      </c>
      <c r="D17" s="51">
        <v>50190000</v>
      </c>
      <c r="E17" s="51">
        <f t="shared" si="0"/>
        <v>7534000</v>
      </c>
      <c r="F17" s="70">
        <f t="shared" si="1"/>
        <v>0.17662228057014254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1281590000</v>
      </c>
      <c r="D19" s="27">
        <f>SUM(D16:D18)</f>
        <v>1415352000</v>
      </c>
      <c r="E19" s="27">
        <f t="shared" si="0"/>
        <v>133762000</v>
      </c>
      <c r="F19" s="28">
        <f t="shared" si="1"/>
        <v>0.10437191301430254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476977000</v>
      </c>
      <c r="D22" s="51">
        <v>505791000</v>
      </c>
      <c r="E22" s="51">
        <f t="shared" ref="E22:E31" si="2">D22-C22</f>
        <v>28814000</v>
      </c>
      <c r="F22" s="70">
        <f t="shared" ref="F22:F31" si="3">IF(C22=0,0,E22/C22)</f>
        <v>6.0409621428286896E-2</v>
      </c>
    </row>
    <row r="23" spans="1:7" ht="23.1" customHeight="1" x14ac:dyDescent="0.2">
      <c r="A23" s="25">
        <v>2</v>
      </c>
      <c r="B23" s="48" t="s">
        <v>81</v>
      </c>
      <c r="C23" s="51">
        <v>128535000</v>
      </c>
      <c r="D23" s="51">
        <v>139589000</v>
      </c>
      <c r="E23" s="51">
        <f t="shared" si="2"/>
        <v>11054000</v>
      </c>
      <c r="F23" s="70">
        <f t="shared" si="3"/>
        <v>8.5999922200178935E-2</v>
      </c>
    </row>
    <row r="24" spans="1:7" ht="23.1" customHeight="1" x14ac:dyDescent="0.2">
      <c r="A24" s="25">
        <v>3</v>
      </c>
      <c r="B24" s="48" t="s">
        <v>82</v>
      </c>
      <c r="C24" s="51">
        <v>175000</v>
      </c>
      <c r="D24" s="51">
        <v>140000</v>
      </c>
      <c r="E24" s="51">
        <f t="shared" si="2"/>
        <v>-35000</v>
      </c>
      <c r="F24" s="70">
        <f t="shared" si="3"/>
        <v>-0.2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513829000</v>
      </c>
      <c r="D25" s="51">
        <v>584516000</v>
      </c>
      <c r="E25" s="51">
        <f t="shared" si="2"/>
        <v>70687000</v>
      </c>
      <c r="F25" s="70">
        <f t="shared" si="3"/>
        <v>0.1375691134599254</v>
      </c>
    </row>
    <row r="26" spans="1:7" ht="23.1" customHeight="1" x14ac:dyDescent="0.2">
      <c r="A26" s="25">
        <v>5</v>
      </c>
      <c r="B26" s="48" t="s">
        <v>84</v>
      </c>
      <c r="C26" s="51">
        <v>44525000</v>
      </c>
      <c r="D26" s="51">
        <v>53217000</v>
      </c>
      <c r="E26" s="51">
        <f t="shared" si="2"/>
        <v>8692000</v>
      </c>
      <c r="F26" s="70">
        <f t="shared" si="3"/>
        <v>0.19521617069062325</v>
      </c>
    </row>
    <row r="27" spans="1:7" ht="23.1" customHeight="1" x14ac:dyDescent="0.2">
      <c r="A27" s="25">
        <v>6</v>
      </c>
      <c r="B27" s="48" t="s">
        <v>85</v>
      </c>
      <c r="C27" s="51">
        <v>25600000</v>
      </c>
      <c r="D27" s="51">
        <v>27846000</v>
      </c>
      <c r="E27" s="51">
        <f t="shared" si="2"/>
        <v>2246000</v>
      </c>
      <c r="F27" s="70">
        <f t="shared" si="3"/>
        <v>8.7734375000000003E-2</v>
      </c>
    </row>
    <row r="28" spans="1:7" ht="23.1" customHeight="1" x14ac:dyDescent="0.2">
      <c r="A28" s="25">
        <v>7</v>
      </c>
      <c r="B28" s="48" t="s">
        <v>86</v>
      </c>
      <c r="C28" s="51">
        <v>1605000</v>
      </c>
      <c r="D28" s="51">
        <v>12851000</v>
      </c>
      <c r="E28" s="51">
        <f t="shared" si="2"/>
        <v>11246000</v>
      </c>
      <c r="F28" s="70">
        <f t="shared" si="3"/>
        <v>7.0068535825545171</v>
      </c>
    </row>
    <row r="29" spans="1:7" ht="23.1" customHeight="1" x14ac:dyDescent="0.2">
      <c r="A29" s="25">
        <v>8</v>
      </c>
      <c r="B29" s="48" t="s">
        <v>87</v>
      </c>
      <c r="C29" s="51">
        <v>20742000</v>
      </c>
      <c r="D29" s="51">
        <v>17269000</v>
      </c>
      <c r="E29" s="51">
        <f t="shared" si="2"/>
        <v>-3473000</v>
      </c>
      <c r="F29" s="70">
        <f t="shared" si="3"/>
        <v>-0.16743804840420404</v>
      </c>
    </row>
    <row r="30" spans="1:7" ht="23.1" customHeight="1" x14ac:dyDescent="0.2">
      <c r="A30" s="25">
        <v>9</v>
      </c>
      <c r="B30" s="48" t="s">
        <v>88</v>
      </c>
      <c r="C30" s="51">
        <v>0</v>
      </c>
      <c r="D30" s="51">
        <v>0</v>
      </c>
      <c r="E30" s="51">
        <f t="shared" si="2"/>
        <v>0</v>
      </c>
      <c r="F30" s="70">
        <f t="shared" si="3"/>
        <v>0</v>
      </c>
    </row>
    <row r="31" spans="1:7" ht="23.1" customHeight="1" x14ac:dyDescent="0.25">
      <c r="A31" s="29"/>
      <c r="B31" s="71" t="s">
        <v>89</v>
      </c>
      <c r="C31" s="27">
        <f>SUM(C22:C30)</f>
        <v>1211988000</v>
      </c>
      <c r="D31" s="27">
        <f>SUM(D22:D30)</f>
        <v>1341219000</v>
      </c>
      <c r="E31" s="27">
        <f t="shared" si="2"/>
        <v>129231000</v>
      </c>
      <c r="F31" s="28">
        <f t="shared" si="3"/>
        <v>0.10662729333953802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69602000</v>
      </c>
      <c r="D33" s="27">
        <f>+D19-D31</f>
        <v>74133000</v>
      </c>
      <c r="E33" s="27">
        <f>D33-C33</f>
        <v>4531000</v>
      </c>
      <c r="F33" s="28">
        <f>IF(C33=0,0,E33/C33)</f>
        <v>6.5098704060228149E-2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-41276000</v>
      </c>
      <c r="D36" s="51">
        <v>6851000</v>
      </c>
      <c r="E36" s="51">
        <f>D36-C36</f>
        <v>48127000</v>
      </c>
      <c r="F36" s="70">
        <f>IF(C36=0,0,E36/C36)</f>
        <v>-1.1659802306425042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-5547000</v>
      </c>
      <c r="D38" s="51">
        <v>-16515000</v>
      </c>
      <c r="E38" s="51">
        <f>D38-C38</f>
        <v>-10968000</v>
      </c>
      <c r="F38" s="70">
        <f>IF(C38=0,0,E38/C38)</f>
        <v>1.9772850189291509</v>
      </c>
    </row>
    <row r="39" spans="1:6" ht="23.1" customHeight="1" x14ac:dyDescent="0.25">
      <c r="A39" s="20"/>
      <c r="B39" s="71" t="s">
        <v>95</v>
      </c>
      <c r="C39" s="27">
        <f>SUM(C36:C38)</f>
        <v>-46823000</v>
      </c>
      <c r="D39" s="27">
        <f>SUM(D36:D38)</f>
        <v>-9664000</v>
      </c>
      <c r="E39" s="27">
        <f>D39-C39</f>
        <v>37159000</v>
      </c>
      <c r="F39" s="28">
        <f>IF(C39=0,0,E39/C39)</f>
        <v>-0.7936057065971851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22779000</v>
      </c>
      <c r="D41" s="27">
        <f>D33+D39</f>
        <v>64469000</v>
      </c>
      <c r="E41" s="27">
        <f>D41-C41</f>
        <v>41690000</v>
      </c>
      <c r="F41" s="28">
        <f>IF(C41=0,0,E41/C41)</f>
        <v>1.8301944773695069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30283000</v>
      </c>
      <c r="D44" s="51">
        <v>22044000</v>
      </c>
      <c r="E44" s="51">
        <f>D44-C44</f>
        <v>-8239000</v>
      </c>
      <c r="F44" s="70">
        <f>IF(C44=0,0,E44/C44)</f>
        <v>-0.27206683617871413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30283000</v>
      </c>
      <c r="D46" s="27">
        <f>SUM(D44:D45)</f>
        <v>22044000</v>
      </c>
      <c r="E46" s="27">
        <f>D46-C46</f>
        <v>-8239000</v>
      </c>
      <c r="F46" s="28">
        <f>IF(C46=0,0,E46/C46)</f>
        <v>-0.27206683617871413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53062000</v>
      </c>
      <c r="D48" s="27">
        <f>D41+D46</f>
        <v>86513000</v>
      </c>
      <c r="E48" s="27">
        <f>D48-C48</f>
        <v>33451000</v>
      </c>
      <c r="F48" s="28">
        <f>IF(C48=0,0,E48/C48)</f>
        <v>0.63041347857223629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FILING&amp;R&amp;8YNH NETWORK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2011-07-19T13:58:04Z</cp:lastPrinted>
  <dcterms:created xsi:type="dcterms:W3CDTF">2006-08-03T13:49:12Z</dcterms:created>
  <dcterms:modified xsi:type="dcterms:W3CDTF">2011-08-08T17:45:08Z</dcterms:modified>
</cp:coreProperties>
</file>