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D98" i="22" s="1"/>
  <c r="C97" i="22"/>
  <c r="E96" i="22"/>
  <c r="E98" i="22" s="1"/>
  <c r="D96" i="22"/>
  <c r="C96" i="22"/>
  <c r="E92" i="22"/>
  <c r="E93" i="22" s="1"/>
  <c r="D92" i="22"/>
  <c r="C92" i="22"/>
  <c r="E91" i="22"/>
  <c r="D91" i="22"/>
  <c r="D93" i="22"/>
  <c r="C91" i="22"/>
  <c r="C93" i="22"/>
  <c r="E87" i="22"/>
  <c r="D87" i="22"/>
  <c r="C87" i="22"/>
  <c r="E86" i="22"/>
  <c r="E88" i="22" s="1"/>
  <c r="D86" i="22"/>
  <c r="C86" i="22"/>
  <c r="C88" i="22"/>
  <c r="E83" i="22"/>
  <c r="E101" i="22" s="1"/>
  <c r="D83" i="22"/>
  <c r="D102" i="22"/>
  <c r="C83" i="22"/>
  <c r="E76" i="22"/>
  <c r="D76" i="22"/>
  <c r="C76" i="22"/>
  <c r="C77" i="22" s="1"/>
  <c r="C108" i="22" s="1"/>
  <c r="E75" i="22"/>
  <c r="E77" i="22"/>
  <c r="D75" i="22"/>
  <c r="D77" i="22"/>
  <c r="D109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34" i="22"/>
  <c r="E28" i="22"/>
  <c r="D28" i="22"/>
  <c r="C28" i="22"/>
  <c r="E27" i="22"/>
  <c r="D27" i="22"/>
  <c r="C27" i="22"/>
  <c r="E23" i="22"/>
  <c r="E21" i="22"/>
  <c r="D21" i="22"/>
  <c r="C21" i="22"/>
  <c r="E12" i="22"/>
  <c r="E33" i="22"/>
  <c r="D12" i="22"/>
  <c r="D34" i="22" s="1"/>
  <c r="C12" i="22"/>
  <c r="D21" i="21"/>
  <c r="E21" i="21" s="1"/>
  <c r="C21" i="21"/>
  <c r="D19" i="21"/>
  <c r="E19" i="21" s="1"/>
  <c r="F19" i="21" s="1"/>
  <c r="C19" i="21"/>
  <c r="F17" i="21"/>
  <c r="E17" i="21"/>
  <c r="F15" i="21"/>
  <c r="E15" i="21"/>
  <c r="D45" i="20"/>
  <c r="E45" i="20" s="1"/>
  <c r="F45" i="20" s="1"/>
  <c r="C45" i="20"/>
  <c r="D44" i="20"/>
  <c r="C44" i="20"/>
  <c r="C46" i="20" s="1"/>
  <c r="D43" i="20"/>
  <c r="C43" i="20"/>
  <c r="D36" i="20"/>
  <c r="D40" i="20" s="1"/>
  <c r="C36" i="20"/>
  <c r="C40" i="20"/>
  <c r="E35" i="20"/>
  <c r="F35" i="20" s="1"/>
  <c r="F34" i="20"/>
  <c r="E34" i="20"/>
  <c r="E33" i="20"/>
  <c r="E30" i="20"/>
  <c r="F30" i="20" s="1"/>
  <c r="F29" i="20"/>
  <c r="E29" i="20"/>
  <c r="E28" i="20"/>
  <c r="F28" i="20" s="1"/>
  <c r="E27" i="20"/>
  <c r="F27" i="20" s="1"/>
  <c r="D25" i="20"/>
  <c r="D39" i="20"/>
  <c r="C25" i="20"/>
  <c r="C39" i="20"/>
  <c r="E24" i="20"/>
  <c r="F24" i="20" s="1"/>
  <c r="F23" i="20"/>
  <c r="E23" i="20"/>
  <c r="E22" i="20"/>
  <c r="F22" i="20" s="1"/>
  <c r="D19" i="20"/>
  <c r="D20" i="20"/>
  <c r="C19" i="20"/>
  <c r="E18" i="20"/>
  <c r="F18" i="20" s="1"/>
  <c r="D16" i="20"/>
  <c r="E16" i="20" s="1"/>
  <c r="F16" i="20"/>
  <c r="C16" i="20"/>
  <c r="F15" i="20"/>
  <c r="E15" i="20"/>
  <c r="F13" i="20"/>
  <c r="E13" i="20"/>
  <c r="F12" i="20"/>
  <c r="E12" i="20"/>
  <c r="C115" i="19"/>
  <c r="C105" i="19"/>
  <c r="C137" i="19"/>
  <c r="C139" i="19" s="1"/>
  <c r="C143" i="19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E328" i="18"/>
  <c r="E325" i="18"/>
  <c r="D324" i="18"/>
  <c r="C324" i="18"/>
  <c r="C326" i="18" s="1"/>
  <c r="C330" i="18"/>
  <c r="E318" i="18"/>
  <c r="E315" i="18"/>
  <c r="D314" i="18"/>
  <c r="C314" i="18"/>
  <c r="C316" i="18"/>
  <c r="C320" i="18" s="1"/>
  <c r="E308" i="18"/>
  <c r="E305" i="18"/>
  <c r="D301" i="18"/>
  <c r="E301" i="18" s="1"/>
  <c r="C301" i="18"/>
  <c r="D293" i="18"/>
  <c r="C293" i="18"/>
  <c r="E293" i="18" s="1"/>
  <c r="D292" i="18"/>
  <c r="E292" i="18" s="1"/>
  <c r="C292" i="18"/>
  <c r="D291" i="18"/>
  <c r="C291" i="18"/>
  <c r="D290" i="18"/>
  <c r="E290" i="18" s="1"/>
  <c r="C290" i="18"/>
  <c r="D288" i="18"/>
  <c r="E288" i="18"/>
  <c r="C288" i="18"/>
  <c r="D287" i="18"/>
  <c r="C287" i="18"/>
  <c r="E287" i="18"/>
  <c r="D282" i="18"/>
  <c r="E282" i="18"/>
  <c r="C282" i="18"/>
  <c r="D281" i="18"/>
  <c r="E281" i="18" s="1"/>
  <c r="C281" i="18"/>
  <c r="D280" i="18"/>
  <c r="E280" i="18"/>
  <c r="C280" i="18"/>
  <c r="D279" i="18"/>
  <c r="C279" i="18"/>
  <c r="E279" i="18"/>
  <c r="D278" i="18"/>
  <c r="E278" i="18"/>
  <c r="C278" i="18"/>
  <c r="D277" i="18"/>
  <c r="E277" i="18" s="1"/>
  <c r="C277" i="18"/>
  <c r="D276" i="18"/>
  <c r="E276" i="18"/>
  <c r="C276" i="18"/>
  <c r="E270" i="18"/>
  <c r="D265" i="18"/>
  <c r="D302" i="18"/>
  <c r="E302" i="18" s="1"/>
  <c r="C265" i="18"/>
  <c r="C302" i="18"/>
  <c r="D262" i="18"/>
  <c r="E262" i="18"/>
  <c r="C262" i="18"/>
  <c r="D251" i="18"/>
  <c r="C251" i="18"/>
  <c r="D240" i="18"/>
  <c r="D252" i="18" s="1"/>
  <c r="D233" i="18"/>
  <c r="C233" i="18"/>
  <c r="D232" i="18"/>
  <c r="C232" i="18"/>
  <c r="E232" i="18"/>
  <c r="D231" i="18"/>
  <c r="C231" i="18"/>
  <c r="D230" i="18"/>
  <c r="C230" i="18"/>
  <c r="D229" i="18"/>
  <c r="D228" i="18"/>
  <c r="E228" i="18" s="1"/>
  <c r="C228" i="18"/>
  <c r="D227" i="18"/>
  <c r="E227" i="18" s="1"/>
  <c r="C227" i="18"/>
  <c r="D221" i="18"/>
  <c r="D245" i="18"/>
  <c r="C221" i="18"/>
  <c r="D220" i="18"/>
  <c r="C220" i="18"/>
  <c r="C244" i="18" s="1"/>
  <c r="D219" i="18"/>
  <c r="D243" i="18"/>
  <c r="E243" i="18"/>
  <c r="C219" i="18"/>
  <c r="C243" i="18" s="1"/>
  <c r="D218" i="18"/>
  <c r="C218" i="18"/>
  <c r="D216" i="18"/>
  <c r="E216" i="18" s="1"/>
  <c r="C216" i="18"/>
  <c r="C240" i="18"/>
  <c r="C252" i="18" s="1"/>
  <c r="D215" i="18"/>
  <c r="D239" i="18" s="1"/>
  <c r="C215" i="18"/>
  <c r="C239" i="18" s="1"/>
  <c r="C210" i="18"/>
  <c r="C234" i="18" s="1"/>
  <c r="E234" i="18" s="1"/>
  <c r="C211" i="18"/>
  <c r="E209" i="18"/>
  <c r="E208" i="18"/>
  <c r="E207" i="18"/>
  <c r="E206" i="18"/>
  <c r="D205" i="18"/>
  <c r="C205" i="18"/>
  <c r="E205" i="18" s="1"/>
  <c r="C229" i="18"/>
  <c r="E229" i="18" s="1"/>
  <c r="E204" i="18"/>
  <c r="E203" i="18"/>
  <c r="E197" i="18"/>
  <c r="E196" i="18"/>
  <c r="D195" i="18"/>
  <c r="D260" i="18" s="1"/>
  <c r="C195" i="18"/>
  <c r="C260" i="18"/>
  <c r="E194" i="18"/>
  <c r="E193" i="18"/>
  <c r="E192" i="18"/>
  <c r="E191" i="18"/>
  <c r="E190" i="18"/>
  <c r="D188" i="18"/>
  <c r="C188" i="18"/>
  <c r="C261" i="18"/>
  <c r="E186" i="18"/>
  <c r="E185" i="18"/>
  <c r="D179" i="18"/>
  <c r="C179" i="18"/>
  <c r="E179" i="18" s="1"/>
  <c r="D178" i="18"/>
  <c r="C178" i="18"/>
  <c r="E178" i="18"/>
  <c r="D177" i="18"/>
  <c r="C177" i="18"/>
  <c r="D176" i="18"/>
  <c r="C176" i="18"/>
  <c r="D175" i="18"/>
  <c r="D174" i="18"/>
  <c r="E174" i="18" s="1"/>
  <c r="C174" i="18"/>
  <c r="D173" i="18"/>
  <c r="E173" i="18" s="1"/>
  <c r="C173" i="18"/>
  <c r="D167" i="18"/>
  <c r="C167" i="18"/>
  <c r="E167" i="18"/>
  <c r="D166" i="18"/>
  <c r="E166" i="18" s="1"/>
  <c r="C166" i="18"/>
  <c r="D165" i="18"/>
  <c r="E165" i="18" s="1"/>
  <c r="C165" i="18"/>
  <c r="D164" i="18"/>
  <c r="E164" i="18" s="1"/>
  <c r="C164" i="18"/>
  <c r="D162" i="18"/>
  <c r="E162" i="18"/>
  <c r="C162" i="18"/>
  <c r="D161" i="18"/>
  <c r="C161" i="18"/>
  <c r="E161" i="18"/>
  <c r="E155" i="18"/>
  <c r="E154" i="18"/>
  <c r="E153" i="18"/>
  <c r="E152" i="18"/>
  <c r="D151" i="18"/>
  <c r="C151" i="18"/>
  <c r="E151" i="18" s="1"/>
  <c r="E150" i="18"/>
  <c r="E149" i="18"/>
  <c r="E143" i="18"/>
  <c r="E142" i="18"/>
  <c r="E141" i="18"/>
  <c r="E140" i="18"/>
  <c r="D139" i="18"/>
  <c r="D144" i="18" s="1"/>
  <c r="D163" i="18"/>
  <c r="C139" i="18"/>
  <c r="E138" i="18"/>
  <c r="E137" i="18"/>
  <c r="D75" i="18"/>
  <c r="E75" i="18" s="1"/>
  <c r="C75" i="18"/>
  <c r="D74" i="18"/>
  <c r="E74" i="18" s="1"/>
  <c r="C74" i="18"/>
  <c r="D73" i="18"/>
  <c r="C73" i="18"/>
  <c r="E73" i="18" s="1"/>
  <c r="D72" i="18"/>
  <c r="C72" i="18"/>
  <c r="E72" i="18"/>
  <c r="D71" i="18"/>
  <c r="D70" i="18"/>
  <c r="C70" i="18"/>
  <c r="D69" i="18"/>
  <c r="C69" i="18"/>
  <c r="E64" i="18"/>
  <c r="E63" i="18"/>
  <c r="E62" i="18"/>
  <c r="E61" i="18"/>
  <c r="D60" i="18"/>
  <c r="C60" i="18"/>
  <c r="C289" i="18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C42" i="18"/>
  <c r="E42" i="18" s="1"/>
  <c r="D41" i="18"/>
  <c r="E41" i="18" s="1"/>
  <c r="C41" i="18"/>
  <c r="D40" i="18"/>
  <c r="E40" i="18" s="1"/>
  <c r="C40" i="18"/>
  <c r="D39" i="18"/>
  <c r="E39" i="18" s="1"/>
  <c r="C39" i="18"/>
  <c r="D38" i="18"/>
  <c r="C38" i="18"/>
  <c r="D37" i="18"/>
  <c r="D43" i="18" s="1"/>
  <c r="C37" i="18"/>
  <c r="D36" i="18"/>
  <c r="C36" i="18"/>
  <c r="D33" i="18"/>
  <c r="D32" i="18"/>
  <c r="C32" i="18"/>
  <c r="C33" i="18"/>
  <c r="E31" i="18"/>
  <c r="E30" i="18"/>
  <c r="E29" i="18"/>
  <c r="E28" i="18"/>
  <c r="E27" i="18"/>
  <c r="E26" i="18"/>
  <c r="E25" i="18"/>
  <c r="C22" i="18"/>
  <c r="C284" i="18" s="1"/>
  <c r="D21" i="18"/>
  <c r="D283" i="18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E330" i="17"/>
  <c r="F330" i="17" s="1"/>
  <c r="E329" i="17"/>
  <c r="F329" i="17" s="1"/>
  <c r="F316" i="17"/>
  <c r="E316" i="17"/>
  <c r="D311" i="17"/>
  <c r="C311" i="17"/>
  <c r="F311" i="17" s="1"/>
  <c r="E308" i="17"/>
  <c r="F308" i="17"/>
  <c r="D307" i="17"/>
  <c r="E307" i="17"/>
  <c r="C307" i="17"/>
  <c r="D299" i="17"/>
  <c r="C299" i="17"/>
  <c r="E299" i="17" s="1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 s="1"/>
  <c r="F238" i="17"/>
  <c r="C238" i="17"/>
  <c r="D237" i="17"/>
  <c r="E237" i="17" s="1"/>
  <c r="F237" i="17"/>
  <c r="C237" i="17"/>
  <c r="C239" i="17"/>
  <c r="E234" i="17"/>
  <c r="F234" i="17" s="1"/>
  <c r="E233" i="17"/>
  <c r="F233" i="17" s="1"/>
  <c r="D230" i="17"/>
  <c r="E230" i="17" s="1"/>
  <c r="C230" i="17"/>
  <c r="D229" i="17"/>
  <c r="E229" i="17"/>
  <c r="C229" i="17"/>
  <c r="E228" i="17"/>
  <c r="F228" i="17" s="1"/>
  <c r="D226" i="17"/>
  <c r="C226" i="17"/>
  <c r="E225" i="17"/>
  <c r="F225" i="17" s="1"/>
  <c r="E224" i="17"/>
  <c r="F224" i="17" s="1"/>
  <c r="D223" i="17"/>
  <c r="E223" i="17"/>
  <c r="F223" i="17" s="1"/>
  <c r="C223" i="17"/>
  <c r="E222" i="17"/>
  <c r="F222" i="17"/>
  <c r="E221" i="17"/>
  <c r="F221" i="17" s="1"/>
  <c r="D204" i="17"/>
  <c r="D205" i="17" s="1"/>
  <c r="C204" i="17"/>
  <c r="C285" i="17"/>
  <c r="D203" i="17"/>
  <c r="C203" i="17"/>
  <c r="E203" i="17" s="1"/>
  <c r="C283" i="17"/>
  <c r="C286" i="17" s="1"/>
  <c r="D198" i="17"/>
  <c r="C198" i="17"/>
  <c r="D191" i="17"/>
  <c r="C191" i="17"/>
  <c r="C280" i="17"/>
  <c r="D189" i="17"/>
  <c r="C189" i="17"/>
  <c r="D188" i="17"/>
  <c r="D214" i="17"/>
  <c r="C188" i="17"/>
  <c r="C206" i="17" s="1"/>
  <c r="D180" i="17"/>
  <c r="F180" i="17"/>
  <c r="C180" i="17"/>
  <c r="E180" i="17" s="1"/>
  <c r="D179" i="17"/>
  <c r="D181" i="17"/>
  <c r="C179" i="17"/>
  <c r="D171" i="17"/>
  <c r="D172" i="17"/>
  <c r="C171" i="17"/>
  <c r="C172" i="17" s="1"/>
  <c r="D170" i="17"/>
  <c r="F170" i="17"/>
  <c r="C170" i="17"/>
  <c r="E170" i="17" s="1"/>
  <c r="E169" i="17"/>
  <c r="F169" i="17"/>
  <c r="E168" i="17"/>
  <c r="F168" i="17"/>
  <c r="D165" i="17"/>
  <c r="C165" i="17"/>
  <c r="D164" i="17"/>
  <c r="C164" i="17"/>
  <c r="E163" i="17"/>
  <c r="F163" i="17"/>
  <c r="D158" i="17"/>
  <c r="D159" i="17"/>
  <c r="C158" i="17"/>
  <c r="C159" i="17"/>
  <c r="E157" i="17"/>
  <c r="F157" i="17"/>
  <c r="E156" i="17"/>
  <c r="F156" i="17"/>
  <c r="D155" i="17"/>
  <c r="C155" i="17"/>
  <c r="E154" i="17"/>
  <c r="F154" i="17"/>
  <c r="E153" i="17"/>
  <c r="F153" i="17"/>
  <c r="D145" i="17"/>
  <c r="C145" i="17"/>
  <c r="D144" i="17"/>
  <c r="D146" i="17" s="1"/>
  <c r="C144" i="17"/>
  <c r="D136" i="17"/>
  <c r="D137" i="17" s="1"/>
  <c r="D207" i="17" s="1"/>
  <c r="E207" i="17" s="1"/>
  <c r="C136" i="17"/>
  <c r="C137" i="17"/>
  <c r="D135" i="17"/>
  <c r="C135" i="17"/>
  <c r="E134" i="17"/>
  <c r="F134" i="17" s="1"/>
  <c r="E133" i="17"/>
  <c r="F133" i="17"/>
  <c r="D130" i="17"/>
  <c r="E130" i="17"/>
  <c r="C130" i="17"/>
  <c r="D129" i="17"/>
  <c r="E129" i="17"/>
  <c r="C129" i="17"/>
  <c r="E128" i="17"/>
  <c r="F128" i="17"/>
  <c r="D123" i="17"/>
  <c r="C123" i="17"/>
  <c r="E122" i="17"/>
  <c r="F122" i="17"/>
  <c r="E121" i="17"/>
  <c r="F121" i="17"/>
  <c r="D120" i="17"/>
  <c r="E120" i="17"/>
  <c r="C120" i="17"/>
  <c r="E119" i="17"/>
  <c r="F119" i="17" s="1"/>
  <c r="E118" i="17"/>
  <c r="F118" i="17"/>
  <c r="D110" i="17"/>
  <c r="C110" i="17"/>
  <c r="D109" i="17"/>
  <c r="E109" i="17"/>
  <c r="C109" i="17"/>
  <c r="C111" i="17"/>
  <c r="D101" i="17"/>
  <c r="E101" i="17" s="1"/>
  <c r="F101" i="17"/>
  <c r="C101" i="17"/>
  <c r="C102" i="17"/>
  <c r="C103" i="17" s="1"/>
  <c r="D100" i="17"/>
  <c r="E100" i="17"/>
  <c r="F100" i="17" s="1"/>
  <c r="C100" i="17"/>
  <c r="E99" i="17"/>
  <c r="F99" i="17" s="1"/>
  <c r="E98" i="17"/>
  <c r="F98" i="17" s="1"/>
  <c r="D95" i="17"/>
  <c r="E95" i="17"/>
  <c r="F95" i="17" s="1"/>
  <c r="C95" i="17"/>
  <c r="D94" i="17"/>
  <c r="E94" i="17" s="1"/>
  <c r="F94" i="17" s="1"/>
  <c r="C94" i="17"/>
  <c r="E93" i="17"/>
  <c r="F93" i="17"/>
  <c r="D88" i="17"/>
  <c r="C88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C76" i="17"/>
  <c r="C77" i="17"/>
  <c r="E77" i="17" s="1"/>
  <c r="E74" i="17"/>
  <c r="F74" i="17"/>
  <c r="E73" i="17"/>
  <c r="F73" i="17"/>
  <c r="D67" i="17"/>
  <c r="C67" i="17"/>
  <c r="D66" i="17"/>
  <c r="D68" i="17"/>
  <c r="E68" i="17" s="1"/>
  <c r="C66" i="17"/>
  <c r="D59" i="17"/>
  <c r="D60" i="17" s="1"/>
  <c r="D61" i="17" s="1"/>
  <c r="C59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E46" i="17"/>
  <c r="F46" i="17" s="1"/>
  <c r="E45" i="17"/>
  <c r="F45" i="17" s="1"/>
  <c r="D44" i="17"/>
  <c r="C44" i="17"/>
  <c r="E43" i="17"/>
  <c r="F43" i="17" s="1"/>
  <c r="E42" i="17"/>
  <c r="F42" i="17" s="1"/>
  <c r="D36" i="17"/>
  <c r="C36" i="17"/>
  <c r="D35" i="17"/>
  <c r="C35" i="17"/>
  <c r="D30" i="17"/>
  <c r="D31" i="17"/>
  <c r="E31" i="17" s="1"/>
  <c r="D32" i="17"/>
  <c r="C30" i="17"/>
  <c r="D29" i="17"/>
  <c r="C29" i="17"/>
  <c r="E28" i="17"/>
  <c r="F28" i="17" s="1"/>
  <c r="E27" i="17"/>
  <c r="F27" i="17"/>
  <c r="D24" i="17"/>
  <c r="E24" i="17" s="1"/>
  <c r="F24" i="17" s="1"/>
  <c r="C24" i="17"/>
  <c r="D23" i="17"/>
  <c r="C23" i="17"/>
  <c r="E23" i="17" s="1"/>
  <c r="E22" i="17"/>
  <c r="F22" i="17" s="1"/>
  <c r="D20" i="17"/>
  <c r="C20" i="17"/>
  <c r="E19" i="17"/>
  <c r="F19" i="17" s="1"/>
  <c r="E18" i="17"/>
  <c r="F18" i="17" s="1"/>
  <c r="D17" i="17"/>
  <c r="E17" i="17" s="1"/>
  <c r="C17" i="17"/>
  <c r="E16" i="17"/>
  <c r="F16" i="17" s="1"/>
  <c r="E15" i="17"/>
  <c r="F15" i="17"/>
  <c r="D21" i="16"/>
  <c r="E21" i="16" s="1"/>
  <c r="C21" i="16"/>
  <c r="F20" i="16"/>
  <c r="E20" i="16"/>
  <c r="D17" i="16"/>
  <c r="E17" i="16"/>
  <c r="F17" i="16"/>
  <c r="C17" i="16"/>
  <c r="E16" i="16"/>
  <c r="F16" i="16" s="1"/>
  <c r="D13" i="16"/>
  <c r="E13" i="16" s="1"/>
  <c r="F13" i="16"/>
  <c r="C13" i="16"/>
  <c r="F12" i="16"/>
  <c r="E12" i="16"/>
  <c r="D107" i="15"/>
  <c r="C107" i="15"/>
  <c r="E106" i="15"/>
  <c r="F106" i="15" s="1"/>
  <c r="F105" i="15"/>
  <c r="E105" i="15"/>
  <c r="E104" i="15"/>
  <c r="F104" i="15" s="1"/>
  <c r="D100" i="15"/>
  <c r="E100" i="15" s="1"/>
  <c r="C100" i="15"/>
  <c r="E99" i="15"/>
  <c r="F99" i="15" s="1"/>
  <c r="F98" i="15"/>
  <c r="E98" i="15"/>
  <c r="F97" i="15"/>
  <c r="E97" i="15"/>
  <c r="E96" i="15"/>
  <c r="F96" i="15" s="1"/>
  <c r="E95" i="15"/>
  <c r="F95" i="15" s="1"/>
  <c r="D92" i="15"/>
  <c r="E92" i="15"/>
  <c r="C92" i="15"/>
  <c r="F91" i="15"/>
  <c r="E91" i="15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5" i="15" s="1"/>
  <c r="E74" i="15"/>
  <c r="F74" i="15" s="1"/>
  <c r="F73" i="15"/>
  <c r="E73" i="15"/>
  <c r="E75" i="15" s="1"/>
  <c r="D70" i="15"/>
  <c r="C70" i="15"/>
  <c r="E69" i="15"/>
  <c r="F69" i="15" s="1"/>
  <c r="E68" i="15"/>
  <c r="F68" i="15" s="1"/>
  <c r="D65" i="15"/>
  <c r="C65" i="15"/>
  <c r="F64" i="15"/>
  <c r="E64" i="15"/>
  <c r="E63" i="15"/>
  <c r="F63" i="15" s="1"/>
  <c r="F60" i="15"/>
  <c r="D60" i="15"/>
  <c r="C60" i="15"/>
  <c r="F59" i="15"/>
  <c r="E59" i="15"/>
  <c r="E60" i="15" s="1"/>
  <c r="F58" i="15"/>
  <c r="E58" i="15"/>
  <c r="D55" i="15"/>
  <c r="C55" i="15"/>
  <c r="F55" i="15" s="1"/>
  <c r="F54" i="15"/>
  <c r="E54" i="15"/>
  <c r="F53" i="15"/>
  <c r="E53" i="15"/>
  <c r="D50" i="15"/>
  <c r="E50" i="15" s="1"/>
  <c r="C50" i="15"/>
  <c r="F50" i="15" s="1"/>
  <c r="F49" i="15"/>
  <c r="E49" i="15"/>
  <c r="F48" i="15"/>
  <c r="E48" i="15"/>
  <c r="D45" i="15"/>
  <c r="C45" i="15"/>
  <c r="F45" i="15" s="1"/>
  <c r="F44" i="15"/>
  <c r="E44" i="15"/>
  <c r="F43" i="15"/>
  <c r="E43" i="15"/>
  <c r="D37" i="15"/>
  <c r="E37" i="15"/>
  <c r="C37" i="15"/>
  <c r="F36" i="15"/>
  <c r="E36" i="15"/>
  <c r="F35" i="15"/>
  <c r="E35" i="15"/>
  <c r="F34" i="15"/>
  <c r="E34" i="15"/>
  <c r="E33" i="15"/>
  <c r="F33" i="15" s="1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E20" i="15"/>
  <c r="F20" i="15" s="1"/>
  <c r="E19" i="15"/>
  <c r="F19" i="15" s="1"/>
  <c r="D16" i="15"/>
  <c r="C16" i="15"/>
  <c r="F15" i="15"/>
  <c r="E15" i="15"/>
  <c r="E14" i="15"/>
  <c r="F14" i="15" s="1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F36" i="14" s="1"/>
  <c r="E17" i="14"/>
  <c r="E31" i="14"/>
  <c r="D17" i="14"/>
  <c r="D33" i="14"/>
  <c r="D36" i="14" s="1"/>
  <c r="D38" i="14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E78" i="13"/>
  <c r="D78" i="13"/>
  <c r="C78" i="13"/>
  <c r="C80" i="13"/>
  <c r="C77" i="13" s="1"/>
  <c r="C75" i="13"/>
  <c r="E73" i="13"/>
  <c r="E75" i="13" s="1"/>
  <c r="D73" i="13"/>
  <c r="D75" i="13"/>
  <c r="C73" i="13"/>
  <c r="E71" i="13"/>
  <c r="D71" i="13"/>
  <c r="C71" i="13"/>
  <c r="E66" i="13"/>
  <c r="E65" i="13" s="1"/>
  <c r="D66" i="13"/>
  <c r="C66" i="13"/>
  <c r="D65" i="13"/>
  <c r="C65" i="13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C54" i="13"/>
  <c r="C50" i="13" s="1"/>
  <c r="E46" i="13"/>
  <c r="D46" i="13"/>
  <c r="D59" i="13" s="1"/>
  <c r="D61" i="13"/>
  <c r="D57" i="13" s="1"/>
  <c r="C46" i="13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E13" i="13"/>
  <c r="E25" i="13"/>
  <c r="E27" i="13" s="1"/>
  <c r="E21" i="13" s="1"/>
  <c r="D13" i="13"/>
  <c r="D25" i="13" s="1"/>
  <c r="D27" i="13" s="1"/>
  <c r="D21" i="13" s="1"/>
  <c r="C13" i="13"/>
  <c r="D47" i="12"/>
  <c r="E47" i="12"/>
  <c r="F47" i="12" s="1"/>
  <c r="C47" i="12"/>
  <c r="F46" i="12"/>
  <c r="E46" i="12"/>
  <c r="F45" i="12"/>
  <c r="E45" i="12"/>
  <c r="D40" i="12"/>
  <c r="E40" i="12"/>
  <c r="F40" i="12" s="1"/>
  <c r="C40" i="12"/>
  <c r="F39" i="12"/>
  <c r="E39" i="12"/>
  <c r="F38" i="12"/>
  <c r="E38" i="12"/>
  <c r="E37" i="12"/>
  <c r="F37" i="12" s="1"/>
  <c r="D32" i="12"/>
  <c r="C32" i="12"/>
  <c r="F31" i="12"/>
  <c r="E31" i="12"/>
  <c r="E30" i="12"/>
  <c r="F30" i="12" s="1"/>
  <c r="F29" i="12"/>
  <c r="E29" i="12"/>
  <c r="E28" i="12"/>
  <c r="F28" i="12" s="1"/>
  <c r="F27" i="12"/>
  <c r="E27" i="12"/>
  <c r="E26" i="12"/>
  <c r="F26" i="12" s="1"/>
  <c r="F25" i="12"/>
  <c r="E25" i="12"/>
  <c r="E24" i="12"/>
  <c r="F24" i="12" s="1"/>
  <c r="F23" i="12"/>
  <c r="E23" i="12"/>
  <c r="F19" i="12"/>
  <c r="E19" i="12"/>
  <c r="F18" i="12"/>
  <c r="E18" i="12"/>
  <c r="F16" i="12"/>
  <c r="E16" i="12"/>
  <c r="D15" i="12"/>
  <c r="D17" i="12" s="1"/>
  <c r="D20" i="12" s="1"/>
  <c r="C15" i="12"/>
  <c r="C17" i="12" s="1"/>
  <c r="F14" i="12"/>
  <c r="E14" i="12"/>
  <c r="F13" i="12"/>
  <c r="E13" i="12"/>
  <c r="F12" i="12"/>
  <c r="E12" i="12"/>
  <c r="F11" i="12"/>
  <c r="E11" i="12"/>
  <c r="D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 s="1"/>
  <c r="C61" i="11"/>
  <c r="C65" i="11"/>
  <c r="E65" i="11" s="1"/>
  <c r="F60" i="11"/>
  <c r="E60" i="11"/>
  <c r="E59" i="11"/>
  <c r="F59" i="11" s="1"/>
  <c r="D56" i="11"/>
  <c r="D75" i="11"/>
  <c r="C56" i="11"/>
  <c r="E55" i="11"/>
  <c r="F55" i="11" s="1"/>
  <c r="E54" i="11"/>
  <c r="F54" i="11" s="1"/>
  <c r="F53" i="11"/>
  <c r="E53" i="11"/>
  <c r="F52" i="11"/>
  <c r="E52" i="11"/>
  <c r="F51" i="11"/>
  <c r="E51" i="11"/>
  <c r="A51" i="11"/>
  <c r="A52" i="11" s="1"/>
  <c r="A53" i="11" s="1"/>
  <c r="A54" i="11" s="1"/>
  <c r="A55" i="11" s="1"/>
  <c r="E50" i="11"/>
  <c r="F50" i="11"/>
  <c r="A50" i="11"/>
  <c r="F49" i="11"/>
  <c r="E49" i="11"/>
  <c r="F40" i="11"/>
  <c r="E40" i="11"/>
  <c r="D38" i="11"/>
  <c r="D41" i="11" s="1"/>
  <c r="C38" i="11"/>
  <c r="C41" i="11" s="1"/>
  <c r="E37" i="11"/>
  <c r="F37" i="11" s="1"/>
  <c r="F36" i="11"/>
  <c r="E36" i="11"/>
  <c r="E33" i="11"/>
  <c r="F33" i="11" s="1"/>
  <c r="E32" i="11"/>
  <c r="F32" i="11" s="1"/>
  <c r="F31" i="11"/>
  <c r="E31" i="11"/>
  <c r="D29" i="11"/>
  <c r="C29" i="11"/>
  <c r="F28" i="11"/>
  <c r="E28" i="11"/>
  <c r="E27" i="11"/>
  <c r="F27" i="11" s="1"/>
  <c r="F26" i="11"/>
  <c r="E26" i="11"/>
  <c r="E25" i="11"/>
  <c r="F25" i="11" s="1"/>
  <c r="D22" i="11"/>
  <c r="D43" i="11"/>
  <c r="C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C120" i="10"/>
  <c r="D119" i="10"/>
  <c r="C119" i="10"/>
  <c r="D118" i="10"/>
  <c r="C118" i="10"/>
  <c r="D117" i="10"/>
  <c r="E117" i="10"/>
  <c r="C117" i="10"/>
  <c r="D116" i="10"/>
  <c r="C116" i="10"/>
  <c r="D115" i="10"/>
  <c r="E115" i="10"/>
  <c r="C115" i="10"/>
  <c r="D114" i="10"/>
  <c r="C114" i="10"/>
  <c r="D113" i="10"/>
  <c r="D122" i="10"/>
  <c r="C113" i="10"/>
  <c r="D112" i="10"/>
  <c r="D121" i="10"/>
  <c r="C112" i="10"/>
  <c r="D108" i="10"/>
  <c r="C108" i="10"/>
  <c r="D107" i="10"/>
  <c r="E107" i="10" s="1"/>
  <c r="C107" i="10"/>
  <c r="E106" i="10"/>
  <c r="F106" i="10" s="1"/>
  <c r="E105" i="10"/>
  <c r="F105" i="10" s="1"/>
  <c r="E104" i="10"/>
  <c r="F104" i="10" s="1"/>
  <c r="E103" i="10"/>
  <c r="F103" i="10" s="1"/>
  <c r="F102" i="10"/>
  <c r="E102" i="10"/>
  <c r="E101" i="10"/>
  <c r="F101" i="10" s="1"/>
  <c r="E100" i="10"/>
  <c r="F100" i="10" s="1"/>
  <c r="E99" i="10"/>
  <c r="F99" i="10" s="1"/>
  <c r="F98" i="10"/>
  <c r="E98" i="10"/>
  <c r="D96" i="10"/>
  <c r="C96" i="10"/>
  <c r="D95" i="10"/>
  <c r="F95" i="10"/>
  <c r="C95" i="10"/>
  <c r="E95" i="10" s="1"/>
  <c r="E94" i="10"/>
  <c r="F94" i="10" s="1"/>
  <c r="E93" i="10"/>
  <c r="F93" i="10" s="1"/>
  <c r="E92" i="10"/>
  <c r="F92" i="10" s="1"/>
  <c r="F91" i="10"/>
  <c r="E91" i="10"/>
  <c r="E90" i="10"/>
  <c r="F90" i="10" s="1"/>
  <c r="F89" i="10"/>
  <c r="E89" i="10"/>
  <c r="E88" i="10"/>
  <c r="F88" i="10" s="1"/>
  <c r="F87" i="10"/>
  <c r="E87" i="10"/>
  <c r="E86" i="10"/>
  <c r="F86" i="10" s="1"/>
  <c r="D84" i="10"/>
  <c r="E84" i="10" s="1"/>
  <c r="C84" i="10"/>
  <c r="F84" i="10" s="1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/>
  <c r="C72" i="10"/>
  <c r="F72" i="10" s="1"/>
  <c r="D71" i="10"/>
  <c r="E71" i="10" s="1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 s="1"/>
  <c r="C60" i="10"/>
  <c r="F60" i="10" s="1"/>
  <c r="F59" i="10"/>
  <c r="D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/>
  <c r="C48" i="10"/>
  <c r="F48" i="10" s="1"/>
  <c r="D47" i="10"/>
  <c r="E47" i="10" s="1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C36" i="10"/>
  <c r="D35" i="10"/>
  <c r="C35" i="10"/>
  <c r="E34" i="10"/>
  <c r="F34" i="10" s="1"/>
  <c r="E33" i="10"/>
  <c r="F33" i="10" s="1"/>
  <c r="E32" i="10"/>
  <c r="F32" i="10" s="1"/>
  <c r="E31" i="10"/>
  <c r="F31" i="10" s="1"/>
  <c r="E30" i="10"/>
  <c r="F30" i="10" s="1"/>
  <c r="E29" i="10"/>
  <c r="F29" i="10" s="1"/>
  <c r="F28" i="10"/>
  <c r="E28" i="10"/>
  <c r="E27" i="10"/>
  <c r="F27" i="10" s="1"/>
  <c r="E26" i="10"/>
  <c r="F26" i="10" s="1"/>
  <c r="D24" i="10"/>
  <c r="C24" i="10"/>
  <c r="D23" i="10"/>
  <c r="E23" i="10" s="1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C205" i="9"/>
  <c r="D204" i="9"/>
  <c r="C204" i="9"/>
  <c r="D203" i="9"/>
  <c r="E203" i="9"/>
  <c r="C203" i="9"/>
  <c r="D202" i="9"/>
  <c r="C202" i="9"/>
  <c r="D201" i="9"/>
  <c r="E201" i="9"/>
  <c r="C201" i="9"/>
  <c r="D200" i="9"/>
  <c r="C200" i="9"/>
  <c r="D199" i="9"/>
  <c r="D208" i="9"/>
  <c r="C199" i="9"/>
  <c r="D198" i="9"/>
  <c r="D207" i="9" s="1"/>
  <c r="C198" i="9"/>
  <c r="D193" i="9"/>
  <c r="E193" i="9"/>
  <c r="C193" i="9"/>
  <c r="D192" i="9"/>
  <c r="C192" i="9"/>
  <c r="E191" i="9"/>
  <c r="F191" i="9" s="1"/>
  <c r="F190" i="9"/>
  <c r="E190" i="9"/>
  <c r="E189" i="9"/>
  <c r="F189" i="9" s="1"/>
  <c r="F188" i="9"/>
  <c r="E188" i="9"/>
  <c r="E187" i="9"/>
  <c r="F187" i="9" s="1"/>
  <c r="F186" i="9"/>
  <c r="E186" i="9"/>
  <c r="E185" i="9"/>
  <c r="F185" i="9" s="1"/>
  <c r="E184" i="9"/>
  <c r="F184" i="9" s="1"/>
  <c r="E183" i="9"/>
  <c r="F183" i="9" s="1"/>
  <c r="D180" i="9"/>
  <c r="C180" i="9"/>
  <c r="F180" i="9" s="1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C154" i="9"/>
  <c r="D153" i="9"/>
  <c r="E153" i="9"/>
  <c r="C153" i="9"/>
  <c r="E152" i="9"/>
  <c r="F152" i="9" s="1"/>
  <c r="E151" i="9"/>
  <c r="F151" i="9" s="1"/>
  <c r="E150" i="9"/>
  <c r="F150" i="9" s="1"/>
  <c r="E149" i="9"/>
  <c r="F149" i="9" s="1"/>
  <c r="F148" i="9"/>
  <c r="E148" i="9"/>
  <c r="E147" i="9"/>
  <c r="F147" i="9" s="1"/>
  <c r="E146" i="9"/>
  <c r="F146" i="9" s="1"/>
  <c r="E145" i="9"/>
  <c r="F145" i="9" s="1"/>
  <c r="F144" i="9"/>
  <c r="E144" i="9"/>
  <c r="D141" i="9"/>
  <c r="C141" i="9"/>
  <c r="E141" i="9" s="1"/>
  <c r="D140" i="9"/>
  <c r="F140" i="9"/>
  <c r="C140" i="9"/>
  <c r="E140" i="9" s="1"/>
  <c r="E139" i="9"/>
  <c r="F139" i="9" s="1"/>
  <c r="F138" i="9"/>
  <c r="E138" i="9"/>
  <c r="E137" i="9"/>
  <c r="F137" i="9" s="1"/>
  <c r="F136" i="9"/>
  <c r="E136" i="9"/>
  <c r="E135" i="9"/>
  <c r="F135" i="9" s="1"/>
  <c r="E134" i="9"/>
  <c r="F134" i="9" s="1"/>
  <c r="E133" i="9"/>
  <c r="F133" i="9" s="1"/>
  <c r="E132" i="9"/>
  <c r="F132" i="9" s="1"/>
  <c r="E131" i="9"/>
  <c r="F131" i="9" s="1"/>
  <c r="D128" i="9"/>
  <c r="E128" i="9"/>
  <c r="C128" i="9"/>
  <c r="D127" i="9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F120" i="9"/>
  <c r="E120" i="9"/>
  <c r="E119" i="9"/>
  <c r="F119" i="9" s="1"/>
  <c r="E118" i="9"/>
  <c r="F118" i="9" s="1"/>
  <c r="D115" i="9"/>
  <c r="C115" i="9"/>
  <c r="F115" i="9" s="1"/>
  <c r="D114" i="9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 s="1"/>
  <c r="C102" i="9"/>
  <c r="F102" i="9" s="1"/>
  <c r="F101" i="9"/>
  <c r="D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/>
  <c r="C89" i="9"/>
  <c r="F89" i="9" s="1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F74" i="9"/>
  <c r="E74" i="9"/>
  <c r="E73" i="9"/>
  <c r="F73" i="9" s="1"/>
  <c r="E72" i="9"/>
  <c r="F72" i="9" s="1"/>
  <c r="E71" i="9"/>
  <c r="F71" i="9" s="1"/>
  <c r="E70" i="9"/>
  <c r="F70" i="9" s="1"/>
  <c r="E69" i="9"/>
  <c r="F69" i="9" s="1"/>
  <c r="F68" i="9"/>
  <c r="E68" i="9"/>
  <c r="E67" i="9"/>
  <c r="F67" i="9" s="1"/>
  <c r="E66" i="9"/>
  <c r="F66" i="9" s="1"/>
  <c r="D63" i="9"/>
  <c r="C63" i="9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C50" i="9"/>
  <c r="D49" i="9"/>
  <c r="E49" i="9" s="1"/>
  <c r="C49" i="9"/>
  <c r="E48" i="9"/>
  <c r="F48" i="9" s="1"/>
  <c r="E47" i="9"/>
  <c r="F47" i="9" s="1"/>
  <c r="F46" i="9"/>
  <c r="E46" i="9"/>
  <c r="E45" i="9"/>
  <c r="F45" i="9" s="1"/>
  <c r="E44" i="9"/>
  <c r="F44" i="9" s="1"/>
  <c r="E43" i="9"/>
  <c r="F43" i="9" s="1"/>
  <c r="F42" i="9"/>
  <c r="E42" i="9"/>
  <c r="E41" i="9"/>
  <c r="F41" i="9" s="1"/>
  <c r="F40" i="9"/>
  <c r="E40" i="9"/>
  <c r="D37" i="9"/>
  <c r="E37" i="9"/>
  <c r="C37" i="9"/>
  <c r="F37" i="9" s="1"/>
  <c r="D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 s="1"/>
  <c r="C23" i="9"/>
  <c r="E22" i="9"/>
  <c r="F22" i="9" s="1"/>
  <c r="E21" i="9"/>
  <c r="F21" i="9" s="1"/>
  <c r="F20" i="9"/>
  <c r="E20" i="9"/>
  <c r="E19" i="9"/>
  <c r="F19" i="9" s="1"/>
  <c r="E18" i="9"/>
  <c r="F18" i="9" s="1"/>
  <c r="E17" i="9"/>
  <c r="F17" i="9" s="1"/>
  <c r="F16" i="9"/>
  <c r="E16" i="9"/>
  <c r="E15" i="9"/>
  <c r="F15" i="9" s="1"/>
  <c r="F14" i="9"/>
  <c r="E14" i="9"/>
  <c r="E191" i="8"/>
  <c r="D191" i="8"/>
  <c r="C191" i="8"/>
  <c r="E176" i="8"/>
  <c r="D176" i="8"/>
  <c r="C176" i="8"/>
  <c r="E164" i="8"/>
  <c r="E160" i="8" s="1"/>
  <c r="E166" i="8" s="1"/>
  <c r="D164" i="8"/>
  <c r="D160" i="8" s="1"/>
  <c r="C164" i="8"/>
  <c r="C160" i="8" s="1"/>
  <c r="C166" i="8" s="1"/>
  <c r="E162" i="8"/>
  <c r="D162" i="8"/>
  <c r="C162" i="8"/>
  <c r="E161" i="8"/>
  <c r="D161" i="8"/>
  <c r="C161" i="8"/>
  <c r="E147" i="8"/>
  <c r="E143" i="8" s="1"/>
  <c r="D147" i="8"/>
  <c r="D143" i="8" s="1"/>
  <c r="D149" i="8" s="1"/>
  <c r="D135" i="8" s="1"/>
  <c r="C147" i="8"/>
  <c r="E145" i="8"/>
  <c r="D145" i="8"/>
  <c r="C145" i="8"/>
  <c r="E144" i="8"/>
  <c r="E149" i="8" s="1"/>
  <c r="D144" i="8"/>
  <c r="C144" i="8"/>
  <c r="C143" i="8"/>
  <c r="E126" i="8"/>
  <c r="D126" i="8"/>
  <c r="C126" i="8"/>
  <c r="E119" i="8"/>
  <c r="D119" i="8"/>
  <c r="C119" i="8"/>
  <c r="E108" i="8"/>
  <c r="E109" i="8" s="1"/>
  <c r="E106" i="8" s="1"/>
  <c r="D108" i="8"/>
  <c r="C108" i="8"/>
  <c r="C109" i="8" s="1"/>
  <c r="C106" i="8" s="1"/>
  <c r="E107" i="8"/>
  <c r="D107" i="8"/>
  <c r="D109" i="8"/>
  <c r="D106" i="8"/>
  <c r="C107" i="8"/>
  <c r="E104" i="8"/>
  <c r="E102" i="8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C88" i="8"/>
  <c r="C90" i="8"/>
  <c r="C86" i="8" s="1"/>
  <c r="E87" i="8"/>
  <c r="D87" i="8"/>
  <c r="C87" i="8"/>
  <c r="E84" i="8"/>
  <c r="D84" i="8"/>
  <c r="C84" i="8"/>
  <c r="E83" i="8"/>
  <c r="E79" i="8" s="1"/>
  <c r="D83" i="8"/>
  <c r="C83" i="8"/>
  <c r="C77" i="8"/>
  <c r="E75" i="8"/>
  <c r="D75" i="8"/>
  <c r="D88" i="8"/>
  <c r="C75" i="8"/>
  <c r="E74" i="8"/>
  <c r="D74" i="8"/>
  <c r="C74" i="8"/>
  <c r="E67" i="8"/>
  <c r="D67" i="8"/>
  <c r="C67" i="8"/>
  <c r="D53" i="8"/>
  <c r="E38" i="8"/>
  <c r="D38" i="8"/>
  <c r="D43" i="8" s="1"/>
  <c r="D57" i="8"/>
  <c r="D62" i="8"/>
  <c r="C38" i="8"/>
  <c r="C57" i="8"/>
  <c r="C62" i="8"/>
  <c r="E33" i="8"/>
  <c r="E34" i="8" s="1"/>
  <c r="D33" i="8"/>
  <c r="D34" i="8" s="1"/>
  <c r="E26" i="8"/>
  <c r="D26" i="8"/>
  <c r="C26" i="8"/>
  <c r="E15" i="8"/>
  <c r="E17" i="8" s="1"/>
  <c r="E28" i="8" s="1"/>
  <c r="E24" i="8"/>
  <c r="E13" i="8"/>
  <c r="E25" i="8" s="1"/>
  <c r="D13" i="8"/>
  <c r="D25" i="8" s="1"/>
  <c r="D27" i="8"/>
  <c r="D20" i="8" s="1"/>
  <c r="C13" i="8"/>
  <c r="F186" i="7"/>
  <c r="E186" i="7"/>
  <c r="D183" i="7"/>
  <c r="D188" i="7" s="1"/>
  <c r="C183" i="7"/>
  <c r="F182" i="7"/>
  <c r="E182" i="7"/>
  <c r="E181" i="7"/>
  <c r="F181" i="7" s="1"/>
  <c r="F180" i="7"/>
  <c r="E180" i="7"/>
  <c r="E179" i="7"/>
  <c r="F179" i="7" s="1"/>
  <c r="F178" i="7"/>
  <c r="E178" i="7"/>
  <c r="F177" i="7"/>
  <c r="E177" i="7"/>
  <c r="E176" i="7"/>
  <c r="F176" i="7" s="1"/>
  <c r="E175" i="7"/>
  <c r="F175" i="7" s="1"/>
  <c r="F174" i="7"/>
  <c r="E174" i="7"/>
  <c r="F173" i="7"/>
  <c r="E173" i="7"/>
  <c r="F172" i="7"/>
  <c r="E172" i="7"/>
  <c r="E171" i="7"/>
  <c r="F171" i="7" s="1"/>
  <c r="E170" i="7"/>
  <c r="F170" i="7" s="1"/>
  <c r="D167" i="7"/>
  <c r="E167" i="7"/>
  <c r="F167" i="7" s="1"/>
  <c r="C167" i="7"/>
  <c r="E166" i="7"/>
  <c r="F166" i="7" s="1"/>
  <c r="F165" i="7"/>
  <c r="E165" i="7"/>
  <c r="E164" i="7"/>
  <c r="F164" i="7" s="1"/>
  <c r="F163" i="7"/>
  <c r="E163" i="7"/>
  <c r="F162" i="7"/>
  <c r="E162" i="7"/>
  <c r="E161" i="7"/>
  <c r="F161" i="7" s="1"/>
  <c r="F160" i="7"/>
  <c r="E160" i="7"/>
  <c r="F159" i="7"/>
  <c r="E159" i="7"/>
  <c r="F158" i="7"/>
  <c r="E158" i="7"/>
  <c r="E157" i="7"/>
  <c r="F157" i="7" s="1"/>
  <c r="E156" i="7"/>
  <c r="F156" i="7" s="1"/>
  <c r="F155" i="7"/>
  <c r="E155" i="7"/>
  <c r="F154" i="7"/>
  <c r="E154" i="7"/>
  <c r="F153" i="7"/>
  <c r="E153" i="7"/>
  <c r="F152" i="7"/>
  <c r="E152" i="7"/>
  <c r="F151" i="7"/>
  <c r="E151" i="7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E144" i="7"/>
  <c r="F144" i="7" s="1"/>
  <c r="F143" i="7"/>
  <c r="E143" i="7"/>
  <c r="E142" i="7"/>
  <c r="F142" i="7" s="1"/>
  <c r="F141" i="7"/>
  <c r="E141" i="7"/>
  <c r="E140" i="7"/>
  <c r="F140" i="7" s="1"/>
  <c r="F139" i="7"/>
  <c r="E139" i="7"/>
  <c r="E138" i="7"/>
  <c r="F138" i="7" s="1"/>
  <c r="F137" i="7"/>
  <c r="E137" i="7"/>
  <c r="E136" i="7"/>
  <c r="F136" i="7" s="1"/>
  <c r="F135" i="7"/>
  <c r="E135" i="7"/>
  <c r="E134" i="7"/>
  <c r="F134" i="7" s="1"/>
  <c r="E133" i="7"/>
  <c r="F133" i="7" s="1"/>
  <c r="D130" i="7"/>
  <c r="E130" i="7"/>
  <c r="F130" i="7" s="1"/>
  <c r="C130" i="7"/>
  <c r="E129" i="7"/>
  <c r="F129" i="7" s="1"/>
  <c r="F128" i="7"/>
  <c r="E128" i="7"/>
  <c r="E127" i="7"/>
  <c r="F127" i="7" s="1"/>
  <c r="E126" i="7"/>
  <c r="F126" i="7" s="1"/>
  <c r="F125" i="7"/>
  <c r="E125" i="7"/>
  <c r="E124" i="7"/>
  <c r="F124" i="7" s="1"/>
  <c r="D121" i="7"/>
  <c r="C121" i="7"/>
  <c r="E121" i="7" s="1"/>
  <c r="E120" i="7"/>
  <c r="F120" i="7" s="1"/>
  <c r="E119" i="7"/>
  <c r="F119" i="7" s="1"/>
  <c r="E118" i="7"/>
  <c r="F118" i="7" s="1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 s="1"/>
  <c r="F111" i="7"/>
  <c r="E111" i="7"/>
  <c r="E110" i="7"/>
  <c r="F110" i="7" s="1"/>
  <c r="F109" i="7"/>
  <c r="E109" i="7"/>
  <c r="E108" i="7"/>
  <c r="F108" i="7" s="1"/>
  <c r="F107" i="7"/>
  <c r="E107" i="7"/>
  <c r="E106" i="7"/>
  <c r="F106" i="7" s="1"/>
  <c r="E105" i="7"/>
  <c r="F105" i="7" s="1"/>
  <c r="E104" i="7"/>
  <c r="F104" i="7" s="1"/>
  <c r="E103" i="7"/>
  <c r="F103" i="7" s="1"/>
  <c r="E93" i="7"/>
  <c r="F93" i="7" s="1"/>
  <c r="D90" i="7"/>
  <c r="C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E47" i="7"/>
  <c r="F47" i="7" s="1"/>
  <c r="F44" i="7"/>
  <c r="E44" i="7"/>
  <c r="D41" i="7"/>
  <c r="E41" i="7"/>
  <c r="F41" i="7" s="1"/>
  <c r="C41" i="7"/>
  <c r="E40" i="7"/>
  <c r="F40" i="7" s="1"/>
  <c r="F39" i="7"/>
  <c r="E39" i="7"/>
  <c r="F38" i="7"/>
  <c r="E38" i="7"/>
  <c r="D35" i="7"/>
  <c r="E35" i="7" s="1"/>
  <c r="F35" i="7" s="1"/>
  <c r="C35" i="7"/>
  <c r="F34" i="7"/>
  <c r="E34" i="7"/>
  <c r="E33" i="7"/>
  <c r="F33" i="7" s="1"/>
  <c r="D30" i="7"/>
  <c r="C30" i="7"/>
  <c r="F29" i="7"/>
  <c r="E29" i="7"/>
  <c r="F28" i="7"/>
  <c r="E28" i="7"/>
  <c r="F27" i="7"/>
  <c r="E27" i="7"/>
  <c r="D24" i="7"/>
  <c r="E24" i="7"/>
  <c r="F24" i="7" s="1"/>
  <c r="C24" i="7"/>
  <c r="F23" i="7"/>
  <c r="E23" i="7"/>
  <c r="F22" i="7"/>
  <c r="E22" i="7"/>
  <c r="F21" i="7"/>
  <c r="E21" i="7"/>
  <c r="D18" i="7"/>
  <c r="C18" i="7"/>
  <c r="F17" i="7"/>
  <c r="E17" i="7"/>
  <c r="F16" i="7"/>
  <c r="E16" i="7"/>
  <c r="F15" i="7"/>
  <c r="E15" i="7"/>
  <c r="D179" i="6"/>
  <c r="E179" i="6" s="1"/>
  <c r="F179" i="6" s="1"/>
  <c r="C179" i="6"/>
  <c r="E178" i="6"/>
  <c r="F178" i="6" s="1"/>
  <c r="F177" i="6"/>
  <c r="E177" i="6"/>
  <c r="E176" i="6"/>
  <c r="F176" i="6" s="1"/>
  <c r="F175" i="6"/>
  <c r="E175" i="6"/>
  <c r="F174" i="6"/>
  <c r="E174" i="6"/>
  <c r="F173" i="6"/>
  <c r="E173" i="6"/>
  <c r="E172" i="6"/>
  <c r="F172" i="6" s="1"/>
  <c r="F171" i="6"/>
  <c r="E171" i="6"/>
  <c r="E170" i="6"/>
  <c r="F170" i="6" s="1"/>
  <c r="F169" i="6"/>
  <c r="E169" i="6"/>
  <c r="E168" i="6"/>
  <c r="F168" i="6" s="1"/>
  <c r="D166" i="6"/>
  <c r="C166" i="6"/>
  <c r="F165" i="6"/>
  <c r="E165" i="6"/>
  <c r="F164" i="6"/>
  <c r="E164" i="6"/>
  <c r="F163" i="6"/>
  <c r="E163" i="6"/>
  <c r="E162" i="6"/>
  <c r="F162" i="6" s="1"/>
  <c r="F161" i="6"/>
  <c r="E161" i="6"/>
  <c r="E160" i="6"/>
  <c r="F160" i="6" s="1"/>
  <c r="F159" i="6"/>
  <c r="E159" i="6"/>
  <c r="F158" i="6"/>
  <c r="E158" i="6"/>
  <c r="F157" i="6"/>
  <c r="E157" i="6"/>
  <c r="E156" i="6"/>
  <c r="F156" i="6" s="1"/>
  <c r="F155" i="6"/>
  <c r="E155" i="6"/>
  <c r="D153" i="6"/>
  <c r="E153" i="6" s="1"/>
  <c r="F153" i="6" s="1"/>
  <c r="C153" i="6"/>
  <c r="E152" i="6"/>
  <c r="F152" i="6" s="1"/>
  <c r="F151" i="6"/>
  <c r="E151" i="6"/>
  <c r="E150" i="6"/>
  <c r="F150" i="6" s="1"/>
  <c r="F149" i="6"/>
  <c r="E149" i="6"/>
  <c r="F148" i="6"/>
  <c r="E148" i="6"/>
  <c r="F147" i="6"/>
  <c r="E147" i="6"/>
  <c r="E146" i="6"/>
  <c r="F146" i="6" s="1"/>
  <c r="F145" i="6"/>
  <c r="E145" i="6"/>
  <c r="E144" i="6"/>
  <c r="F144" i="6" s="1"/>
  <c r="F143" i="6"/>
  <c r="E143" i="6"/>
  <c r="E142" i="6"/>
  <c r="F142" i="6" s="1"/>
  <c r="D137" i="6"/>
  <c r="E137" i="6" s="1"/>
  <c r="F137" i="6"/>
  <c r="C137" i="6"/>
  <c r="F136" i="6"/>
  <c r="E136" i="6"/>
  <c r="F135" i="6"/>
  <c r="E135" i="6"/>
  <c r="F134" i="6"/>
  <c r="E134" i="6"/>
  <c r="F133" i="6"/>
  <c r="E133" i="6"/>
  <c r="F132" i="6"/>
  <c r="E132" i="6"/>
  <c r="E131" i="6"/>
  <c r="F131" i="6" s="1"/>
  <c r="F130" i="6"/>
  <c r="E130" i="6"/>
  <c r="F129" i="6"/>
  <c r="E129" i="6"/>
  <c r="F128" i="6"/>
  <c r="E128" i="6"/>
  <c r="E127" i="6"/>
  <c r="F127" i="6" s="1"/>
  <c r="F126" i="6"/>
  <c r="E126" i="6"/>
  <c r="D124" i="6"/>
  <c r="E124" i="6" s="1"/>
  <c r="F124" i="6"/>
  <c r="C124" i="6"/>
  <c r="E123" i="6"/>
  <c r="F123" i="6" s="1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E115" i="6"/>
  <c r="F115" i="6" s="1"/>
  <c r="F114" i="6"/>
  <c r="E114" i="6"/>
  <c r="F113" i="6"/>
  <c r="E113" i="6"/>
  <c r="D111" i="6"/>
  <c r="E111" i="6" s="1"/>
  <c r="F111" i="6"/>
  <c r="C111" i="6"/>
  <c r="F110" i="6"/>
  <c r="E110" i="6"/>
  <c r="F109" i="6"/>
  <c r="E109" i="6"/>
  <c r="F108" i="6"/>
  <c r="E108" i="6"/>
  <c r="F107" i="6"/>
  <c r="E107" i="6"/>
  <c r="F106" i="6"/>
  <c r="E106" i="6"/>
  <c r="E105" i="6"/>
  <c r="F105" i="6" s="1"/>
  <c r="F104" i="6"/>
  <c r="E104" i="6"/>
  <c r="F103" i="6"/>
  <c r="E103" i="6"/>
  <c r="F102" i="6"/>
  <c r="E102" i="6"/>
  <c r="E101" i="6"/>
  <c r="F101" i="6" s="1"/>
  <c r="F100" i="6"/>
  <c r="E100" i="6"/>
  <c r="D94" i="6"/>
  <c r="E94" i="6" s="1"/>
  <c r="F94" i="6"/>
  <c r="C94" i="6"/>
  <c r="F93" i="6"/>
  <c r="D93" i="6"/>
  <c r="E93" i="6" s="1"/>
  <c r="C93" i="6"/>
  <c r="D92" i="6"/>
  <c r="E92" i="6" s="1"/>
  <c r="F92" i="6" s="1"/>
  <c r="C92" i="6"/>
  <c r="D91" i="6"/>
  <c r="E91" i="6"/>
  <c r="F91" i="6" s="1"/>
  <c r="C91" i="6"/>
  <c r="F90" i="6"/>
  <c r="D90" i="6"/>
  <c r="E90" i="6"/>
  <c r="C90" i="6"/>
  <c r="D89" i="6"/>
  <c r="E89" i="6"/>
  <c r="F89" i="6" s="1"/>
  <c r="C89" i="6"/>
  <c r="D88" i="6"/>
  <c r="E88" i="6" s="1"/>
  <c r="F88" i="6"/>
  <c r="C88" i="6"/>
  <c r="D87" i="6"/>
  <c r="E87" i="6" s="1"/>
  <c r="F87" i="6" s="1"/>
  <c r="C87" i="6"/>
  <c r="D86" i="6"/>
  <c r="E86" i="6" s="1"/>
  <c r="F86" i="6"/>
  <c r="C86" i="6"/>
  <c r="D85" i="6"/>
  <c r="E85" i="6"/>
  <c r="F85" i="6" s="1"/>
  <c r="C85" i="6"/>
  <c r="D84" i="6"/>
  <c r="C84" i="6"/>
  <c r="C95" i="6"/>
  <c r="D81" i="6"/>
  <c r="C81" i="6"/>
  <c r="F80" i="6"/>
  <c r="E80" i="6"/>
  <c r="F79" i="6"/>
  <c r="E79" i="6"/>
  <c r="E78" i="6"/>
  <c r="F78" i="6" s="1"/>
  <c r="E77" i="6"/>
  <c r="F77" i="6" s="1"/>
  <c r="F76" i="6"/>
  <c r="E76" i="6"/>
  <c r="E75" i="6"/>
  <c r="F75" i="6" s="1"/>
  <c r="E74" i="6"/>
  <c r="F74" i="6" s="1"/>
  <c r="E73" i="6"/>
  <c r="F73" i="6" s="1"/>
  <c r="F72" i="6"/>
  <c r="E72" i="6"/>
  <c r="E71" i="6"/>
  <c r="F71" i="6" s="1"/>
  <c r="F70" i="6"/>
  <c r="E70" i="6"/>
  <c r="D68" i="6"/>
  <c r="E68" i="6"/>
  <c r="C68" i="6"/>
  <c r="F68" i="6" s="1"/>
  <c r="E67" i="6"/>
  <c r="F67" i="6" s="1"/>
  <c r="F66" i="6"/>
  <c r="E66" i="6"/>
  <c r="E65" i="6"/>
  <c r="F65" i="6" s="1"/>
  <c r="E64" i="6"/>
  <c r="F64" i="6" s="1"/>
  <c r="F63" i="6"/>
  <c r="E63" i="6"/>
  <c r="E62" i="6"/>
  <c r="F62" i="6" s="1"/>
  <c r="E61" i="6"/>
  <c r="F61" i="6" s="1"/>
  <c r="E60" i="6"/>
  <c r="F60" i="6" s="1"/>
  <c r="E59" i="6"/>
  <c r="F59" i="6" s="1"/>
  <c r="E58" i="6"/>
  <c r="F58" i="6" s="1"/>
  <c r="E57" i="6"/>
  <c r="F57" i="6" s="1"/>
  <c r="D51" i="6"/>
  <c r="E51" i="6"/>
  <c r="C51" i="6"/>
  <c r="F50" i="6"/>
  <c r="D50" i="6"/>
  <c r="C50" i="6"/>
  <c r="D49" i="6"/>
  <c r="E49" i="6"/>
  <c r="C49" i="6"/>
  <c r="D48" i="6"/>
  <c r="C48" i="6"/>
  <c r="F47" i="6"/>
  <c r="D47" i="6"/>
  <c r="C47" i="6"/>
  <c r="D46" i="6"/>
  <c r="E46" i="6"/>
  <c r="C46" i="6"/>
  <c r="D45" i="6"/>
  <c r="C45" i="6"/>
  <c r="D44" i="6"/>
  <c r="C44" i="6"/>
  <c r="D43" i="6"/>
  <c r="E43" i="6" s="1"/>
  <c r="C43" i="6"/>
  <c r="D42" i="6"/>
  <c r="D52" i="6" s="1"/>
  <c r="E42" i="6"/>
  <c r="C42" i="6"/>
  <c r="D41" i="6"/>
  <c r="C41" i="6"/>
  <c r="D38" i="6"/>
  <c r="C38" i="6"/>
  <c r="F37" i="6"/>
  <c r="E37" i="6"/>
  <c r="F36" i="6"/>
  <c r="E36" i="6"/>
  <c r="F35" i="6"/>
  <c r="E35" i="6"/>
  <c r="E34" i="6"/>
  <c r="F34" i="6" s="1"/>
  <c r="F33" i="6"/>
  <c r="E33" i="6"/>
  <c r="E32" i="6"/>
  <c r="F32" i="6" s="1"/>
  <c r="F31" i="6"/>
  <c r="E31" i="6"/>
  <c r="E30" i="6"/>
  <c r="F30" i="6" s="1"/>
  <c r="F29" i="6"/>
  <c r="E29" i="6"/>
  <c r="E28" i="6"/>
  <c r="F28" i="6" s="1"/>
  <c r="F27" i="6"/>
  <c r="E27" i="6"/>
  <c r="D25" i="6"/>
  <c r="E25" i="6"/>
  <c r="F25" i="6" s="1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 s="1"/>
  <c r="F48" i="5" s="1"/>
  <c r="C48" i="5"/>
  <c r="F47" i="5"/>
  <c r="E47" i="5"/>
  <c r="F46" i="5"/>
  <c r="E46" i="5"/>
  <c r="D41" i="5"/>
  <c r="E41" i="5"/>
  <c r="F41" i="5" s="1"/>
  <c r="C41" i="5"/>
  <c r="E40" i="5"/>
  <c r="F40" i="5" s="1"/>
  <c r="F39" i="5"/>
  <c r="E39" i="5"/>
  <c r="E38" i="5"/>
  <c r="F38" i="5" s="1"/>
  <c r="D33" i="5"/>
  <c r="C33" i="5"/>
  <c r="F32" i="5"/>
  <c r="E32" i="5"/>
  <c r="E31" i="5"/>
  <c r="F31" i="5" s="1"/>
  <c r="F30" i="5"/>
  <c r="E30" i="5"/>
  <c r="E29" i="5"/>
  <c r="F29" i="5" s="1"/>
  <c r="F28" i="5"/>
  <c r="E28" i="5"/>
  <c r="F27" i="5"/>
  <c r="E27" i="5"/>
  <c r="F26" i="5"/>
  <c r="E26" i="5"/>
  <c r="E25" i="5"/>
  <c r="F25" i="5" s="1"/>
  <c r="F24" i="5"/>
  <c r="E24" i="5"/>
  <c r="F20" i="5"/>
  <c r="E20" i="5"/>
  <c r="F19" i="5"/>
  <c r="E19" i="5"/>
  <c r="F17" i="5"/>
  <c r="E17" i="5"/>
  <c r="D16" i="5"/>
  <c r="D18" i="5" s="1"/>
  <c r="C16" i="5"/>
  <c r="C18" i="5"/>
  <c r="F15" i="5"/>
  <c r="E15" i="5"/>
  <c r="F14" i="5"/>
  <c r="E14" i="5"/>
  <c r="F13" i="5"/>
  <c r="E13" i="5"/>
  <c r="E12" i="5"/>
  <c r="F12" i="5" s="1"/>
  <c r="D73" i="4"/>
  <c r="E73" i="4" s="1"/>
  <c r="F73" i="4" s="1"/>
  <c r="C73" i="4"/>
  <c r="F72" i="4"/>
  <c r="E72" i="4"/>
  <c r="E71" i="4"/>
  <c r="F71" i="4" s="1"/>
  <c r="E70" i="4"/>
  <c r="F70" i="4" s="1"/>
  <c r="F67" i="4"/>
  <c r="E67" i="4"/>
  <c r="E64" i="4"/>
  <c r="F64" i="4" s="1"/>
  <c r="E63" i="4"/>
  <c r="F63" i="4" s="1"/>
  <c r="D61" i="4"/>
  <c r="C61" i="4"/>
  <c r="C65" i="4"/>
  <c r="F60" i="4"/>
  <c r="E60" i="4"/>
  <c r="F59" i="4"/>
  <c r="E59" i="4"/>
  <c r="D56" i="4"/>
  <c r="C56" i="4"/>
  <c r="C75" i="4"/>
  <c r="E55" i="4"/>
  <c r="F55" i="4" s="1"/>
  <c r="E54" i="4"/>
  <c r="F54" i="4"/>
  <c r="E53" i="4"/>
  <c r="F53" i="4" s="1"/>
  <c r="E52" i="4"/>
  <c r="F52" i="4" s="1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C38" i="4"/>
  <c r="C41" i="4"/>
  <c r="F37" i="4"/>
  <c r="E37" i="4"/>
  <c r="E36" i="4"/>
  <c r="F36" i="4" s="1"/>
  <c r="F33" i="4"/>
  <c r="E33" i="4"/>
  <c r="E32" i="4"/>
  <c r="F32" i="4" s="1"/>
  <c r="F31" i="4"/>
  <c r="E31" i="4"/>
  <c r="D29" i="4"/>
  <c r="C29" i="4"/>
  <c r="E28" i="4"/>
  <c r="F28" i="4" s="1"/>
  <c r="E27" i="4"/>
  <c r="F27" i="4" s="1"/>
  <c r="F26" i="4"/>
  <c r="E26" i="4"/>
  <c r="E25" i="4"/>
  <c r="F25" i="4" s="1"/>
  <c r="D22" i="4"/>
  <c r="C22" i="4"/>
  <c r="C43" i="4"/>
  <c r="E21" i="4"/>
  <c r="F21" i="4" s="1"/>
  <c r="F20" i="4"/>
  <c r="E20" i="4"/>
  <c r="E19" i="4"/>
  <c r="F19" i="4" s="1"/>
  <c r="F18" i="4"/>
  <c r="E18" i="4"/>
  <c r="E17" i="4"/>
  <c r="F17" i="4" s="1"/>
  <c r="F16" i="4"/>
  <c r="E16" i="4"/>
  <c r="E15" i="4"/>
  <c r="F15" i="4" s="1"/>
  <c r="F14" i="4"/>
  <c r="E14" i="4"/>
  <c r="E13" i="4"/>
  <c r="F13" i="4" s="1"/>
  <c r="D108" i="22"/>
  <c r="C109" i="22"/>
  <c r="E109" i="22"/>
  <c r="E108" i="22"/>
  <c r="E103" i="22"/>
  <c r="D22" i="22"/>
  <c r="D45" i="22" s="1"/>
  <c r="D33" i="22"/>
  <c r="E40" i="22"/>
  <c r="E46" i="22"/>
  <c r="D101" i="22"/>
  <c r="D103" i="22"/>
  <c r="E102" i="22"/>
  <c r="D192" i="17"/>
  <c r="E22" i="22"/>
  <c r="E39" i="22" s="1"/>
  <c r="D23" i="22"/>
  <c r="D41" i="20"/>
  <c r="E39" i="20"/>
  <c r="E43" i="20"/>
  <c r="D22" i="18"/>
  <c r="E22" i="18" s="1"/>
  <c r="E37" i="18"/>
  <c r="C65" i="18"/>
  <c r="C294" i="18" s="1"/>
  <c r="C66" i="18"/>
  <c r="E69" i="18"/>
  <c r="C71" i="18"/>
  <c r="E71" i="18"/>
  <c r="D145" i="18"/>
  <c r="D169" i="18" s="1"/>
  <c r="D156" i="18"/>
  <c r="D168" i="18" s="1"/>
  <c r="E294" i="17"/>
  <c r="F294" i="17" s="1"/>
  <c r="E296" i="17"/>
  <c r="F296" i="17"/>
  <c r="E297" i="17"/>
  <c r="E298" i="17"/>
  <c r="F298" i="17"/>
  <c r="E32" i="18"/>
  <c r="E36" i="18"/>
  <c r="E60" i="18"/>
  <c r="C175" i="18"/>
  <c r="C144" i="18"/>
  <c r="C145" i="18" s="1"/>
  <c r="E139" i="18"/>
  <c r="D261" i="18"/>
  <c r="E261" i="18" s="1"/>
  <c r="D189" i="18"/>
  <c r="E188" i="18"/>
  <c r="E195" i="18"/>
  <c r="D210" i="18"/>
  <c r="E215" i="18"/>
  <c r="D217" i="18"/>
  <c r="E252" i="18"/>
  <c r="E231" i="18"/>
  <c r="D242" i="18"/>
  <c r="C303" i="18"/>
  <c r="C306" i="18" s="1"/>
  <c r="C310" i="18"/>
  <c r="C189" i="18"/>
  <c r="E189" i="18" s="1"/>
  <c r="E219" i="18"/>
  <c r="E220" i="18"/>
  <c r="D244" i="18"/>
  <c r="E244" i="18" s="1"/>
  <c r="D222" i="18"/>
  <c r="E240" i="18"/>
  <c r="E265" i="18"/>
  <c r="D303" i="18"/>
  <c r="D306" i="18" s="1"/>
  <c r="E306" i="18" s="1"/>
  <c r="D326" i="18"/>
  <c r="D223" i="18"/>
  <c r="E251" i="18"/>
  <c r="E30" i="17"/>
  <c r="F30" i="17" s="1"/>
  <c r="E36" i="17"/>
  <c r="F36" i="17" s="1"/>
  <c r="E47" i="17"/>
  <c r="F47" i="17"/>
  <c r="E52" i="17"/>
  <c r="E58" i="17"/>
  <c r="F58" i="17"/>
  <c r="E66" i="17"/>
  <c r="F66" i="17"/>
  <c r="C68" i="17"/>
  <c r="F68" i="17" s="1"/>
  <c r="E76" i="17"/>
  <c r="F76" i="17" s="1"/>
  <c r="D138" i="17"/>
  <c r="E137" i="17"/>
  <c r="E159" i="17"/>
  <c r="F159" i="17"/>
  <c r="D173" i="17"/>
  <c r="D175" i="17"/>
  <c r="E175" i="17" s="1"/>
  <c r="F175" i="17" s="1"/>
  <c r="E172" i="17"/>
  <c r="F172" i="17" s="1"/>
  <c r="D254" i="17"/>
  <c r="E20" i="17"/>
  <c r="F23" i="17"/>
  <c r="C31" i="17"/>
  <c r="C32" i="17" s="1"/>
  <c r="C37" i="17"/>
  <c r="E44" i="17"/>
  <c r="F44" i="17"/>
  <c r="C48" i="17"/>
  <c r="E53" i="17"/>
  <c r="E59" i="17"/>
  <c r="E67" i="17"/>
  <c r="F67" i="17"/>
  <c r="D89" i="17"/>
  <c r="D102" i="17"/>
  <c r="D103" i="17" s="1"/>
  <c r="C207" i="17"/>
  <c r="C173" i="17"/>
  <c r="D21" i="17"/>
  <c r="C192" i="17"/>
  <c r="E192" i="17" s="1"/>
  <c r="E136" i="17"/>
  <c r="F136" i="17" s="1"/>
  <c r="E144" i="17"/>
  <c r="F144" i="17" s="1"/>
  <c r="E158" i="17"/>
  <c r="F158" i="17" s="1"/>
  <c r="E171" i="17"/>
  <c r="F171" i="17" s="1"/>
  <c r="E179" i="17"/>
  <c r="C261" i="17"/>
  <c r="C254" i="17"/>
  <c r="D278" i="17"/>
  <c r="D262" i="17"/>
  <c r="D263" i="17" s="1"/>
  <c r="D190" i="17"/>
  <c r="D290" i="17"/>
  <c r="D274" i="17"/>
  <c r="E198" i="17"/>
  <c r="F198" i="17"/>
  <c r="D199" i="17"/>
  <c r="D285" i="17"/>
  <c r="E285" i="17" s="1"/>
  <c r="D269" i="17"/>
  <c r="E269" i="17" s="1"/>
  <c r="F269" i="17" s="1"/>
  <c r="E204" i="17"/>
  <c r="F204" i="17"/>
  <c r="D206" i="17"/>
  <c r="D215" i="17"/>
  <c r="D255" i="17" s="1"/>
  <c r="D124" i="17"/>
  <c r="D277" i="17"/>
  <c r="E188" i="17"/>
  <c r="D261" i="17"/>
  <c r="D280" i="17"/>
  <c r="E280" i="17" s="1"/>
  <c r="F280" i="17" s="1"/>
  <c r="E191" i="17"/>
  <c r="F191" i="17" s="1"/>
  <c r="D283" i="17"/>
  <c r="E283" i="17" s="1"/>
  <c r="D267" i="17"/>
  <c r="F203" i="17"/>
  <c r="D227" i="17"/>
  <c r="D239" i="17"/>
  <c r="E239" i="17"/>
  <c r="F239" i="17" s="1"/>
  <c r="C290" i="17"/>
  <c r="C274" i="17"/>
  <c r="C199" i="17"/>
  <c r="C200" i="17"/>
  <c r="F285" i="17"/>
  <c r="C205" i="17"/>
  <c r="C255" i="17"/>
  <c r="C264" i="17"/>
  <c r="C267" i="17"/>
  <c r="C270" i="17" s="1"/>
  <c r="C269" i="17"/>
  <c r="F299" i="17"/>
  <c r="F38" i="14"/>
  <c r="F40" i="14"/>
  <c r="I31" i="14"/>
  <c r="I17" i="14"/>
  <c r="D31" i="14"/>
  <c r="F31" i="14"/>
  <c r="H31" i="14" s="1"/>
  <c r="C33" i="14"/>
  <c r="C36" i="14"/>
  <c r="C38" i="14"/>
  <c r="C40" i="14" s="1"/>
  <c r="E33" i="14"/>
  <c r="E36" i="14"/>
  <c r="E38" i="14"/>
  <c r="E40" i="14" s="1"/>
  <c r="G33" i="14"/>
  <c r="H17" i="14"/>
  <c r="D15" i="13"/>
  <c r="D17" i="13" s="1"/>
  <c r="D48" i="13"/>
  <c r="D42" i="13"/>
  <c r="E15" i="13"/>
  <c r="F17" i="12"/>
  <c r="C20" i="12"/>
  <c r="E17" i="12"/>
  <c r="E15" i="12"/>
  <c r="F15" i="12"/>
  <c r="E38" i="11"/>
  <c r="E61" i="11"/>
  <c r="E112" i="10"/>
  <c r="F112" i="10" s="1"/>
  <c r="E113" i="10"/>
  <c r="F113" i="10" s="1"/>
  <c r="E198" i="9"/>
  <c r="F198" i="9" s="1"/>
  <c r="E199" i="9"/>
  <c r="F199" i="9" s="1"/>
  <c r="D21" i="8"/>
  <c r="E157" i="8"/>
  <c r="E135" i="8"/>
  <c r="D139" i="8"/>
  <c r="C157" i="8"/>
  <c r="C155" i="8"/>
  <c r="C152" i="8"/>
  <c r="D15" i="8"/>
  <c r="C43" i="8"/>
  <c r="E43" i="8"/>
  <c r="D49" i="8"/>
  <c r="C53" i="8"/>
  <c r="E53" i="8"/>
  <c r="D77" i="8"/>
  <c r="D71" i="8" s="1"/>
  <c r="C49" i="8"/>
  <c r="E183" i="7"/>
  <c r="F183" i="7" s="1"/>
  <c r="E84" i="6"/>
  <c r="F84" i="6" s="1"/>
  <c r="D21" i="5"/>
  <c r="E16" i="5"/>
  <c r="F16" i="5"/>
  <c r="E22" i="4"/>
  <c r="F22" i="4" s="1"/>
  <c r="D30" i="22"/>
  <c r="D48" i="22" s="1"/>
  <c r="D111" i="22"/>
  <c r="D110" i="22"/>
  <c r="D39" i="22"/>
  <c r="D35" i="22"/>
  <c r="D29" i="22"/>
  <c r="D55" i="22" s="1"/>
  <c r="E35" i="22"/>
  <c r="E110" i="22"/>
  <c r="F39" i="20"/>
  <c r="E326" i="18"/>
  <c r="D330" i="18"/>
  <c r="E330" i="18" s="1"/>
  <c r="C180" i="18"/>
  <c r="D241" i="18"/>
  <c r="D234" i="18"/>
  <c r="E210" i="18"/>
  <c r="D157" i="18"/>
  <c r="D271" i="17"/>
  <c r="D268" i="17"/>
  <c r="E261" i="17"/>
  <c r="E255" i="17"/>
  <c r="F255" i="17" s="1"/>
  <c r="E290" i="17"/>
  <c r="D288" i="17"/>
  <c r="D125" i="17"/>
  <c r="D216" i="17"/>
  <c r="D139" i="17"/>
  <c r="E199" i="17"/>
  <c r="F199" i="17" s="1"/>
  <c r="D161" i="17"/>
  <c r="D162" i="17" s="1"/>
  <c r="D126" i="17"/>
  <c r="D127" i="17" s="1"/>
  <c r="D49" i="17"/>
  <c r="D91" i="17"/>
  <c r="D92" i="17" s="1"/>
  <c r="C208" i="17"/>
  <c r="C160" i="17"/>
  <c r="E48" i="17"/>
  <c r="F48" i="17"/>
  <c r="E173" i="17"/>
  <c r="F173" i="17"/>
  <c r="D174" i="17"/>
  <c r="G36" i="14"/>
  <c r="G38" i="14" s="1"/>
  <c r="G40" i="14"/>
  <c r="I33" i="14"/>
  <c r="I36" i="14"/>
  <c r="I38" i="14" s="1"/>
  <c r="I40" i="14" s="1"/>
  <c r="H33" i="14"/>
  <c r="H36" i="14"/>
  <c r="H38" i="14" s="1"/>
  <c r="H40" i="14"/>
  <c r="E24" i="13"/>
  <c r="E17" i="13"/>
  <c r="E28" i="13"/>
  <c r="E70" i="13" s="1"/>
  <c r="E72" i="13" s="1"/>
  <c r="E69" i="13" s="1"/>
  <c r="D24" i="13"/>
  <c r="D20" i="13" s="1"/>
  <c r="D28" i="13"/>
  <c r="D22" i="13" s="1"/>
  <c r="D34" i="12"/>
  <c r="D42" i="12" s="1"/>
  <c r="E20" i="12"/>
  <c r="D24" i="8"/>
  <c r="D17" i="8"/>
  <c r="D112" i="8" s="1"/>
  <c r="D35" i="5"/>
  <c r="D43" i="5" s="1"/>
  <c r="D112" i="22"/>
  <c r="D47" i="22"/>
  <c r="D37" i="22"/>
  <c r="D56" i="22"/>
  <c r="C181" i="18"/>
  <c r="C175" i="17"/>
  <c r="C176" i="17" s="1"/>
  <c r="D50" i="17"/>
  <c r="D304" i="17"/>
  <c r="E103" i="17"/>
  <c r="F103" i="17"/>
  <c r="D104" i="17"/>
  <c r="D70" i="13"/>
  <c r="D72" i="13" s="1"/>
  <c r="D69" i="13"/>
  <c r="E22" i="13"/>
  <c r="D111" i="8"/>
  <c r="E99" i="8"/>
  <c r="E101" i="8" s="1"/>
  <c r="E98" i="8" s="1"/>
  <c r="F73" i="11" l="1"/>
  <c r="D49" i="12"/>
  <c r="D273" i="17"/>
  <c r="D210" i="17"/>
  <c r="F206" i="17"/>
  <c r="E206" i="17"/>
  <c r="D50" i="5"/>
  <c r="F192" i="17"/>
  <c r="E241" i="18"/>
  <c r="E153" i="8"/>
  <c r="E154" i="8"/>
  <c r="F204" i="9"/>
  <c r="E121" i="10"/>
  <c r="F29" i="11"/>
  <c r="E29" i="11"/>
  <c r="F145" i="17"/>
  <c r="C146" i="17"/>
  <c r="E145" i="17"/>
  <c r="E25" i="20"/>
  <c r="F25" i="20" s="1"/>
  <c r="D176" i="17"/>
  <c r="E267" i="17"/>
  <c r="F267" i="17" s="1"/>
  <c r="D284" i="17"/>
  <c r="F207" i="17"/>
  <c r="E61" i="4"/>
  <c r="F61" i="4" s="1"/>
  <c r="D65" i="4"/>
  <c r="E65" i="4" s="1"/>
  <c r="C52" i="6"/>
  <c r="F44" i="6"/>
  <c r="F90" i="7"/>
  <c r="C95" i="7"/>
  <c r="E90" i="7"/>
  <c r="E49" i="8"/>
  <c r="E57" i="8"/>
  <c r="E62" i="8" s="1"/>
  <c r="E140" i="8"/>
  <c r="E137" i="8"/>
  <c r="E138" i="8"/>
  <c r="F32" i="12"/>
  <c r="D37" i="17"/>
  <c r="E37" i="17" s="1"/>
  <c r="F37" i="17" s="1"/>
  <c r="E35" i="17"/>
  <c r="F35" i="17" s="1"/>
  <c r="F53" i="17"/>
  <c r="C60" i="17"/>
  <c r="F59" i="17"/>
  <c r="E314" i="18"/>
  <c r="D316" i="18"/>
  <c r="C37" i="19"/>
  <c r="C38" i="19" s="1"/>
  <c r="C127" i="19" s="1"/>
  <c r="C129" i="19" s="1"/>
  <c r="C133" i="19" s="1"/>
  <c r="C22" i="19"/>
  <c r="D28" i="8"/>
  <c r="D113" i="22"/>
  <c r="E112" i="8"/>
  <c r="E111" i="8" s="1"/>
  <c r="D208" i="17"/>
  <c r="F31" i="17"/>
  <c r="D279" i="17"/>
  <c r="D270" i="17"/>
  <c r="E270" i="17" s="1"/>
  <c r="F270" i="17" s="1"/>
  <c r="D140" i="8"/>
  <c r="F43" i="20"/>
  <c r="E38" i="4"/>
  <c r="F38" i="4" s="1"/>
  <c r="D41" i="4"/>
  <c r="E56" i="4"/>
  <c r="F56" i="4" s="1"/>
  <c r="E44" i="6"/>
  <c r="D95" i="7"/>
  <c r="E95" i="7" s="1"/>
  <c r="C188" i="7"/>
  <c r="F76" i="9"/>
  <c r="E76" i="9"/>
  <c r="F127" i="9"/>
  <c r="E55" i="15"/>
  <c r="E70" i="15"/>
  <c r="F70" i="15" s="1"/>
  <c r="E29" i="17"/>
  <c r="F29" i="17"/>
  <c r="C306" i="17"/>
  <c r="E250" i="17"/>
  <c r="E111" i="22"/>
  <c r="E30" i="22"/>
  <c r="E36" i="22"/>
  <c r="E54" i="22"/>
  <c r="C98" i="22"/>
  <c r="D38" i="22"/>
  <c r="C34" i="12"/>
  <c r="E20" i="13"/>
  <c r="E102" i="17"/>
  <c r="F102" i="17" s="1"/>
  <c r="E262" i="17"/>
  <c r="D287" i="17"/>
  <c r="E144" i="18"/>
  <c r="E21" i="5"/>
  <c r="F20" i="12"/>
  <c r="C21" i="5"/>
  <c r="E18" i="5"/>
  <c r="F18" i="5" s="1"/>
  <c r="E41" i="6"/>
  <c r="F41" i="6" s="1"/>
  <c r="F121" i="7"/>
  <c r="E27" i="8"/>
  <c r="D79" i="8"/>
  <c r="F63" i="9"/>
  <c r="E63" i="9"/>
  <c r="E192" i="9"/>
  <c r="F192" i="9" s="1"/>
  <c r="F120" i="10"/>
  <c r="C75" i="11"/>
  <c r="E56" i="11"/>
  <c r="F56" i="11" s="1"/>
  <c r="F137" i="17"/>
  <c r="C138" i="17"/>
  <c r="E306" i="17"/>
  <c r="F297" i="17"/>
  <c r="C283" i="18"/>
  <c r="E21" i="18"/>
  <c r="E260" i="18"/>
  <c r="C254" i="18"/>
  <c r="C20" i="20"/>
  <c r="E19" i="20"/>
  <c r="F19" i="20" s="1"/>
  <c r="F274" i="17"/>
  <c r="F254" i="17"/>
  <c r="F45" i="6"/>
  <c r="E85" i="17"/>
  <c r="F85" i="17"/>
  <c r="E123" i="17"/>
  <c r="F123" i="17" s="1"/>
  <c r="C124" i="17"/>
  <c r="E124" i="17" s="1"/>
  <c r="E165" i="17"/>
  <c r="F165" i="17" s="1"/>
  <c r="E163" i="18"/>
  <c r="C156" i="18"/>
  <c r="C163" i="18"/>
  <c r="D310" i="18"/>
  <c r="E310" i="18" s="1"/>
  <c r="D286" i="17"/>
  <c r="E286" i="17" s="1"/>
  <c r="F286" i="17" s="1"/>
  <c r="E205" i="17"/>
  <c r="F205" i="17" s="1"/>
  <c r="D272" i="17"/>
  <c r="E152" i="8"/>
  <c r="E274" i="17"/>
  <c r="C271" i="17"/>
  <c r="F261" i="17"/>
  <c r="C193" i="17"/>
  <c r="E145" i="18"/>
  <c r="D40" i="22"/>
  <c r="D46" i="22"/>
  <c r="E45" i="6"/>
  <c r="F48" i="6"/>
  <c r="E88" i="8"/>
  <c r="E90" i="8" s="1"/>
  <c r="E86" i="8" s="1"/>
  <c r="E77" i="8"/>
  <c r="E71" i="8" s="1"/>
  <c r="D140" i="17"/>
  <c r="D105" i="17"/>
  <c r="E70" i="18"/>
  <c r="C76" i="18"/>
  <c r="C77" i="18" s="1"/>
  <c r="E34" i="12"/>
  <c r="E32" i="17"/>
  <c r="F32" i="17" s="1"/>
  <c r="E254" i="17"/>
  <c r="C268" i="17"/>
  <c r="D36" i="22"/>
  <c r="E139" i="8"/>
  <c r="E156" i="8"/>
  <c r="C210" i="17"/>
  <c r="E53" i="22"/>
  <c r="E29" i="22"/>
  <c r="E45" i="22"/>
  <c r="E29" i="4"/>
  <c r="F29" i="4"/>
  <c r="E30" i="7"/>
  <c r="F30" i="7" s="1"/>
  <c r="C71" i="8"/>
  <c r="D137" i="8"/>
  <c r="D141" i="8" s="1"/>
  <c r="D136" i="8"/>
  <c r="D138" i="8"/>
  <c r="C156" i="8"/>
  <c r="C154" i="8"/>
  <c r="F141" i="9"/>
  <c r="C207" i="9"/>
  <c r="E96" i="10"/>
  <c r="F96" i="10" s="1"/>
  <c r="E30" i="15"/>
  <c r="C214" i="17"/>
  <c r="C190" i="17"/>
  <c r="E190" i="17" s="1"/>
  <c r="C277" i="17"/>
  <c r="F188" i="17"/>
  <c r="C227" i="17"/>
  <c r="E226" i="17"/>
  <c r="F226" i="17" s="1"/>
  <c r="E33" i="18"/>
  <c r="C295" i="18"/>
  <c r="E38" i="18"/>
  <c r="C43" i="18"/>
  <c r="C242" i="18"/>
  <c r="E242" i="18" s="1"/>
  <c r="C217" i="18"/>
  <c r="C241" i="18" s="1"/>
  <c r="E218" i="18"/>
  <c r="C222" i="18"/>
  <c r="C245" i="18"/>
  <c r="C253" i="18"/>
  <c r="E221" i="18"/>
  <c r="D253" i="18"/>
  <c r="E253" i="18" s="1"/>
  <c r="E233" i="18"/>
  <c r="E291" i="18"/>
  <c r="F33" i="20"/>
  <c r="E36" i="20"/>
  <c r="F36" i="20" s="1"/>
  <c r="C105" i="17"/>
  <c r="C300" i="17"/>
  <c r="E271" i="17"/>
  <c r="D284" i="18"/>
  <c r="E284" i="18" s="1"/>
  <c r="E303" i="18"/>
  <c r="D54" i="22"/>
  <c r="C153" i="8"/>
  <c r="E136" i="8"/>
  <c r="E141" i="8" s="1"/>
  <c r="E155" i="8"/>
  <c r="F65" i="11"/>
  <c r="F250" i="17"/>
  <c r="D62" i="17"/>
  <c r="D180" i="18"/>
  <c r="E180" i="18" s="1"/>
  <c r="D211" i="18"/>
  <c r="D181" i="18" s="1"/>
  <c r="E181" i="18" s="1"/>
  <c r="F65" i="4"/>
  <c r="F115" i="10"/>
  <c r="E118" i="10"/>
  <c r="F118" i="10" s="1"/>
  <c r="C43" i="11"/>
  <c r="E295" i="17"/>
  <c r="F295" i="17" s="1"/>
  <c r="E311" i="17"/>
  <c r="C235" i="18"/>
  <c r="E24" i="9"/>
  <c r="F24" i="9" s="1"/>
  <c r="F202" i="9"/>
  <c r="F114" i="10"/>
  <c r="E114" i="10"/>
  <c r="C121" i="10"/>
  <c r="F61" i="11"/>
  <c r="C25" i="13"/>
  <c r="C27" i="13" s="1"/>
  <c r="C15" i="13"/>
  <c r="C59" i="13"/>
  <c r="C61" i="13" s="1"/>
  <c r="C57" i="13" s="1"/>
  <c r="C48" i="13"/>
  <c r="C42" i="13" s="1"/>
  <c r="E245" i="18"/>
  <c r="C34" i="22"/>
  <c r="C23" i="22"/>
  <c r="C33" i="22"/>
  <c r="C22" i="22"/>
  <c r="D53" i="22"/>
  <c r="F42" i="6"/>
  <c r="E47" i="6"/>
  <c r="E50" i="6"/>
  <c r="D95" i="6"/>
  <c r="E95" i="6" s="1"/>
  <c r="F95" i="6" s="1"/>
  <c r="F154" i="9"/>
  <c r="F193" i="9"/>
  <c r="E208" i="9"/>
  <c r="E202" i="9"/>
  <c r="E205" i="9"/>
  <c r="F205" i="9" s="1"/>
  <c r="F24" i="10"/>
  <c r="E24" i="10"/>
  <c r="D50" i="13"/>
  <c r="C21" i="17"/>
  <c r="F20" i="17"/>
  <c r="F155" i="17"/>
  <c r="E155" i="17"/>
  <c r="D264" i="17"/>
  <c r="D200" i="17"/>
  <c r="E200" i="17" s="1"/>
  <c r="F200" i="17" s="1"/>
  <c r="D193" i="17"/>
  <c r="F230" i="17"/>
  <c r="D259" i="18"/>
  <c r="D289" i="18"/>
  <c r="E289" i="18" s="1"/>
  <c r="D65" i="18"/>
  <c r="E177" i="18"/>
  <c r="C65" i="19"/>
  <c r="C114" i="19" s="1"/>
  <c r="C116" i="19" s="1"/>
  <c r="C119" i="19" s="1"/>
  <c r="C123" i="19" s="1"/>
  <c r="E48" i="6"/>
  <c r="F81" i="6"/>
  <c r="E59" i="7"/>
  <c r="F59" i="7" s="1"/>
  <c r="D90" i="8"/>
  <c r="D86" i="8" s="1"/>
  <c r="C149" i="8"/>
  <c r="E127" i="9"/>
  <c r="E200" i="9"/>
  <c r="F200" i="9" s="1"/>
  <c r="E119" i="10"/>
  <c r="F119" i="10" s="1"/>
  <c r="E59" i="13"/>
  <c r="E61" i="13" s="1"/>
  <c r="E57" i="13" s="1"/>
  <c r="E48" i="13"/>
  <c r="E42" i="13" s="1"/>
  <c r="F88" i="17"/>
  <c r="C89" i="17"/>
  <c r="E110" i="17"/>
  <c r="D111" i="17"/>
  <c r="E111" i="17" s="1"/>
  <c r="F111" i="17" s="1"/>
  <c r="F135" i="17"/>
  <c r="C181" i="17"/>
  <c r="F179" i="17"/>
  <c r="F283" i="17"/>
  <c r="C101" i="22"/>
  <c r="C102" i="22"/>
  <c r="F38" i="11"/>
  <c r="F290" i="17"/>
  <c r="D246" i="18"/>
  <c r="E33" i="5"/>
  <c r="F33" i="5" s="1"/>
  <c r="F46" i="6"/>
  <c r="F49" i="6"/>
  <c r="E81" i="6"/>
  <c r="C25" i="8"/>
  <c r="C27" i="8" s="1"/>
  <c r="C15" i="8"/>
  <c r="C79" i="8"/>
  <c r="F49" i="9"/>
  <c r="E88" i="9"/>
  <c r="E115" i="9"/>
  <c r="F201" i="9"/>
  <c r="C208" i="9"/>
  <c r="E116" i="10"/>
  <c r="F116" i="10" s="1"/>
  <c r="E41" i="11"/>
  <c r="F41" i="11" s="1"/>
  <c r="E16" i="15"/>
  <c r="F16" i="15" s="1"/>
  <c r="F17" i="17"/>
  <c r="D160" i="17"/>
  <c r="E160" i="17" s="1"/>
  <c r="F160" i="17" s="1"/>
  <c r="D90" i="17"/>
  <c r="E164" i="17"/>
  <c r="F164" i="17"/>
  <c r="C278" i="17"/>
  <c r="E278" i="17" s="1"/>
  <c r="C215" i="17"/>
  <c r="C262" i="17"/>
  <c r="E175" i="18"/>
  <c r="E38" i="6"/>
  <c r="F38" i="6" s="1"/>
  <c r="F43" i="6"/>
  <c r="F51" i="6"/>
  <c r="E166" i="6"/>
  <c r="F166" i="6" s="1"/>
  <c r="F23" i="9"/>
  <c r="E36" i="9"/>
  <c r="E114" i="9"/>
  <c r="E204" i="9"/>
  <c r="E22" i="11"/>
  <c r="F22" i="11" s="1"/>
  <c r="E107" i="15"/>
  <c r="F107" i="15" s="1"/>
  <c r="F52" i="17"/>
  <c r="F120" i="17"/>
  <c r="E189" i="17"/>
  <c r="F189" i="17" s="1"/>
  <c r="C49" i="19"/>
  <c r="C64" i="19"/>
  <c r="E18" i="7"/>
  <c r="F18" i="7" s="1"/>
  <c r="D166" i="8"/>
  <c r="F50" i="9"/>
  <c r="E75" i="9"/>
  <c r="F75" i="9" s="1"/>
  <c r="F128" i="9"/>
  <c r="F36" i="10"/>
  <c r="E108" i="10"/>
  <c r="F108" i="10" s="1"/>
  <c r="E120" i="10"/>
  <c r="F110" i="17"/>
  <c r="F129" i="17"/>
  <c r="C41" i="20"/>
  <c r="E40" i="20"/>
  <c r="F40" i="20" s="1"/>
  <c r="F21" i="21"/>
  <c r="F153" i="9"/>
  <c r="F117" i="10"/>
  <c r="E73" i="11"/>
  <c r="E32" i="12"/>
  <c r="E23" i="15"/>
  <c r="F23" i="15" s="1"/>
  <c r="F92" i="15"/>
  <c r="F21" i="16"/>
  <c r="E135" i="17"/>
  <c r="D88" i="22"/>
  <c r="E101" i="9"/>
  <c r="E180" i="9"/>
  <c r="F203" i="9"/>
  <c r="F206" i="9"/>
  <c r="E35" i="10"/>
  <c r="F35" i="10" s="1"/>
  <c r="C122" i="10"/>
  <c r="E122" i="10" s="1"/>
  <c r="E65" i="15"/>
  <c r="F65" i="15" s="1"/>
  <c r="E88" i="17"/>
  <c r="E283" i="18"/>
  <c r="D44" i="18"/>
  <c r="E54" i="18"/>
  <c r="D55" i="18"/>
  <c r="E55" i="18" s="1"/>
  <c r="E239" i="18"/>
  <c r="D46" i="20"/>
  <c r="E59" i="10"/>
  <c r="E83" i="10"/>
  <c r="F107" i="10"/>
  <c r="D80" i="13"/>
  <c r="D77" i="13" s="1"/>
  <c r="F229" i="17"/>
  <c r="F37" i="15"/>
  <c r="E45" i="15"/>
  <c r="F100" i="15"/>
  <c r="F109" i="17"/>
  <c r="F130" i="17"/>
  <c r="F307" i="17"/>
  <c r="D76" i="18"/>
  <c r="E176" i="18"/>
  <c r="E230" i="18"/>
  <c r="E324" i="18"/>
  <c r="E44" i="20"/>
  <c r="E46" i="20" s="1"/>
  <c r="F46" i="20" s="1"/>
  <c r="E181" i="17" l="1"/>
  <c r="F181" i="17"/>
  <c r="F43" i="11"/>
  <c r="C287" i="17"/>
  <c r="C284" i="17"/>
  <c r="C279" i="17"/>
  <c r="F277" i="17"/>
  <c r="D291" i="17"/>
  <c r="D289" i="17"/>
  <c r="C49" i="17"/>
  <c r="C161" i="17"/>
  <c r="E21" i="17"/>
  <c r="F21" i="17"/>
  <c r="C126" i="17"/>
  <c r="C91" i="17"/>
  <c r="C21" i="13"/>
  <c r="C259" i="18"/>
  <c r="C263" i="18" s="1"/>
  <c r="E43" i="18"/>
  <c r="E208" i="17"/>
  <c r="F208" i="17" s="1"/>
  <c r="D209" i="17"/>
  <c r="E43" i="11"/>
  <c r="D156" i="8"/>
  <c r="D155" i="8"/>
  <c r="D157" i="8"/>
  <c r="D154" i="8"/>
  <c r="D152" i="8"/>
  <c r="D158" i="8" s="1"/>
  <c r="D153" i="8"/>
  <c r="C24" i="8"/>
  <c r="C17" i="8"/>
  <c r="C54" i="22"/>
  <c r="C40" i="22"/>
  <c r="C36" i="22"/>
  <c r="C111" i="22"/>
  <c r="C46" i="22"/>
  <c r="C30" i="22"/>
  <c r="E214" i="17"/>
  <c r="F214" i="17" s="1"/>
  <c r="C216" i="17"/>
  <c r="C304" i="17"/>
  <c r="D141" i="17"/>
  <c r="E140" i="17"/>
  <c r="F271" i="17"/>
  <c r="E48" i="22"/>
  <c r="E113" i="22"/>
  <c r="E38" i="22"/>
  <c r="E56" i="22"/>
  <c r="C125" i="17"/>
  <c r="F60" i="17"/>
  <c r="C61" i="17"/>
  <c r="E60" i="17"/>
  <c r="F52" i="6"/>
  <c r="E176" i="17"/>
  <c r="F176" i="17" s="1"/>
  <c r="D183" i="17"/>
  <c r="F208" i="9"/>
  <c r="C20" i="8"/>
  <c r="C21" i="8"/>
  <c r="D194" i="17"/>
  <c r="E193" i="17"/>
  <c r="F193" i="17" s="1"/>
  <c r="D282" i="17"/>
  <c r="D266" i="17"/>
  <c r="E266" i="17" s="1"/>
  <c r="F121" i="10"/>
  <c r="F300" i="17"/>
  <c r="E47" i="22"/>
  <c r="E55" i="22"/>
  <c r="E37" i="22"/>
  <c r="E112" i="22"/>
  <c r="F21" i="5"/>
  <c r="C35" i="5"/>
  <c r="D77" i="18"/>
  <c r="E76" i="18"/>
  <c r="D86" i="18"/>
  <c r="D87" i="18"/>
  <c r="D258" i="18"/>
  <c r="D97" i="18"/>
  <c r="D99" i="18"/>
  <c r="D88" i="18"/>
  <c r="D85" i="18"/>
  <c r="D100" i="18"/>
  <c r="D84" i="18"/>
  <c r="D101" i="18"/>
  <c r="D89" i="18"/>
  <c r="D96" i="18"/>
  <c r="D83" i="18"/>
  <c r="D95" i="18"/>
  <c r="D98" i="18"/>
  <c r="E90" i="17"/>
  <c r="C103" i="22"/>
  <c r="E89" i="17"/>
  <c r="C90" i="17"/>
  <c r="F89" i="17"/>
  <c r="D254" i="18"/>
  <c r="E254" i="18" s="1"/>
  <c r="C106" i="17"/>
  <c r="E41" i="20"/>
  <c r="C42" i="12"/>
  <c r="F34" i="12"/>
  <c r="D75" i="4"/>
  <c r="E75" i="4" s="1"/>
  <c r="F75" i="4" s="1"/>
  <c r="D99" i="8"/>
  <c r="D101" i="8" s="1"/>
  <c r="D98" i="8" s="1"/>
  <c r="D22" i="8"/>
  <c r="F122" i="10"/>
  <c r="E246" i="18"/>
  <c r="C17" i="13"/>
  <c r="C28" i="13" s="1"/>
  <c r="C70" i="13" s="1"/>
  <c r="C72" i="13" s="1"/>
  <c r="C69" i="13" s="1"/>
  <c r="C24" i="13"/>
  <c r="C20" i="13" s="1"/>
  <c r="E188" i="7"/>
  <c r="F188" i="7"/>
  <c r="F41" i="20"/>
  <c r="F75" i="11"/>
  <c r="E75" i="11"/>
  <c r="F44" i="20"/>
  <c r="C223" i="18"/>
  <c r="E222" i="18"/>
  <c r="C246" i="18"/>
  <c r="E158" i="8"/>
  <c r="C44" i="18"/>
  <c r="C158" i="8"/>
  <c r="E227" i="17"/>
  <c r="F227" i="17" s="1"/>
  <c r="F207" i="9"/>
  <c r="E207" i="9"/>
  <c r="E20" i="20"/>
  <c r="F20" i="20" s="1"/>
  <c r="E138" i="17"/>
  <c r="F138" i="17" s="1"/>
  <c r="C140" i="17"/>
  <c r="E277" i="17"/>
  <c r="C53" i="22"/>
  <c r="C29" i="22"/>
  <c r="C45" i="22"/>
  <c r="C39" i="22"/>
  <c r="C35" i="22"/>
  <c r="C110" i="22"/>
  <c r="C194" i="17"/>
  <c r="C282" i="17"/>
  <c r="C266" i="17"/>
  <c r="D211" i="17"/>
  <c r="E210" i="17"/>
  <c r="F210" i="17" s="1"/>
  <c r="C288" i="17"/>
  <c r="F278" i="17"/>
  <c r="D263" i="18"/>
  <c r="E263" i="18" s="1"/>
  <c r="E259" i="18"/>
  <c r="D63" i="17"/>
  <c r="F190" i="17"/>
  <c r="E105" i="17"/>
  <c r="F105" i="17" s="1"/>
  <c r="D106" i="17"/>
  <c r="F124" i="17"/>
  <c r="D300" i="17"/>
  <c r="E300" i="17" s="1"/>
  <c r="E264" i="17"/>
  <c r="F264" i="17" s="1"/>
  <c r="C157" i="18"/>
  <c r="E156" i="18"/>
  <c r="C168" i="18"/>
  <c r="E168" i="18" s="1"/>
  <c r="D43" i="4"/>
  <c r="E43" i="4" s="1"/>
  <c r="F43" i="4" s="1"/>
  <c r="E41" i="4"/>
  <c r="F41" i="4" s="1"/>
  <c r="E146" i="17"/>
  <c r="F146" i="17"/>
  <c r="F262" i="17"/>
  <c r="C263" i="17"/>
  <c r="C272" i="17"/>
  <c r="C137" i="8"/>
  <c r="C140" i="8"/>
  <c r="C135" i="8"/>
  <c r="C139" i="8"/>
  <c r="C138" i="8"/>
  <c r="C136" i="8"/>
  <c r="D294" i="18"/>
  <c r="E294" i="18" s="1"/>
  <c r="D66" i="18"/>
  <c r="E65" i="18"/>
  <c r="E215" i="17"/>
  <c r="F215" i="17" s="1"/>
  <c r="E211" i="18"/>
  <c r="D235" i="18"/>
  <c r="E235" i="18" s="1"/>
  <c r="C115" i="18"/>
  <c r="C114" i="18"/>
  <c r="C111" i="18"/>
  <c r="C121" i="18"/>
  <c r="C126" i="18"/>
  <c r="C109" i="18"/>
  <c r="C124" i="18"/>
  <c r="C127" i="18"/>
  <c r="C110" i="18"/>
  <c r="C116" i="18" s="1"/>
  <c r="C123" i="18"/>
  <c r="C122" i="18"/>
  <c r="C112" i="18"/>
  <c r="C113" i="18"/>
  <c r="C125" i="18"/>
  <c r="E217" i="18"/>
  <c r="E22" i="8"/>
  <c r="E21" i="8"/>
  <c r="E20" i="8"/>
  <c r="D323" i="17"/>
  <c r="D320" i="18"/>
  <c r="E320" i="18" s="1"/>
  <c r="E316" i="18"/>
  <c r="F95" i="7"/>
  <c r="E284" i="17"/>
  <c r="E52" i="6"/>
  <c r="E268" i="17"/>
  <c r="F268" i="17" s="1"/>
  <c r="C129" i="18" l="1"/>
  <c r="C43" i="5"/>
  <c r="E35" i="5"/>
  <c r="F35" i="5" s="1"/>
  <c r="E125" i="17"/>
  <c r="F125" i="17" s="1"/>
  <c r="D322" i="17"/>
  <c r="E141" i="17"/>
  <c r="D148" i="17"/>
  <c r="C128" i="18"/>
  <c r="E263" i="17"/>
  <c r="F263" i="17"/>
  <c r="C169" i="18"/>
  <c r="E169" i="18" s="1"/>
  <c r="E157" i="18"/>
  <c r="D70" i="17"/>
  <c r="C47" i="22"/>
  <c r="C55" i="22"/>
  <c r="C37" i="22"/>
  <c r="C112" i="22"/>
  <c r="F90" i="17"/>
  <c r="E96" i="18"/>
  <c r="D102" i="18"/>
  <c r="E97" i="18"/>
  <c r="E304" i="17"/>
  <c r="F304" i="17" s="1"/>
  <c r="F284" i="17"/>
  <c r="D265" i="17"/>
  <c r="F266" i="17"/>
  <c r="C265" i="17"/>
  <c r="E258" i="18"/>
  <c r="D264" i="18"/>
  <c r="E282" i="17"/>
  <c r="F282" i="17" s="1"/>
  <c r="D281" i="17"/>
  <c r="E281" i="17" s="1"/>
  <c r="F216" i="17"/>
  <c r="E216" i="17"/>
  <c r="C22" i="13"/>
  <c r="C162" i="17"/>
  <c r="E161" i="17"/>
  <c r="F161" i="17" s="1"/>
  <c r="C291" i="17"/>
  <c r="C289" i="17"/>
  <c r="E289" i="17" s="1"/>
  <c r="F287" i="17"/>
  <c r="C127" i="17"/>
  <c r="E126" i="17"/>
  <c r="F126" i="17"/>
  <c r="E66" i="18"/>
  <c r="D295" i="18"/>
  <c r="E295" i="18" s="1"/>
  <c r="D247" i="18"/>
  <c r="E247" i="18" s="1"/>
  <c r="D91" i="18"/>
  <c r="C281" i="17"/>
  <c r="C49" i="12"/>
  <c r="E42" i="12"/>
  <c r="F42" i="12" s="1"/>
  <c r="E101" i="18"/>
  <c r="C50" i="17"/>
  <c r="E49" i="17"/>
  <c r="F49" i="17"/>
  <c r="C195" i="17"/>
  <c r="E279" i="17"/>
  <c r="F279" i="17" s="1"/>
  <c r="C247" i="18"/>
  <c r="E223" i="18"/>
  <c r="C28" i="8"/>
  <c r="C112" i="8"/>
  <c r="C111" i="8" s="1"/>
  <c r="C141" i="8"/>
  <c r="C141" i="17"/>
  <c r="F140" i="17"/>
  <c r="E291" i="17"/>
  <c r="D305" i="17"/>
  <c r="C99" i="18"/>
  <c r="C83" i="18"/>
  <c r="C101" i="18"/>
  <c r="C98" i="18"/>
  <c r="E98" i="18" s="1"/>
  <c r="C85" i="18"/>
  <c r="C100" i="18"/>
  <c r="E100" i="18" s="1"/>
  <c r="C86" i="18"/>
  <c r="E86" i="18" s="1"/>
  <c r="C258" i="18"/>
  <c r="C97" i="18"/>
  <c r="C96" i="18"/>
  <c r="C89" i="18"/>
  <c r="E89" i="18" s="1"/>
  <c r="C87" i="18"/>
  <c r="E87" i="18" s="1"/>
  <c r="C95" i="18"/>
  <c r="C88" i="18"/>
  <c r="E88" i="18" s="1"/>
  <c r="C84" i="18"/>
  <c r="C90" i="18" s="1"/>
  <c r="E99" i="18"/>
  <c r="E272" i="17"/>
  <c r="F272" i="17" s="1"/>
  <c r="D90" i="18"/>
  <c r="E194" i="17"/>
  <c r="F194" i="17" s="1"/>
  <c r="D195" i="17"/>
  <c r="E195" i="17" s="1"/>
  <c r="D196" i="17"/>
  <c r="C273" i="17"/>
  <c r="C92" i="17"/>
  <c r="E91" i="17"/>
  <c r="F91" i="17" s="1"/>
  <c r="C117" i="18"/>
  <c r="C131" i="18" s="1"/>
  <c r="E106" i="17"/>
  <c r="D113" i="17"/>
  <c r="D324" i="17"/>
  <c r="E288" i="17"/>
  <c r="F288" i="17" s="1"/>
  <c r="F106" i="17"/>
  <c r="E44" i="18"/>
  <c r="E85" i="18"/>
  <c r="D121" i="18"/>
  <c r="D122" i="18"/>
  <c r="D124" i="18"/>
  <c r="E124" i="18" s="1"/>
  <c r="D114" i="18"/>
  <c r="E114" i="18" s="1"/>
  <c r="D123" i="18"/>
  <c r="E123" i="18" s="1"/>
  <c r="D112" i="18"/>
  <c r="E112" i="18" s="1"/>
  <c r="D109" i="18"/>
  <c r="D127" i="18"/>
  <c r="E127" i="18" s="1"/>
  <c r="D125" i="18"/>
  <c r="E125" i="18" s="1"/>
  <c r="D110" i="18"/>
  <c r="D113" i="18"/>
  <c r="E113" i="18" s="1"/>
  <c r="D126" i="18"/>
  <c r="E126" i="18" s="1"/>
  <c r="D115" i="18"/>
  <c r="E115" i="18" s="1"/>
  <c r="D111" i="18"/>
  <c r="E111" i="18" s="1"/>
  <c r="E77" i="18"/>
  <c r="E61" i="17"/>
  <c r="F61" i="17" s="1"/>
  <c r="C209" i="17"/>
  <c r="C174" i="17"/>
  <c r="C139" i="17"/>
  <c r="C104" i="17"/>
  <c r="C62" i="17"/>
  <c r="C48" i="22"/>
  <c r="C113" i="22"/>
  <c r="C56" i="22"/>
  <c r="C38" i="22"/>
  <c r="E209" i="17"/>
  <c r="C196" i="17"/>
  <c r="E287" i="17"/>
  <c r="D105" i="18" l="1"/>
  <c r="E148" i="17"/>
  <c r="E109" i="18"/>
  <c r="E104" i="17"/>
  <c r="F104" i="17" s="1"/>
  <c r="E90" i="18"/>
  <c r="F141" i="17"/>
  <c r="C322" i="17"/>
  <c r="C211" i="17"/>
  <c r="F49" i="12"/>
  <c r="E49" i="12"/>
  <c r="E139" i="17"/>
  <c r="F139" i="17" s="1"/>
  <c r="E273" i="17"/>
  <c r="F273" i="17" s="1"/>
  <c r="F195" i="17"/>
  <c r="E264" i="18"/>
  <c r="D266" i="18"/>
  <c r="E174" i="17"/>
  <c r="F174" i="17" s="1"/>
  <c r="D325" i="17"/>
  <c r="E324" i="17"/>
  <c r="C102" i="18"/>
  <c r="E102" i="18" s="1"/>
  <c r="C91" i="18"/>
  <c r="C323" i="17"/>
  <c r="C183" i="17"/>
  <c r="E162" i="17"/>
  <c r="F162" i="17"/>
  <c r="E110" i="18"/>
  <c r="D116" i="18"/>
  <c r="E116" i="18" s="1"/>
  <c r="D128" i="18"/>
  <c r="E128" i="18" s="1"/>
  <c r="E122" i="18"/>
  <c r="E113" i="17"/>
  <c r="F281" i="17"/>
  <c r="C148" i="17"/>
  <c r="C197" i="17"/>
  <c r="E127" i="17"/>
  <c r="F127" i="17" s="1"/>
  <c r="C50" i="5"/>
  <c r="E43" i="5"/>
  <c r="F43" i="5" s="1"/>
  <c r="F209" i="17"/>
  <c r="E121" i="18"/>
  <c r="E196" i="17"/>
  <c r="F196" i="17" s="1"/>
  <c r="D197" i="17"/>
  <c r="E197" i="17" s="1"/>
  <c r="C264" i="18"/>
  <c r="C266" i="18" s="1"/>
  <c r="C267" i="18" s="1"/>
  <c r="C99" i="8"/>
  <c r="C101" i="8" s="1"/>
  <c r="C98" i="8" s="1"/>
  <c r="C22" i="8"/>
  <c r="E83" i="18"/>
  <c r="D309" i="17"/>
  <c r="F289" i="17"/>
  <c r="C63" i="17"/>
  <c r="F62" i="17"/>
  <c r="E62" i="17"/>
  <c r="C324" i="17"/>
  <c r="E92" i="17"/>
  <c r="F92" i="17" s="1"/>
  <c r="C113" i="17"/>
  <c r="E84" i="18"/>
  <c r="C103" i="18"/>
  <c r="C305" i="17"/>
  <c r="E305" i="17" s="1"/>
  <c r="F291" i="17"/>
  <c r="E265" i="17"/>
  <c r="E95" i="18"/>
  <c r="E50" i="17"/>
  <c r="F50" i="17"/>
  <c r="F265" i="17"/>
  <c r="D103" i="18"/>
  <c r="C268" i="18" l="1"/>
  <c r="C269" i="18"/>
  <c r="E63" i="17"/>
  <c r="F63" i="17" s="1"/>
  <c r="C105" i="18"/>
  <c r="E211" i="17"/>
  <c r="F211" i="17" s="1"/>
  <c r="E50" i="5"/>
  <c r="F50" i="5" s="1"/>
  <c r="F322" i="17"/>
  <c r="E91" i="18"/>
  <c r="C70" i="17"/>
  <c r="F113" i="17"/>
  <c r="E105" i="18"/>
  <c r="F197" i="17"/>
  <c r="E322" i="17"/>
  <c r="C325" i="17"/>
  <c r="F324" i="17"/>
  <c r="E309" i="17"/>
  <c r="D310" i="17"/>
  <c r="D129" i="18"/>
  <c r="E129" i="18" s="1"/>
  <c r="F148" i="17"/>
  <c r="E103" i="18"/>
  <c r="E183" i="17"/>
  <c r="F183" i="17" s="1"/>
  <c r="E266" i="18"/>
  <c r="D267" i="18"/>
  <c r="D117" i="18"/>
  <c r="C309" i="17"/>
  <c r="F305" i="17"/>
  <c r="E323" i="17"/>
  <c r="F323" i="17" s="1"/>
  <c r="D269" i="18" l="1"/>
  <c r="E269" i="18" s="1"/>
  <c r="E267" i="18"/>
  <c r="D268" i="18"/>
  <c r="F70" i="17"/>
  <c r="E70" i="17"/>
  <c r="C271" i="18"/>
  <c r="E325" i="17"/>
  <c r="F325" i="17" s="1"/>
  <c r="F309" i="17"/>
  <c r="C310" i="17"/>
  <c r="D131" i="18"/>
  <c r="E131" i="18" s="1"/>
  <c r="E117" i="18"/>
  <c r="D312" i="17"/>
  <c r="D271" i="18" l="1"/>
  <c r="E271" i="18" s="1"/>
  <c r="E268" i="18"/>
  <c r="C312" i="17"/>
  <c r="E312" i="17"/>
  <c r="D313" i="17"/>
  <c r="E310" i="17"/>
  <c r="F310" i="17" s="1"/>
  <c r="D251" i="17" l="1"/>
  <c r="D315" i="17"/>
  <c r="D314" i="17"/>
  <c r="D256" i="17"/>
  <c r="F312" i="17"/>
  <c r="C313" i="17"/>
  <c r="C251" i="17" l="1"/>
  <c r="C256" i="17"/>
  <c r="C314" i="17"/>
  <c r="C315" i="17"/>
  <c r="D257" i="17"/>
  <c r="E256" i="17"/>
  <c r="E313" i="17"/>
  <c r="F313" i="17" s="1"/>
  <c r="D318" i="17"/>
  <c r="E251" i="17"/>
  <c r="F315" i="17" l="1"/>
  <c r="C318" i="17"/>
  <c r="C257" i="17"/>
  <c r="F256" i="17"/>
  <c r="F251" i="17"/>
  <c r="E257" i="17"/>
  <c r="E314" i="17"/>
  <c r="F314" i="17" s="1"/>
  <c r="E318" i="17"/>
  <c r="E315" i="17"/>
  <c r="F257" i="17" l="1"/>
  <c r="F318" i="17"/>
</calcChain>
</file>

<file path=xl/sharedStrings.xml><?xml version="1.0" encoding="utf-8"?>
<sst xmlns="http://schemas.openxmlformats.org/spreadsheetml/2006/main" count="2333" uniqueCount="1007">
  <si>
    <t>WINDHAM COMMUNITY MEMORIAL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</si>
  <si>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</si>
  <si>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</si>
  <si>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</si>
  <si>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</si>
  <si>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</si>
  <si>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</si>
  <si>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</si>
  <si>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</si>
  <si>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</si>
  <si>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</si>
  <si>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</si>
  <si>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</si>
  <si>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</si>
  <si>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</si>
  <si>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</si>
  <si>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</si>
  <si>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</si>
  <si>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</si>
  <si>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</si>
  <si>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</si>
  <si>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</si>
  <si>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</si>
  <si>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</si>
  <si>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</si>
  <si>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</si>
  <si>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</si>
  <si>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</si>
  <si>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</si>
  <si>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</si>
  <si>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</si>
  <si>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</si>
  <si>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</si>
  <si>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</si>
  <si>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</si>
  <si>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</si>
  <si>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</si>
  <si>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</si>
  <si>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</si>
  <si>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</si>
  <si>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</si>
  <si>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</si>
  <si>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</si>
  <si>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</si>
  <si>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</si>
  <si>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</si>
  <si>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</si>
  <si>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</si>
  <si>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</si>
  <si>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</si>
  <si>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</si>
  <si>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</si>
  <si>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</si>
  <si>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</si>
  <si>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</si>
  <si>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</si>
  <si>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</si>
  <si>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</si>
  <si>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</si>
  <si>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</si>
  <si>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</si>
  <si>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</si>
  <si>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</si>
  <si>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</si>
  <si>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</si>
  <si>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</si>
  <si>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</si>
  <si>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</si>
  <si>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</si>
  <si>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</si>
  <si>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</si>
  <si>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</si>
  <si>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</si>
  <si>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</si>
  <si>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</si>
  <si>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</si>
  <si>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</si>
  <si>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</si>
  <si>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</si>
  <si>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</si>
  <si>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</si>
  <si>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</si>
  <si>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</si>
  <si>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</si>
  <si>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</si>
  <si>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</si>
  <si>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</si>
  <si>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</si>
  <si>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</si>
  <si>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</si>
  <si>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</si>
  <si>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</si>
  <si>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</si>
  <si>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</si>
  <si>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</si>
  <si>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</si>
  <si>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</si>
  <si>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</si>
  <si>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</si>
  <si>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</si>
  <si>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</si>
  <si>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</si>
  <si>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</si>
  <si>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</si>
  <si>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</si>
  <si>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</si>
  <si>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</si>
  <si>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</si>
  <si>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</si>
  <si>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</si>
  <si>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</si>
  <si>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</si>
  <si>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</si>
  <si>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</si>
  <si>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</si>
  <si>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</si>
  <si>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</si>
  <si>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</si>
  <si>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</si>
  <si>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</si>
  <si>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</si>
  <si>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</si>
  <si>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</si>
  <si>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</si>
  <si>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</si>
  <si>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</si>
  <si>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</si>
  <si>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</si>
  <si>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</si>
  <si>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</si>
  <si>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</si>
  <si>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</si>
  <si>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</si>
  <si>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</si>
  <si>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</si>
  <si>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</si>
  <si>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</si>
  <si>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</si>
  <si>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</si>
  <si>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</si>
  <si>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</si>
  <si>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</si>
  <si>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</si>
  <si>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</si>
  <si>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</si>
  <si>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</si>
  <si>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</si>
  <si>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</si>
  <si>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</si>
  <si>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</si>
  <si>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</si>
  <si>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</si>
  <si>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</si>
  <si>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</si>
  <si>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</si>
  <si>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</si>
  <si>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</si>
  <si>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</si>
  <si>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</si>
  <si>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</si>
  <si>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</si>
  <si>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</si>
  <si>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</si>
  <si>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</si>
  <si>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</si>
  <si>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</si>
  <si>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</si>
  <si>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</si>
  <si>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</si>
  <si>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</si>
  <si>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</si>
  <si>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</si>
  <si>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</si>
  <si>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</si>
  <si>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</si>
  <si>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</si>
  <si>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</si>
  <si>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</si>
  <si>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</si>
  <si>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</si>
  <si>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</si>
  <si>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</si>
  <si>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</si>
  <si>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</si>
  <si>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</si>
  <si>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</si>
  <si>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</si>
  <si>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</si>
  <si>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</si>
  <si>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</si>
  <si>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</si>
  <si>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</si>
  <si>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</si>
  <si>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</si>
  <si>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</si>
  <si>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</si>
  <si>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</si>
  <si>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</si>
  <si>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</si>
  <si>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</si>
  <si>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</si>
  <si>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</si>
  <si>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</si>
  <si>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</si>
  <si>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</si>
  <si>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</si>
  <si>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</si>
  <si>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</si>
  <si>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</si>
  <si>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</si>
  <si>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</si>
  <si>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</si>
  <si>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</si>
  <si>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</si>
  <si>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</si>
  <si>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</si>
  <si>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</si>
  <si>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</si>
  <si>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</si>
  <si>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</si>
  <si>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</si>
  <si>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</si>
  <si>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</si>
  <si>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</si>
  <si>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</si>
  <si>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</si>
  <si>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</si>
  <si>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</si>
  <si>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</si>
  <si>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</si>
  <si>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</si>
  <si>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</si>
  <si>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</si>
  <si>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</si>
  <si>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</si>
  <si>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</si>
  <si>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</si>
  <si>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</si>
  <si>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</si>
  <si>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</si>
  <si>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</si>
  <si>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</si>
  <si>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</si>
  <si>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</si>
  <si>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</si>
  <si>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</si>
  <si>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</si>
  <si>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</si>
  <si>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</si>
  <si>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</si>
  <si>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</si>
  <si>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</si>
  <si>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</si>
  <si>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</si>
  <si>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</si>
  <si>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</si>
  <si>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</si>
  <si>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</si>
  <si>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</si>
  <si>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</si>
  <si>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</si>
  <si>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</si>
  <si>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</si>
  <si>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</si>
  <si>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</si>
  <si>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</si>
  <si>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</si>
  <si>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</si>
  <si>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</si>
  <si>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</si>
  <si>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</si>
  <si>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</si>
  <si>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</si>
  <si>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</si>
  <si>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</si>
  <si>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</si>
  <si>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</si>
  <si>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</si>
  <si>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</si>
  <si>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</si>
  <si>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</si>
  <si>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</si>
  <si>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</si>
  <si>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</si>
  <si>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</si>
  <si>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</si>
  <si>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</si>
  <si>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</si>
  <si>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</si>
  <si>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</si>
  <si>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</si>
  <si>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</si>
  <si>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</si>
  <si>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</si>
  <si>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</si>
  <si>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</si>
  <si>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</si>
  <si>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</si>
  <si>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</si>
  <si>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</si>
  <si>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</si>
  <si>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</si>
  <si>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</si>
  <si>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</si>
  <si>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</si>
  <si>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</si>
  <si>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</si>
  <si>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</si>
  <si>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</si>
  <si>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</si>
  <si>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</si>
  <si>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</si>
  <si>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</si>
  <si>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</si>
  <si>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</si>
  <si>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</si>
  <si>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</si>
  <si>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</si>
  <si>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</si>
  <si>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</si>
  <si>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</si>
  <si>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</si>
  <si>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</si>
  <si>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</si>
  <si>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</si>
  <si>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</si>
  <si>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</si>
  <si>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</si>
  <si>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</si>
  <si>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</si>
  <si>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</si>
  <si>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</si>
  <si>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</si>
  <si>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</si>
  <si>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</si>
  <si>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</si>
  <si>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</si>
  <si>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</si>
  <si>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</si>
  <si>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</si>
  <si>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</si>
  <si>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</si>
  <si>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</si>
  <si>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</si>
  <si>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</si>
  <si>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</si>
  <si>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</si>
  <si>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</si>
  <si>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</si>
  <si>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</si>
  <si>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</si>
  <si>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</si>
  <si>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</si>
  <si>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</si>
  <si>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</si>
  <si>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</si>
  <si>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</si>
  <si>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</si>
  <si>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</si>
  <si>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</si>
  <si>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</si>
  <si>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</si>
  <si>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</si>
  <si>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</si>
  <si>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</si>
  <si>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</si>
  <si>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</si>
  <si>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</si>
  <si>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</si>
  <si>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</si>
  <si>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</si>
  <si>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</si>
  <si>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</si>
  <si>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</si>
  <si>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</si>
  <si>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</si>
  <si>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</si>
  <si>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</si>
  <si>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</si>
  <si>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</si>
  <si>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</si>
  <si>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</si>
  <si>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</si>
  <si>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</si>
  <si>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</si>
  <si>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</si>
  <si>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</si>
  <si>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</si>
  <si>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</si>
  <si>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</si>
  <si>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</si>
  <si>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</si>
  <si>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</si>
  <si>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</si>
  <si>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</si>
  <si>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</si>
  <si>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</si>
  <si>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</si>
  <si>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</si>
  <si>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</si>
  <si>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</si>
  <si>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</si>
  <si>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</si>
  <si>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</si>
  <si>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</si>
  <si>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</si>
  <si>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</si>
  <si>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</si>
  <si>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</si>
  <si>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</si>
  <si>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</si>
  <si>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</si>
  <si>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</si>
  <si>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</si>
  <si>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</si>
  <si>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</si>
  <si>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</si>
  <si>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</si>
  <si>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</si>
  <si>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</si>
  <si>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</si>
  <si>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</si>
  <si>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</si>
  <si>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</si>
  <si>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</si>
  <si>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</si>
  <si>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</si>
  <si>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</si>
  <si>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</si>
  <si>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</si>
  <si>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</si>
  <si>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</si>
  <si>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</si>
  <si>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</si>
  <si>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</si>
  <si>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</si>
  <si>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</si>
  <si>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</si>
  <si>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</si>
  <si>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</si>
  <si>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</si>
  <si>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</si>
  <si>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</si>
  <si>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</si>
  <si>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</si>
  <si>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</si>
  <si>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</si>
  <si>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</si>
  <si>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</si>
  <si>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</si>
  <si>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</si>
  <si>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</si>
  <si>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</si>
  <si>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</si>
  <si>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</si>
  <si>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</si>
  <si>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</si>
  <si>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</si>
  <si>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</si>
  <si>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</si>
  <si>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</si>
  <si>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</si>
  <si>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</si>
  <si>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</si>
  <si>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</si>
  <si>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</si>
  <si>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</si>
  <si>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</si>
  <si>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</si>
  <si>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</si>
  <si>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</si>
  <si>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</si>
  <si>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</si>
  <si>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</si>
  <si>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</si>
  <si>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</si>
  <si>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</si>
  <si>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</si>
  <si>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</si>
  <si>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</si>
  <si>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</si>
  <si>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</si>
  <si>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</si>
  <si>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</si>
  <si>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</si>
  <si>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</si>
  <si>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</si>
  <si>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</si>
  <si>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</si>
  <si>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</si>
  <si>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</si>
  <si>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</si>
  <si>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</si>
  <si>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</si>
  <si>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</si>
  <si>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</si>
  <si>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</si>
  <si>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</si>
  <si>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</si>
  <si>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</si>
  <si>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</si>
  <si>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</si>
  <si>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</si>
  <si>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</si>
  <si>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</si>
  <si>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</si>
  <si>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</si>
  <si>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</si>
  <si>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</si>
  <si>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</si>
  <si>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</si>
  <si>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</si>
  <si>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</si>
  <si>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</si>
  <si>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</si>
  <si>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</si>
  <si>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</si>
  <si>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</si>
  <si>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</si>
  <si>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</si>
  <si>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</si>
  <si>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</si>
  <si>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</si>
  <si>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</si>
  <si>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</si>
  <si>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</si>
  <si>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</si>
  <si>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</si>
  <si>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</si>
  <si>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</si>
  <si>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</si>
  <si>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</si>
  <si>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</si>
  <si>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</si>
  <si>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</si>
  <si>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</si>
  <si>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</si>
  <si>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</si>
  <si>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</si>
  <si>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</si>
  <si>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</si>
  <si>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</si>
  <si>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</si>
  <si>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</si>
  <si>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</si>
  <si>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</si>
  <si>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</si>
  <si>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</si>
  <si>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</si>
  <si>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</si>
  <si>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</si>
  <si>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</si>
  <si>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</si>
  <si>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</si>
  <si>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</si>
  <si>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</si>
  <si>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</si>
  <si>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</si>
  <si>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</si>
  <si>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</si>
  <si>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</si>
  <si>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</si>
  <si>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</si>
  <si>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</si>
  <si>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</si>
  <si>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</si>
  <si>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</si>
  <si>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</si>
  <si>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</si>
  <si>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</si>
  <si>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</si>
  <si>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</si>
  <si>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</si>
  <si>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</si>
  <si>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</si>
  <si>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</si>
  <si>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</si>
  <si>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</si>
  <si>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</si>
  <si>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</si>
  <si>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</si>
  <si>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</si>
  <si>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</si>
  <si>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</si>
  <si>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</si>
  <si>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</si>
  <si>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</si>
  <si>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</si>
  <si>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</si>
  <si>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</si>
  <si>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</si>
  <si>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</si>
  <si>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</si>
  <si>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</si>
  <si>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</si>
  <si>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</si>
  <si>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</si>
  <si>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</si>
  <si>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</si>
  <si>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</si>
  <si>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</si>
  <si>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</si>
  <si>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</si>
  <si>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</si>
  <si>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</si>
  <si>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</si>
  <si>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</si>
  <si>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</si>
  <si>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</si>
  <si>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</si>
  <si>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</si>
  <si>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</si>
  <si>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</si>
  <si>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</si>
  <si>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</si>
  <si>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</si>
  <si>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</si>
  <si>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</si>
  <si>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</si>
  <si>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</si>
  <si>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Windham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</si>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</sst>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4122969</v>
      </c>
      <c r="D13" s="22">
        <v>7575725</v>
      </c>
      <c r="E13" s="22">
        <f t="shared" ref="E13:E22" si="0">D13-C13</f>
        <v>3452756</v>
      </c>
      <c r="F13" s="23">
        <f t="shared" ref="F13:F22" si="1">IF(C13=0,0,E13/C13)</f>
        <v>0.83744408459049779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20670040</v>
      </c>
      <c r="D15" s="22">
        <v>11889554</v>
      </c>
      <c r="E15" s="22">
        <f t="shared" si="0"/>
        <v>-8780486</v>
      </c>
      <c r="F15" s="23">
        <f t="shared" si="1"/>
        <v>-0.42479288864462766</v>
      </c>
    </row>
    <row r="16" spans="1:8" ht="24" customHeight="1" x14ac:dyDescent="0.2">
      <c r="A16" s="20">
        <v>4</v>
      </c>
      <c r="B16" s="21" t="s">
        <v>19</v>
      </c>
      <c r="C16" s="22">
        <v>654986</v>
      </c>
      <c r="D16" s="22">
        <v>560838</v>
      </c>
      <c r="E16" s="22">
        <f t="shared" si="0"/>
        <v>-94148</v>
      </c>
      <c r="F16" s="23">
        <f t="shared" si="1"/>
        <v>-0.14374047689568936</v>
      </c>
    </row>
    <row r="17" spans="1:11" ht="24" customHeight="1" x14ac:dyDescent="0.2">
      <c r="A17" s="20">
        <v>5</v>
      </c>
      <c r="B17" s="21" t="s">
        <v>20</v>
      </c>
      <c r="C17" s="22">
        <v>3066</v>
      </c>
      <c r="D17" s="22">
        <v>1047418</v>
      </c>
      <c r="E17" s="22">
        <f t="shared" si="0"/>
        <v>1044352</v>
      </c>
      <c r="F17" s="23">
        <f t="shared" si="1"/>
        <v>340.6236138290933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1105978</v>
      </c>
      <c r="D19" s="22">
        <v>1150602</v>
      </c>
      <c r="E19" s="22">
        <f t="shared" si="0"/>
        <v>44624</v>
      </c>
      <c r="F19" s="23">
        <f t="shared" si="1"/>
        <v>4.034799968896307E-2</v>
      </c>
    </row>
    <row r="20" spans="1:11" ht="24" customHeight="1" x14ac:dyDescent="0.2">
      <c r="A20" s="20">
        <v>8</v>
      </c>
      <c r="B20" s="21" t="s">
        <v>23</v>
      </c>
      <c r="C20" s="22">
        <v>147588</v>
      </c>
      <c r="D20" s="22">
        <v>315818</v>
      </c>
      <c r="E20" s="22">
        <f t="shared" si="0"/>
        <v>168230</v>
      </c>
      <c r="F20" s="23">
        <f t="shared" si="1"/>
        <v>1.1398623194297639</v>
      </c>
    </row>
    <row r="21" spans="1:11" ht="24" customHeight="1" x14ac:dyDescent="0.2">
      <c r="A21" s="20">
        <v>9</v>
      </c>
      <c r="B21" s="21" t="s">
        <v>24</v>
      </c>
      <c r="C21" s="22">
        <v>4396337</v>
      </c>
      <c r="D21" s="22">
        <v>4188643</v>
      </c>
      <c r="E21" s="22">
        <f t="shared" si="0"/>
        <v>-207694</v>
      </c>
      <c r="F21" s="23">
        <f t="shared" si="1"/>
        <v>-4.7242511208763112E-2</v>
      </c>
    </row>
    <row r="22" spans="1:11" ht="24" customHeight="1" x14ac:dyDescent="0.25">
      <c r="A22" s="24"/>
      <c r="B22" s="25" t="s">
        <v>25</v>
      </c>
      <c r="C22" s="26">
        <f>SUM(C13:C21)</f>
        <v>31100964</v>
      </c>
      <c r="D22" s="26">
        <f>SUM(D13:D21)</f>
        <v>26728598</v>
      </c>
      <c r="E22" s="26">
        <f t="shared" si="0"/>
        <v>-4372366</v>
      </c>
      <c r="F22" s="27">
        <f t="shared" si="1"/>
        <v>-0.14058618890398381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2831893</v>
      </c>
      <c r="D25" s="22">
        <v>3030775</v>
      </c>
      <c r="E25" s="22">
        <f>D25-C25</f>
        <v>198882</v>
      </c>
      <c r="F25" s="23">
        <f>IF(C25=0,0,E25/C25)</f>
        <v>7.02293483546165E-2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1439934</v>
      </c>
      <c r="D27" s="22">
        <v>1439934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1597574</v>
      </c>
      <c r="D28" s="22">
        <v>1989169</v>
      </c>
      <c r="E28" s="22">
        <f>D28-C28</f>
        <v>391595</v>
      </c>
      <c r="F28" s="23">
        <f>IF(C28=0,0,E28/C28)</f>
        <v>0.24511853598017994</v>
      </c>
    </row>
    <row r="29" spans="1:11" ht="24" customHeight="1" x14ac:dyDescent="0.25">
      <c r="A29" s="24"/>
      <c r="B29" s="25" t="s">
        <v>32</v>
      </c>
      <c r="C29" s="26">
        <f>SUM(C25:C28)</f>
        <v>5869401</v>
      </c>
      <c r="D29" s="26">
        <f>SUM(D25:D28)</f>
        <v>6459878</v>
      </c>
      <c r="E29" s="26">
        <f>D29-C29</f>
        <v>590477</v>
      </c>
      <c r="F29" s="27">
        <f>IF(C29=0,0,E29/C29)</f>
        <v>0.10060259982236688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406468</v>
      </c>
      <c r="D32" s="22">
        <v>378132</v>
      </c>
      <c r="E32" s="22">
        <f>D32-C32</f>
        <v>-28336</v>
      </c>
      <c r="F32" s="23">
        <f>IF(C32=0,0,E32/C32)</f>
        <v>-6.9712744914728841E-2</v>
      </c>
    </row>
    <row r="33" spans="1:8" ht="24" customHeight="1" x14ac:dyDescent="0.2">
      <c r="A33" s="20">
        <v>7</v>
      </c>
      <c r="B33" s="21" t="s">
        <v>35</v>
      </c>
      <c r="C33" s="22">
        <v>3123242</v>
      </c>
      <c r="D33" s="22">
        <v>2434811</v>
      </c>
      <c r="E33" s="22">
        <f>D33-C33</f>
        <v>-688431</v>
      </c>
      <c r="F33" s="23">
        <f>IF(C33=0,0,E33/C33)</f>
        <v>-0.22042192055562779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104401288</v>
      </c>
      <c r="D36" s="22">
        <v>117975072</v>
      </c>
      <c r="E36" s="22">
        <f>D36-C36</f>
        <v>13573784</v>
      </c>
      <c r="F36" s="23">
        <f>IF(C36=0,0,E36/C36)</f>
        <v>0.13001548410015784</v>
      </c>
    </row>
    <row r="37" spans="1:8" ht="24" customHeight="1" x14ac:dyDescent="0.2">
      <c r="A37" s="20">
        <v>2</v>
      </c>
      <c r="B37" s="21" t="s">
        <v>39</v>
      </c>
      <c r="C37" s="22">
        <v>70034957</v>
      </c>
      <c r="D37" s="22">
        <v>74173393</v>
      </c>
      <c r="E37" s="22">
        <f>D37-C37</f>
        <v>4138436</v>
      </c>
      <c r="F37" s="23">
        <f>IF(C37=0,0,E37/C37)</f>
        <v>5.9091005081933587E-2</v>
      </c>
    </row>
    <row r="38" spans="1:8" ht="24" customHeight="1" x14ac:dyDescent="0.25">
      <c r="A38" s="24"/>
      <c r="B38" s="25" t="s">
        <v>40</v>
      </c>
      <c r="C38" s="26">
        <f>C36-C37</f>
        <v>34366331</v>
      </c>
      <c r="D38" s="26">
        <f>D36-D37</f>
        <v>43801679</v>
      </c>
      <c r="E38" s="26">
        <f>D38-C38</f>
        <v>9435348</v>
      </c>
      <c r="F38" s="27">
        <f>IF(C38=0,0,E38/C38)</f>
        <v>0.27455208995106284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5279793</v>
      </c>
      <c r="D40" s="22">
        <v>346011</v>
      </c>
      <c r="E40" s="22">
        <f>D40-C40</f>
        <v>-4933782</v>
      </c>
      <c r="F40" s="23">
        <f>IF(C40=0,0,E40/C40)</f>
        <v>-0.93446504436821676</v>
      </c>
    </row>
    <row r="41" spans="1:8" ht="24" customHeight="1" x14ac:dyDescent="0.25">
      <c r="A41" s="24"/>
      <c r="B41" s="25" t="s">
        <v>42</v>
      </c>
      <c r="C41" s="26">
        <f>+C38+C40</f>
        <v>39646124</v>
      </c>
      <c r="D41" s="26">
        <f>+D38+D40</f>
        <v>44147690</v>
      </c>
      <c r="E41" s="26">
        <f>D41-C41</f>
        <v>4501566</v>
      </c>
      <c r="F41" s="27">
        <f>IF(C41=0,0,E41/C41)</f>
        <v>0.11354365940034895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80146199</v>
      </c>
      <c r="D43" s="26">
        <f>D22+D29+D31+D32+D33+D41</f>
        <v>80149109</v>
      </c>
      <c r="E43" s="26">
        <f>D43-C43</f>
        <v>2910</v>
      </c>
      <c r="F43" s="27">
        <f>IF(C43=0,0,E43/C43)</f>
        <v>3.6308646402557408E-5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8391797</v>
      </c>
      <c r="D49" s="22">
        <v>4524108</v>
      </c>
      <c r="E49" s="22">
        <f t="shared" ref="E49:E56" si="2">D49-C49</f>
        <v>-3867689</v>
      </c>
      <c r="F49" s="23">
        <f t="shared" ref="F49:F56" si="3">IF(C49=0,0,E49/C49)</f>
        <v>-0.46088924696343347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1813588</v>
      </c>
      <c r="D50" s="22">
        <v>2012866</v>
      </c>
      <c r="E50" s="22">
        <f t="shared" si="2"/>
        <v>199278</v>
      </c>
      <c r="F50" s="23">
        <f t="shared" si="3"/>
        <v>0.1098805241322726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1499004</v>
      </c>
      <c r="D51" s="22">
        <v>1340072</v>
      </c>
      <c r="E51" s="22">
        <f t="shared" si="2"/>
        <v>-158932</v>
      </c>
      <c r="F51" s="23">
        <f t="shared" si="3"/>
        <v>-0.10602506731136141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2845310</v>
      </c>
      <c r="D52" s="22">
        <v>1134172</v>
      </c>
      <c r="E52" s="22">
        <f t="shared" si="2"/>
        <v>-1711138</v>
      </c>
      <c r="F52" s="23">
        <f t="shared" si="3"/>
        <v>-0.60138895234614154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11163890</v>
      </c>
      <c r="D53" s="22">
        <v>15681512</v>
      </c>
      <c r="E53" s="22">
        <f t="shared" si="2"/>
        <v>4517622</v>
      </c>
      <c r="F53" s="23">
        <f t="shared" si="3"/>
        <v>0.40466378654752061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173906</v>
      </c>
      <c r="D54" s="22">
        <v>59406</v>
      </c>
      <c r="E54" s="22">
        <f t="shared" si="2"/>
        <v>-114500</v>
      </c>
      <c r="F54" s="23">
        <f t="shared" si="3"/>
        <v>-0.65840166526744337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5125668</v>
      </c>
      <c r="D55" s="22">
        <v>5090126</v>
      </c>
      <c r="E55" s="22">
        <f t="shared" si="2"/>
        <v>-35542</v>
      </c>
      <c r="F55" s="23">
        <f t="shared" si="3"/>
        <v>-6.934120586819123E-3</v>
      </c>
    </row>
    <row r="56" spans="1:6" ht="24" customHeight="1" x14ac:dyDescent="0.25">
      <c r="A56" s="24"/>
      <c r="B56" s="25" t="s">
        <v>54</v>
      </c>
      <c r="C56" s="26">
        <f>SUM(C49:C55)</f>
        <v>31013163</v>
      </c>
      <c r="D56" s="26">
        <f>SUM(D49:D55)</f>
        <v>29842262</v>
      </c>
      <c r="E56" s="26">
        <f t="shared" si="2"/>
        <v>-1170901</v>
      </c>
      <c r="F56" s="27">
        <f t="shared" si="3"/>
        <v>-3.7754968753106542E-2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19433376</v>
      </c>
      <c r="D59" s="22">
        <v>19355130</v>
      </c>
      <c r="E59" s="22">
        <f>D59-C59</f>
        <v>-78246</v>
      </c>
      <c r="F59" s="23">
        <f>IF(C59=0,0,E59/C59)</f>
        <v>-4.0263719489603868E-3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19433376</v>
      </c>
      <c r="D61" s="26">
        <f>SUM(D59:D60)</f>
        <v>19355130</v>
      </c>
      <c r="E61" s="26">
        <f>D61-C61</f>
        <v>-78246</v>
      </c>
      <c r="F61" s="27">
        <f>IF(C61=0,0,E61/C61)</f>
        <v>-4.0263719489603868E-3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64662899</v>
      </c>
      <c r="D63" s="22">
        <v>26560346</v>
      </c>
      <c r="E63" s="22">
        <f>D63-C63</f>
        <v>-38102553</v>
      </c>
      <c r="F63" s="23">
        <f>IF(C63=0,0,E63/C63)</f>
        <v>-0.58924906846505598</v>
      </c>
    </row>
    <row r="64" spans="1:6" ht="24" customHeight="1" x14ac:dyDescent="0.2">
      <c r="A64" s="20">
        <v>4</v>
      </c>
      <c r="B64" s="21" t="s">
        <v>60</v>
      </c>
      <c r="C64" s="22">
        <v>7559708</v>
      </c>
      <c r="D64" s="22">
        <v>11840828</v>
      </c>
      <c r="E64" s="22">
        <f>D64-C64</f>
        <v>4281120</v>
      </c>
      <c r="F64" s="23">
        <f>IF(C64=0,0,E64/C64)</f>
        <v>0.56630758754174104</v>
      </c>
    </row>
    <row r="65" spans="1:6" ht="24" customHeight="1" x14ac:dyDescent="0.25">
      <c r="A65" s="24"/>
      <c r="B65" s="25" t="s">
        <v>61</v>
      </c>
      <c r="C65" s="26">
        <f>SUM(C61:C64)</f>
        <v>91655983</v>
      </c>
      <c r="D65" s="26">
        <f>SUM(D61:D64)</f>
        <v>57756304</v>
      </c>
      <c r="E65" s="26">
        <f>D65-C65</f>
        <v>-33899679</v>
      </c>
      <c r="F65" s="27">
        <f>IF(C65=0,0,E65/C65)</f>
        <v>-0.36985778658879259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-47943489</v>
      </c>
      <c r="D70" s="22">
        <v>-13430049</v>
      </c>
      <c r="E70" s="22">
        <f>D70-C70</f>
        <v>34513440</v>
      </c>
      <c r="F70" s="23">
        <f>IF(C70=0,0,E70/C70)</f>
        <v>-0.71987752080371126</v>
      </c>
    </row>
    <row r="71" spans="1:6" ht="24" customHeight="1" x14ac:dyDescent="0.2">
      <c r="A71" s="20">
        <v>2</v>
      </c>
      <c r="B71" s="21" t="s">
        <v>65</v>
      </c>
      <c r="C71" s="22">
        <v>1453029</v>
      </c>
      <c r="D71" s="22">
        <v>1786651</v>
      </c>
      <c r="E71" s="22">
        <f>D71-C71</f>
        <v>333622</v>
      </c>
      <c r="F71" s="23">
        <f>IF(C71=0,0,E71/C71)</f>
        <v>0.2296045020436619</v>
      </c>
    </row>
    <row r="72" spans="1:6" ht="24" customHeight="1" x14ac:dyDescent="0.2">
      <c r="A72" s="20">
        <v>3</v>
      </c>
      <c r="B72" s="21" t="s">
        <v>66</v>
      </c>
      <c r="C72" s="22">
        <v>3967513</v>
      </c>
      <c r="D72" s="22">
        <v>4193941</v>
      </c>
      <c r="E72" s="22">
        <f>D72-C72</f>
        <v>226428</v>
      </c>
      <c r="F72" s="23">
        <f>IF(C72=0,0,E72/C72)</f>
        <v>5.7070512434363792E-2</v>
      </c>
    </row>
    <row r="73" spans="1:6" ht="24" customHeight="1" x14ac:dyDescent="0.25">
      <c r="A73" s="20"/>
      <c r="B73" s="25" t="s">
        <v>67</v>
      </c>
      <c r="C73" s="26">
        <f>SUM(C70:C72)</f>
        <v>-42522947</v>
      </c>
      <c r="D73" s="26">
        <f>SUM(D70:D72)</f>
        <v>-7449457</v>
      </c>
      <c r="E73" s="26">
        <f>D73-C73</f>
        <v>35073490</v>
      </c>
      <c r="F73" s="27">
        <f>IF(C73=0,0,E73/C73)</f>
        <v>-0.82481324730386163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80146199</v>
      </c>
      <c r="D75" s="26">
        <f>D56+D65+D67+D73</f>
        <v>80149109</v>
      </c>
      <c r="E75" s="26">
        <f>D75-C75</f>
        <v>2910</v>
      </c>
      <c r="F75" s="27">
        <f>IF(C75=0,0,E75/C75)</f>
        <v>3.6308646402557408E-5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503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504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505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506</v>
      </c>
      <c r="C11" s="76">
        <v>85855448</v>
      </c>
      <c r="D11" s="76">
        <v>90160381</v>
      </c>
      <c r="E11" s="76">
        <v>76714489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3044239</v>
      </c>
      <c r="D12" s="185">
        <v>5761698</v>
      </c>
      <c r="E12" s="185">
        <v>5866110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88899687</v>
      </c>
      <c r="D13" s="76">
        <f>+D11+D12</f>
        <v>95922079</v>
      </c>
      <c r="E13" s="76">
        <f>+E11+E12</f>
        <v>82580599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92639489</v>
      </c>
      <c r="D14" s="185">
        <v>96450117</v>
      </c>
      <c r="E14" s="185">
        <v>91367918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-3739802</v>
      </c>
      <c r="D15" s="76">
        <f>+D13-D14</f>
        <v>-528038</v>
      </c>
      <c r="E15" s="76">
        <f>+E13-E14</f>
        <v>-8787319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-323008</v>
      </c>
      <c r="D16" s="185">
        <v>-185298</v>
      </c>
      <c r="E16" s="185">
        <v>1568775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-4062810</v>
      </c>
      <c r="D17" s="76">
        <f>D15+D16</f>
        <v>-713336</v>
      </c>
      <c r="E17" s="76">
        <f>E15+E16</f>
        <v>-7218544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507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508</v>
      </c>
      <c r="C20" s="189">
        <f>IF(+C27=0,0,+C24/+C27)</f>
        <v>-4.2221068143681477E-2</v>
      </c>
      <c r="D20" s="189">
        <f>IF(+D27=0,0,+D24/+D27)</f>
        <v>-5.5155186385470803E-3</v>
      </c>
      <c r="E20" s="189">
        <f>IF(+E27=0,0,+E24/+E27)</f>
        <v>-0.10442524504103858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509</v>
      </c>
      <c r="C21" s="189">
        <f>IF(+C27=0,0,+C26/+C27)</f>
        <v>-3.6466483463440755E-3</v>
      </c>
      <c r="D21" s="189">
        <f>IF(+D27=0,0,+D26/+D27)</f>
        <v>-1.9354943634463748E-3</v>
      </c>
      <c r="E21" s="189">
        <f>IF(+E27=0,0,+E26/+E27)</f>
        <v>1.8642741180700882E-2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510</v>
      </c>
      <c r="C22" s="189">
        <f>IF(+C27=0,0,+C28/+C27)</f>
        <v>-4.5867716490025551E-2</v>
      </c>
      <c r="D22" s="189">
        <f>IF(+D27=0,0,+D28/+D27)</f>
        <v>-7.4510130019934551E-3</v>
      </c>
      <c r="E22" s="189">
        <f>IF(+E27=0,0,+E28/+E27)</f>
        <v>-8.5782503860337686E-2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-3739802</v>
      </c>
      <c r="D24" s="76">
        <f>+D15</f>
        <v>-528038</v>
      </c>
      <c r="E24" s="76">
        <f>+E15</f>
        <v>-8787319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88899687</v>
      </c>
      <c r="D25" s="76">
        <f>+D13</f>
        <v>95922079</v>
      </c>
      <c r="E25" s="76">
        <f>+E13</f>
        <v>82580599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-323008</v>
      </c>
      <c r="D26" s="76">
        <f>+D16</f>
        <v>-185298</v>
      </c>
      <c r="E26" s="76">
        <f>+E16</f>
        <v>1568775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88576679</v>
      </c>
      <c r="D27" s="76">
        <f>SUM(D25:D26)</f>
        <v>95736781</v>
      </c>
      <c r="E27" s="76">
        <f>SUM(E25:E26)</f>
        <v>84149374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-4062810</v>
      </c>
      <c r="D28" s="76">
        <f>+D17</f>
        <v>-713336</v>
      </c>
      <c r="E28" s="76">
        <f>+E17</f>
        <v>-7218544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511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512</v>
      </c>
      <c r="C31" s="76">
        <v>-35978450</v>
      </c>
      <c r="D31" s="76">
        <v>-47943489</v>
      </c>
      <c r="E31" s="76">
        <v>-13430049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513</v>
      </c>
      <c r="C32" s="76">
        <v>-31049573</v>
      </c>
      <c r="D32" s="76">
        <v>-42522947</v>
      </c>
      <c r="E32" s="76">
        <v>-7449457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514</v>
      </c>
      <c r="C33" s="76">
        <v>-11113850</v>
      </c>
      <c r="D33" s="76">
        <f>+D32-C32</f>
        <v>-11473374</v>
      </c>
      <c r="E33" s="76">
        <f>+E32-D32</f>
        <v>35073490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515</v>
      </c>
      <c r="C34" s="193">
        <v>1.5573999999999999</v>
      </c>
      <c r="D34" s="193">
        <f>IF(C32=0,0,+D33/C32)</f>
        <v>0.36951793185690507</v>
      </c>
      <c r="E34" s="193">
        <f>IF(D32=0,0,+E33/D32)</f>
        <v>-0.82481324730386163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1.3104443026371659</v>
      </c>
      <c r="D38" s="338">
        <f>IF(+D40=0,0,+D39/+D40)</f>
        <v>0.93823523883487203</v>
      </c>
      <c r="E38" s="338">
        <f>IF(+E40=0,0,+E39/+E40)</f>
        <v>0.8956626009114188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21775957</v>
      </c>
      <c r="D39" s="341">
        <v>31097898</v>
      </c>
      <c r="E39" s="341">
        <v>26728598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16617232</v>
      </c>
      <c r="D40" s="341">
        <v>33145097</v>
      </c>
      <c r="E40" s="341">
        <v>29842262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10.369408510868759</v>
      </c>
      <c r="D42" s="343">
        <f>IF((D48/365)=0,0,+D45/(D48/365))</f>
        <v>16.303733241121105</v>
      </c>
      <c r="E42" s="343">
        <f>IF((E48/365)=0,0,+E45/(E48/365))</f>
        <v>31.705601319455138</v>
      </c>
    </row>
    <row r="43" spans="1:14" ht="24" customHeight="1" x14ac:dyDescent="0.2">
      <c r="A43" s="339">
        <v>5</v>
      </c>
      <c r="B43" s="344" t="s">
        <v>16</v>
      </c>
      <c r="C43" s="345">
        <v>2502682</v>
      </c>
      <c r="D43" s="345">
        <v>4122969</v>
      </c>
      <c r="E43" s="345">
        <v>7575725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2502682</v>
      </c>
      <c r="D45" s="341">
        <f>+D43+D44</f>
        <v>4122969</v>
      </c>
      <c r="E45" s="341">
        <f>+E43+E44</f>
        <v>7575725</v>
      </c>
    </row>
    <row r="46" spans="1:14" ht="24" customHeight="1" x14ac:dyDescent="0.2">
      <c r="A46" s="339">
        <v>8</v>
      </c>
      <c r="B46" s="340" t="s">
        <v>334</v>
      </c>
      <c r="C46" s="341">
        <f>+C14</f>
        <v>92639489</v>
      </c>
      <c r="D46" s="341">
        <f>+D14</f>
        <v>96450117</v>
      </c>
      <c r="E46" s="341">
        <f>+E14</f>
        <v>91367918</v>
      </c>
    </row>
    <row r="47" spans="1:14" ht="24" customHeight="1" x14ac:dyDescent="0.2">
      <c r="A47" s="339">
        <v>9</v>
      </c>
      <c r="B47" s="340" t="s">
        <v>356</v>
      </c>
      <c r="C47" s="341">
        <v>4545850</v>
      </c>
      <c r="D47" s="341">
        <v>4147105</v>
      </c>
      <c r="E47" s="341">
        <v>4154949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88093639</v>
      </c>
      <c r="D48" s="341">
        <f>+D46-D47</f>
        <v>92303012</v>
      </c>
      <c r="E48" s="341">
        <f>+E46-E47</f>
        <v>87212969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62.963002592450515</v>
      </c>
      <c r="D50" s="350">
        <f>IF((D55/365)=0,0,+D54/(D55/365))</f>
        <v>77.610898072846425</v>
      </c>
      <c r="E50" s="350">
        <f>IF((E55/365)=0,0,+E54/(E55/365))</f>
        <v>50.193398668144681</v>
      </c>
    </row>
    <row r="51" spans="1:5" ht="24" customHeight="1" x14ac:dyDescent="0.2">
      <c r="A51" s="339">
        <v>12</v>
      </c>
      <c r="B51" s="344" t="s">
        <v>359</v>
      </c>
      <c r="C51" s="351">
        <v>14881466</v>
      </c>
      <c r="D51" s="351">
        <v>20670040</v>
      </c>
      <c r="E51" s="351">
        <v>11889554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71283</v>
      </c>
      <c r="D53" s="341">
        <v>1499004</v>
      </c>
      <c r="E53" s="341">
        <v>1340072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14810183</v>
      </c>
      <c r="D54" s="352">
        <f>+D51+D52-D53</f>
        <v>19171036</v>
      </c>
      <c r="E54" s="352">
        <f>+E51+E52-E53</f>
        <v>10549482</v>
      </c>
    </row>
    <row r="55" spans="1:5" ht="24" customHeight="1" x14ac:dyDescent="0.2">
      <c r="A55" s="339">
        <v>16</v>
      </c>
      <c r="B55" s="340" t="s">
        <v>75</v>
      </c>
      <c r="C55" s="341">
        <f>+C11</f>
        <v>85855448</v>
      </c>
      <c r="D55" s="341">
        <f>+D11</f>
        <v>90160381</v>
      </c>
      <c r="E55" s="341">
        <f>+E11</f>
        <v>76714489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68.85048397194717</v>
      </c>
      <c r="D57" s="355">
        <f>IF((D61/365)=0,0,+D58/(D61/365))</f>
        <v>131.06788329940957</v>
      </c>
      <c r="E57" s="355">
        <f>IF((E61/365)=0,0,+E58/(E61/365))</f>
        <v>124.89456275705967</v>
      </c>
    </row>
    <row r="58" spans="1:5" ht="24" customHeight="1" x14ac:dyDescent="0.2">
      <c r="A58" s="339">
        <v>18</v>
      </c>
      <c r="B58" s="340" t="s">
        <v>54</v>
      </c>
      <c r="C58" s="353">
        <f>+C40</f>
        <v>16617232</v>
      </c>
      <c r="D58" s="353">
        <f>+D40</f>
        <v>33145097</v>
      </c>
      <c r="E58" s="353">
        <f>+E40</f>
        <v>29842262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92639489</v>
      </c>
      <c r="D59" s="353">
        <f t="shared" si="0"/>
        <v>96450117</v>
      </c>
      <c r="E59" s="353">
        <f t="shared" si="0"/>
        <v>91367918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4545850</v>
      </c>
      <c r="D60" s="356">
        <f t="shared" si="0"/>
        <v>4147105</v>
      </c>
      <c r="E60" s="356">
        <f t="shared" si="0"/>
        <v>4154949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88093639</v>
      </c>
      <c r="D61" s="353">
        <f>+D59-D60</f>
        <v>92303012</v>
      </c>
      <c r="E61" s="353">
        <f>+E59-E60</f>
        <v>87212969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-46.78289848043741</v>
      </c>
      <c r="D65" s="357">
        <f>IF(D67=0,0,(D66/D67)*100)</f>
        <v>-53.058753018801994</v>
      </c>
      <c r="E65" s="357">
        <f>IF(E67=0,0,(E66/E67)*100)</f>
        <v>-9.2944975844959163</v>
      </c>
    </row>
    <row r="66" spans="1:5" ht="24" customHeight="1" x14ac:dyDescent="0.2">
      <c r="A66" s="339">
        <v>2</v>
      </c>
      <c r="B66" s="340" t="s">
        <v>67</v>
      </c>
      <c r="C66" s="353">
        <f>+C32</f>
        <v>-31049573</v>
      </c>
      <c r="D66" s="353">
        <f>+D32</f>
        <v>-42522947</v>
      </c>
      <c r="E66" s="353">
        <f>+E32</f>
        <v>-7449457</v>
      </c>
    </row>
    <row r="67" spans="1:5" ht="24" customHeight="1" x14ac:dyDescent="0.2">
      <c r="A67" s="339">
        <v>3</v>
      </c>
      <c r="B67" s="340" t="s">
        <v>43</v>
      </c>
      <c r="C67" s="353">
        <v>66369494</v>
      </c>
      <c r="D67" s="353">
        <v>80143133</v>
      </c>
      <c r="E67" s="353">
        <v>80149109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1.3415783670599406</v>
      </c>
      <c r="D69" s="357">
        <f>IF(D75=0,0,(D72/D75)*100)</f>
        <v>6.5378748154554023</v>
      </c>
      <c r="E69" s="357">
        <f>IF(E75=0,0,(E72/E75)*100)</f>
        <v>-6.2271491952256328</v>
      </c>
    </row>
    <row r="70" spans="1:5" ht="24" customHeight="1" x14ac:dyDescent="0.2">
      <c r="A70" s="339">
        <v>5</v>
      </c>
      <c r="B70" s="340" t="s">
        <v>366</v>
      </c>
      <c r="C70" s="353">
        <f>+C28</f>
        <v>-4062810</v>
      </c>
      <c r="D70" s="353">
        <f>+D28</f>
        <v>-713336</v>
      </c>
      <c r="E70" s="353">
        <f>+E28</f>
        <v>-7218544</v>
      </c>
    </row>
    <row r="71" spans="1:5" ht="24" customHeight="1" x14ac:dyDescent="0.2">
      <c r="A71" s="339">
        <v>6</v>
      </c>
      <c r="B71" s="340" t="s">
        <v>356</v>
      </c>
      <c r="C71" s="356">
        <f>+C47</f>
        <v>4545850</v>
      </c>
      <c r="D71" s="356">
        <f>+D47</f>
        <v>4147105</v>
      </c>
      <c r="E71" s="356">
        <f>+E47</f>
        <v>4154949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483040</v>
      </c>
      <c r="D72" s="353">
        <f>+D70+D71</f>
        <v>3433769</v>
      </c>
      <c r="E72" s="353">
        <f>+E70+E71</f>
        <v>-3063595</v>
      </c>
    </row>
    <row r="73" spans="1:5" ht="24" customHeight="1" x14ac:dyDescent="0.2">
      <c r="A73" s="339">
        <v>8</v>
      </c>
      <c r="B73" s="340" t="s">
        <v>54</v>
      </c>
      <c r="C73" s="341">
        <f>+C40</f>
        <v>16617232</v>
      </c>
      <c r="D73" s="341">
        <f>+D40</f>
        <v>33145097</v>
      </c>
      <c r="E73" s="341">
        <f>+E40</f>
        <v>29842262</v>
      </c>
    </row>
    <row r="74" spans="1:5" ht="24" customHeight="1" x14ac:dyDescent="0.2">
      <c r="A74" s="339">
        <v>9</v>
      </c>
      <c r="B74" s="340" t="s">
        <v>58</v>
      </c>
      <c r="C74" s="353">
        <v>19388119</v>
      </c>
      <c r="D74" s="353">
        <v>19376083</v>
      </c>
      <c r="E74" s="353">
        <v>19355130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36005351</v>
      </c>
      <c r="D75" s="341">
        <f>+D73+D74</f>
        <v>52521180</v>
      </c>
      <c r="E75" s="341">
        <f>+E73+E74</f>
        <v>49197392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-166.25816128932121</v>
      </c>
      <c r="D77" s="359">
        <f>IF(D80=0,0,(D78/D80)*100)</f>
        <v>-83.709322351399308</v>
      </c>
      <c r="E77" s="359">
        <f>IF(E80=0,0,(E78/E80)*100)</f>
        <v>162.57065014300323</v>
      </c>
    </row>
    <row r="78" spans="1:5" ht="24" customHeight="1" x14ac:dyDescent="0.2">
      <c r="A78" s="339">
        <v>12</v>
      </c>
      <c r="B78" s="340" t="s">
        <v>58</v>
      </c>
      <c r="C78" s="341">
        <f>+C74</f>
        <v>19388119</v>
      </c>
      <c r="D78" s="341">
        <f>+D74</f>
        <v>19376083</v>
      </c>
      <c r="E78" s="341">
        <f>+E74</f>
        <v>19355130</v>
      </c>
    </row>
    <row r="79" spans="1:5" ht="24" customHeight="1" x14ac:dyDescent="0.2">
      <c r="A79" s="339">
        <v>13</v>
      </c>
      <c r="B79" s="340" t="s">
        <v>67</v>
      </c>
      <c r="C79" s="341">
        <f>+C32</f>
        <v>-31049573</v>
      </c>
      <c r="D79" s="341">
        <f>+D32</f>
        <v>-42522947</v>
      </c>
      <c r="E79" s="341">
        <f>+E32</f>
        <v>-7449457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-11661454</v>
      </c>
      <c r="D80" s="341">
        <f>+D78+D79</f>
        <v>-23146864</v>
      </c>
      <c r="E80" s="341">
        <f>+E78+E79</f>
        <v>11905673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516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517</v>
      </c>
      <c r="E6" s="362" t="s">
        <v>518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519</v>
      </c>
      <c r="I7" s="362" t="s">
        <v>519</v>
      </c>
      <c r="J7" s="367"/>
      <c r="K7" s="368"/>
    </row>
    <row r="8" spans="1:11" ht="15.75" customHeight="1" x14ac:dyDescent="0.25">
      <c r="A8" s="360"/>
      <c r="B8" s="361"/>
      <c r="C8" s="362" t="s">
        <v>520</v>
      </c>
      <c r="D8" s="362" t="s">
        <v>521</v>
      </c>
      <c r="E8" s="362" t="s">
        <v>522</v>
      </c>
      <c r="F8" s="362" t="s">
        <v>523</v>
      </c>
      <c r="G8" s="362" t="s">
        <v>524</v>
      </c>
      <c r="H8" s="362" t="s">
        <v>525</v>
      </c>
      <c r="I8" s="362" t="s">
        <v>526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527</v>
      </c>
      <c r="D9" s="371" t="s">
        <v>528</v>
      </c>
      <c r="E9" s="371" t="s">
        <v>529</v>
      </c>
      <c r="F9" s="371" t="s">
        <v>530</v>
      </c>
      <c r="G9" s="371" t="s">
        <v>531</v>
      </c>
      <c r="H9" s="371" t="s">
        <v>530</v>
      </c>
      <c r="I9" s="371" t="s">
        <v>531</v>
      </c>
      <c r="J9" s="367"/>
      <c r="K9" s="372"/>
    </row>
    <row r="10" spans="1:11" ht="15.75" customHeight="1" x14ac:dyDescent="0.25">
      <c r="A10" s="136" t="s">
        <v>529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532</v>
      </c>
      <c r="C11" s="376">
        <v>12777</v>
      </c>
      <c r="D11" s="376">
        <v>3335</v>
      </c>
      <c r="E11" s="376">
        <v>3393</v>
      </c>
      <c r="F11" s="377">
        <v>53</v>
      </c>
      <c r="G11" s="377">
        <v>104</v>
      </c>
      <c r="H11" s="378">
        <f>IF(F11=0,0,$C11/(F11*365))</f>
        <v>0.66048074437839233</v>
      </c>
      <c r="I11" s="378">
        <f>IF(G11=0,0,$C11/(G11*365))</f>
        <v>0.33659114857744993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533</v>
      </c>
      <c r="C13" s="376">
        <v>2708</v>
      </c>
      <c r="D13" s="376">
        <v>396</v>
      </c>
      <c r="E13" s="376">
        <v>0</v>
      </c>
      <c r="F13" s="377">
        <v>12</v>
      </c>
      <c r="G13" s="377">
        <v>12</v>
      </c>
      <c r="H13" s="378">
        <f>IF(F13=0,0,$C13/(F13*365))</f>
        <v>0.61826484018264838</v>
      </c>
      <c r="I13" s="378">
        <f>IF(G13=0,0,$C13/(G13*365))</f>
        <v>0.61826484018264838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534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535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536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537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538</v>
      </c>
      <c r="C21" s="376">
        <v>1015</v>
      </c>
      <c r="D21" s="376">
        <v>420</v>
      </c>
      <c r="E21" s="376">
        <v>417</v>
      </c>
      <c r="F21" s="377">
        <v>14</v>
      </c>
      <c r="G21" s="377">
        <v>14</v>
      </c>
      <c r="H21" s="378">
        <f>IF(F21=0,0,$C21/(F21*365))</f>
        <v>0.19863013698630136</v>
      </c>
      <c r="I21" s="378">
        <f>IF(G21=0,0,$C21/(G21*365))</f>
        <v>0.19863013698630136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539</v>
      </c>
      <c r="C23" s="376">
        <v>855</v>
      </c>
      <c r="D23" s="376">
        <v>382</v>
      </c>
      <c r="E23" s="376">
        <v>380</v>
      </c>
      <c r="F23" s="377">
        <v>8</v>
      </c>
      <c r="G23" s="377">
        <v>14</v>
      </c>
      <c r="H23" s="378">
        <f>IF(F23=0,0,$C23/(F23*365))</f>
        <v>0.2928082191780822</v>
      </c>
      <c r="I23" s="378">
        <f>IF(G23=0,0,$C23/(G23*365))</f>
        <v>0.16731898238747553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540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541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542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543</v>
      </c>
      <c r="C31" s="384">
        <f>SUM(C10:C29)-C17-C23</f>
        <v>16500</v>
      </c>
      <c r="D31" s="384">
        <f>SUM(D10:D29)-D13-D17-D23</f>
        <v>3755</v>
      </c>
      <c r="E31" s="384">
        <f>SUM(E10:E29)-E17-E23</f>
        <v>3810</v>
      </c>
      <c r="F31" s="384">
        <f>SUM(F10:F29)-F17-F23</f>
        <v>79</v>
      </c>
      <c r="G31" s="384">
        <f>SUM(G10:G29)-G17-G23</f>
        <v>130</v>
      </c>
      <c r="H31" s="385">
        <f>IF(F31=0,0,$C31/(F31*365))</f>
        <v>0.57222125888676956</v>
      </c>
      <c r="I31" s="385">
        <f>IF(G31=0,0,$C31/(G31*365))</f>
        <v>0.34773445732349845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544</v>
      </c>
      <c r="C33" s="384">
        <f>SUM(C10:C29)-C17</f>
        <v>17355</v>
      </c>
      <c r="D33" s="384">
        <f>SUM(D10:D29)-D13-D17</f>
        <v>4137</v>
      </c>
      <c r="E33" s="384">
        <f>SUM(E10:E29)-E17</f>
        <v>4190</v>
      </c>
      <c r="F33" s="384">
        <f>SUM(F10:F29)-F17</f>
        <v>87</v>
      </c>
      <c r="G33" s="384">
        <f>SUM(G10:G29)-G17</f>
        <v>144</v>
      </c>
      <c r="H33" s="385">
        <f>IF(F33=0,0,$C33/(F33*365))</f>
        <v>0.54652810581010869</v>
      </c>
      <c r="I33" s="385">
        <f>IF(G33=0,0,$C33/(G33*365))</f>
        <v>0.33019406392694062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545</v>
      </c>
      <c r="C36" s="384">
        <f t="shared" ref="C36:I36" si="1">+C33</f>
        <v>17355</v>
      </c>
      <c r="D36" s="384">
        <f t="shared" si="1"/>
        <v>4137</v>
      </c>
      <c r="E36" s="384">
        <f t="shared" si="1"/>
        <v>4190</v>
      </c>
      <c r="F36" s="384">
        <f t="shared" si="1"/>
        <v>87</v>
      </c>
      <c r="G36" s="384">
        <f t="shared" si="1"/>
        <v>144</v>
      </c>
      <c r="H36" s="387">
        <f t="shared" si="1"/>
        <v>0.54652810581010869</v>
      </c>
      <c r="I36" s="387">
        <f t="shared" si="1"/>
        <v>0.33019406392694062</v>
      </c>
      <c r="J36" s="367"/>
      <c r="K36" s="379"/>
    </row>
    <row r="37" spans="1:11" ht="15.75" customHeight="1" x14ac:dyDescent="0.25">
      <c r="A37" s="136"/>
      <c r="B37" s="361" t="s">
        <v>546</v>
      </c>
      <c r="C37" s="384">
        <v>18673</v>
      </c>
      <c r="D37" s="384">
        <v>4506</v>
      </c>
      <c r="E37" s="384">
        <v>4564</v>
      </c>
      <c r="F37" s="386">
        <v>87</v>
      </c>
      <c r="G37" s="386">
        <v>144</v>
      </c>
      <c r="H37" s="385">
        <f>IF(F37=0,0,$C37/(F37*365))</f>
        <v>0.58803338056998899</v>
      </c>
      <c r="I37" s="385">
        <f>IF(G37=0,0,$C37/(G37*365))</f>
        <v>0.35527016742770168</v>
      </c>
      <c r="J37" s="367"/>
      <c r="K37" s="379"/>
    </row>
    <row r="38" spans="1:11" ht="15.75" customHeight="1" x14ac:dyDescent="0.25">
      <c r="A38" s="136"/>
      <c r="B38" s="361" t="s">
        <v>547</v>
      </c>
      <c r="C38" s="384">
        <f t="shared" ref="C38:I38" si="2">+C36-C37</f>
        <v>-1318</v>
      </c>
      <c r="D38" s="384">
        <f t="shared" si="2"/>
        <v>-369</v>
      </c>
      <c r="E38" s="384">
        <f t="shared" si="2"/>
        <v>-374</v>
      </c>
      <c r="F38" s="384">
        <f t="shared" si="2"/>
        <v>0</v>
      </c>
      <c r="G38" s="384">
        <f t="shared" si="2"/>
        <v>0</v>
      </c>
      <c r="H38" s="387">
        <f t="shared" si="2"/>
        <v>-4.1505274759880306E-2</v>
      </c>
      <c r="I38" s="387">
        <f t="shared" si="2"/>
        <v>-2.507610350076106E-2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548</v>
      </c>
      <c r="C40" s="389">
        <f t="shared" ref="C40:I40" si="3">IF(C37=0,0,C38/C37)</f>
        <v>-7.0583194987414985E-2</v>
      </c>
      <c r="D40" s="389">
        <f t="shared" si="3"/>
        <v>-8.1890812250332887E-2</v>
      </c>
      <c r="E40" s="389">
        <f t="shared" si="3"/>
        <v>-8.1945661700262934E-2</v>
      </c>
      <c r="F40" s="389">
        <f t="shared" si="3"/>
        <v>0</v>
      </c>
      <c r="G40" s="389">
        <f t="shared" si="3"/>
        <v>0</v>
      </c>
      <c r="H40" s="389">
        <f t="shared" si="3"/>
        <v>-7.0583194987414929E-2</v>
      </c>
      <c r="I40" s="389">
        <f t="shared" si="3"/>
        <v>-7.0583194987415054E-2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549</v>
      </c>
      <c r="C42" s="375">
        <v>144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550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529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551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552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553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554</v>
      </c>
      <c r="C12" s="409">
        <v>2477</v>
      </c>
      <c r="D12" s="409">
        <v>2323</v>
      </c>
      <c r="E12" s="409">
        <f>+D12-C12</f>
        <v>-154</v>
      </c>
      <c r="F12" s="410">
        <f>IF(C12=0,0,+E12/C12)</f>
        <v>-6.2171982236576502E-2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555</v>
      </c>
      <c r="C13" s="409">
        <v>3506</v>
      </c>
      <c r="D13" s="409">
        <v>3179</v>
      </c>
      <c r="E13" s="409">
        <f>+D13-C13</f>
        <v>-327</v>
      </c>
      <c r="F13" s="410">
        <f>IF(C13=0,0,+E13/C13)</f>
        <v>-9.3268682258984603E-2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556</v>
      </c>
      <c r="C14" s="409">
        <v>4965</v>
      </c>
      <c r="D14" s="409">
        <v>4273</v>
      </c>
      <c r="E14" s="409">
        <f>+D14-C14</f>
        <v>-692</v>
      </c>
      <c r="F14" s="410">
        <f>IF(C14=0,0,+E14/C14)</f>
        <v>-0.13937562940584089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557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558</v>
      </c>
      <c r="C16" s="401">
        <f>SUM(C12:C15)</f>
        <v>10948</v>
      </c>
      <c r="D16" s="401">
        <f>SUM(D12:D15)</f>
        <v>9775</v>
      </c>
      <c r="E16" s="401">
        <f>+D16-C16</f>
        <v>-1173</v>
      </c>
      <c r="F16" s="402">
        <f>IF(C16=0,0,+E16/C16)</f>
        <v>-0.10714285714285714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559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554</v>
      </c>
      <c r="C19" s="409">
        <v>473</v>
      </c>
      <c r="D19" s="409">
        <v>430</v>
      </c>
      <c r="E19" s="409">
        <f>+D19-C19</f>
        <v>-43</v>
      </c>
      <c r="F19" s="410">
        <f>IF(C19=0,0,+E19/C19)</f>
        <v>-9.0909090909090912E-2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555</v>
      </c>
      <c r="C20" s="409">
        <v>3759</v>
      </c>
      <c r="D20" s="409">
        <v>3533</v>
      </c>
      <c r="E20" s="409">
        <f>+D20-C20</f>
        <v>-226</v>
      </c>
      <c r="F20" s="410">
        <f>IF(C20=0,0,+E20/C20)</f>
        <v>-6.0122372971534985E-2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556</v>
      </c>
      <c r="C21" s="409">
        <v>116</v>
      </c>
      <c r="D21" s="409">
        <v>82</v>
      </c>
      <c r="E21" s="409">
        <f>+D21-C21</f>
        <v>-34</v>
      </c>
      <c r="F21" s="410">
        <f>IF(C21=0,0,+E21/C21)</f>
        <v>-0.29310344827586204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557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560</v>
      </c>
      <c r="C23" s="401">
        <f>SUM(C19:C22)</f>
        <v>4348</v>
      </c>
      <c r="D23" s="401">
        <f>SUM(D19:D22)</f>
        <v>4045</v>
      </c>
      <c r="E23" s="401">
        <f>+D23-C23</f>
        <v>-303</v>
      </c>
      <c r="F23" s="402">
        <f>IF(C23=0,0,+E23/C23)</f>
        <v>-6.9687212511499536E-2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561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554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555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556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557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562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563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554</v>
      </c>
      <c r="C33" s="409">
        <v>5</v>
      </c>
      <c r="D33" s="409">
        <v>5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555</v>
      </c>
      <c r="C34" s="409">
        <v>136</v>
      </c>
      <c r="D34" s="409">
        <v>97</v>
      </c>
      <c r="E34" s="409">
        <f>+D34-C34</f>
        <v>-39</v>
      </c>
      <c r="F34" s="410">
        <f>IF(C34=0,0,+E34/C34)</f>
        <v>-0.28676470588235292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556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557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564</v>
      </c>
      <c r="C37" s="401">
        <f>SUM(C33:C36)</f>
        <v>141</v>
      </c>
      <c r="D37" s="401">
        <f>SUM(D33:D36)</f>
        <v>102</v>
      </c>
      <c r="E37" s="401">
        <f>+D37-C37</f>
        <v>-39</v>
      </c>
      <c r="F37" s="402">
        <f>IF(C37=0,0,+E37/C37)</f>
        <v>-0.27659574468085107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565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566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567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568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569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570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571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568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569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572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573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574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575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576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577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578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579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580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581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582</v>
      </c>
      <c r="C63" s="409">
        <v>1242</v>
      </c>
      <c r="D63" s="409">
        <v>1053</v>
      </c>
      <c r="E63" s="409">
        <f>+D63-C63</f>
        <v>-189</v>
      </c>
      <c r="F63" s="410">
        <f>IF(C63=0,0,+E63/C63)</f>
        <v>-0.15217391304347827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583</v>
      </c>
      <c r="C64" s="409">
        <v>5220</v>
      </c>
      <c r="D64" s="409">
        <v>5010</v>
      </c>
      <c r="E64" s="409">
        <f>+D64-C64</f>
        <v>-210</v>
      </c>
      <c r="F64" s="410">
        <f>IF(C64=0,0,+E64/C64)</f>
        <v>-4.0229885057471264E-2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584</v>
      </c>
      <c r="C65" s="401">
        <f>SUM(C63:C64)</f>
        <v>6462</v>
      </c>
      <c r="D65" s="401">
        <f>SUM(D63:D64)</f>
        <v>6063</v>
      </c>
      <c r="E65" s="401">
        <f>+D65-C65</f>
        <v>-399</v>
      </c>
      <c r="F65" s="402">
        <f>IF(C65=0,0,+E65/C65)</f>
        <v>-6.1745589600742806E-2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585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586</v>
      </c>
      <c r="C68" s="409">
        <v>269</v>
      </c>
      <c r="D68" s="409">
        <v>289</v>
      </c>
      <c r="E68" s="409">
        <f>+D68-C68</f>
        <v>20</v>
      </c>
      <c r="F68" s="410">
        <f>IF(C68=0,0,+E68/C68)</f>
        <v>7.434944237918216E-2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587</v>
      </c>
      <c r="C69" s="409">
        <v>3007</v>
      </c>
      <c r="D69" s="409">
        <v>2684</v>
      </c>
      <c r="E69" s="409">
        <f>+D69-C69</f>
        <v>-323</v>
      </c>
      <c r="F69" s="412">
        <f>IF(C69=0,0,+E69/C69)</f>
        <v>-0.10741602926504822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588</v>
      </c>
      <c r="C70" s="401">
        <f>SUM(C68:C69)</f>
        <v>3276</v>
      </c>
      <c r="D70" s="401">
        <f>SUM(D68:D69)</f>
        <v>2973</v>
      </c>
      <c r="E70" s="401">
        <f>+D70-C70</f>
        <v>-303</v>
      </c>
      <c r="F70" s="402">
        <f>IF(C70=0,0,+E70/C70)</f>
        <v>-9.2490842490842495E-2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589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590</v>
      </c>
      <c r="C73" s="376">
        <v>3244</v>
      </c>
      <c r="D73" s="376">
        <v>3028</v>
      </c>
      <c r="E73" s="409">
        <f>+D73-C73</f>
        <v>-216</v>
      </c>
      <c r="F73" s="410">
        <f>IF(C73=0,0,+E73/C73)</f>
        <v>-6.6584463625154133E-2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591</v>
      </c>
      <c r="C74" s="376">
        <v>33618</v>
      </c>
      <c r="D74" s="376">
        <v>32054</v>
      </c>
      <c r="E74" s="409">
        <f>+D74-C74</f>
        <v>-1564</v>
      </c>
      <c r="F74" s="410">
        <f>IF(C74=0,0,+E74/C74)</f>
        <v>-4.6522696174668331E-2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36862</v>
      </c>
      <c r="D75" s="401">
        <f>SUM(D73:D74)</f>
        <v>35082</v>
      </c>
      <c r="E75" s="401">
        <f>SUM(E73:E74)</f>
        <v>-1780</v>
      </c>
      <c r="F75" s="402">
        <f>IF(C75=0,0,+E75/C75)</f>
        <v>-4.828821008084206E-2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592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593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594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595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596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597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598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599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600</v>
      </c>
      <c r="C86" s="376">
        <v>0</v>
      </c>
      <c r="D86" s="376">
        <v>1679</v>
      </c>
      <c r="E86" s="409">
        <f t="shared" si="0"/>
        <v>1679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601</v>
      </c>
      <c r="C87" s="376">
        <v>3365</v>
      </c>
      <c r="D87" s="376">
        <v>0</v>
      </c>
      <c r="E87" s="409">
        <f t="shared" si="0"/>
        <v>-3365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602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603</v>
      </c>
      <c r="C89" s="376">
        <v>0</v>
      </c>
      <c r="D89" s="376">
        <v>219</v>
      </c>
      <c r="E89" s="409">
        <f t="shared" si="0"/>
        <v>219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604</v>
      </c>
      <c r="C90" s="376">
        <v>0</v>
      </c>
      <c r="D90" s="376">
        <v>1144</v>
      </c>
      <c r="E90" s="409">
        <f t="shared" si="0"/>
        <v>1144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605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606</v>
      </c>
      <c r="C92" s="381">
        <f>SUM(C79:C91)</f>
        <v>3365</v>
      </c>
      <c r="D92" s="381">
        <f>SUM(D79:D91)</f>
        <v>3042</v>
      </c>
      <c r="E92" s="401">
        <f t="shared" si="0"/>
        <v>-323</v>
      </c>
      <c r="F92" s="402">
        <f t="shared" si="1"/>
        <v>-9.5988112927191685E-2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607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608</v>
      </c>
      <c r="C95" s="414">
        <v>20026</v>
      </c>
      <c r="D95" s="414">
        <v>20463</v>
      </c>
      <c r="E95" s="415">
        <f t="shared" ref="E95:E100" si="2">+D95-C95</f>
        <v>437</v>
      </c>
      <c r="F95" s="412">
        <f t="shared" ref="F95:F100" si="3">IF(C95=0,0,+E95/C95)</f>
        <v>2.1821631878557873E-2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609</v>
      </c>
      <c r="C96" s="414">
        <v>1587</v>
      </c>
      <c r="D96" s="414">
        <v>1775</v>
      </c>
      <c r="E96" s="409">
        <f t="shared" si="2"/>
        <v>188</v>
      </c>
      <c r="F96" s="410">
        <f t="shared" si="3"/>
        <v>0.11846250787649654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610</v>
      </c>
      <c r="C97" s="414">
        <v>260</v>
      </c>
      <c r="D97" s="414">
        <v>382</v>
      </c>
      <c r="E97" s="409">
        <f t="shared" si="2"/>
        <v>122</v>
      </c>
      <c r="F97" s="410">
        <f t="shared" si="3"/>
        <v>0.46923076923076923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611</v>
      </c>
      <c r="C98" s="414">
        <v>0</v>
      </c>
      <c r="D98" s="414">
        <v>246</v>
      </c>
      <c r="E98" s="409">
        <f t="shared" si="2"/>
        <v>246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612</v>
      </c>
      <c r="C99" s="414">
        <v>98064</v>
      </c>
      <c r="D99" s="414">
        <v>50802</v>
      </c>
      <c r="E99" s="409">
        <f t="shared" si="2"/>
        <v>-47262</v>
      </c>
      <c r="F99" s="410">
        <f t="shared" si="3"/>
        <v>-0.48195056289769944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613</v>
      </c>
      <c r="C100" s="381">
        <f>SUM(C95:C99)</f>
        <v>119937</v>
      </c>
      <c r="D100" s="381">
        <f>SUM(D95:D99)</f>
        <v>73668</v>
      </c>
      <c r="E100" s="401">
        <f t="shared" si="2"/>
        <v>-46269</v>
      </c>
      <c r="F100" s="402">
        <f t="shared" si="3"/>
        <v>-0.38577753320493258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614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615</v>
      </c>
      <c r="C104" s="416">
        <v>179.4</v>
      </c>
      <c r="D104" s="416">
        <v>170</v>
      </c>
      <c r="E104" s="417">
        <f>+D104-C104</f>
        <v>-9.4000000000000057</v>
      </c>
      <c r="F104" s="410">
        <f>IF(C104=0,0,+E104/C104)</f>
        <v>-5.2396878483835035E-2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616</v>
      </c>
      <c r="C105" s="416">
        <v>11.4</v>
      </c>
      <c r="D105" s="416">
        <v>9.4</v>
      </c>
      <c r="E105" s="417">
        <f>+D105-C105</f>
        <v>-2</v>
      </c>
      <c r="F105" s="410">
        <f>IF(C105=0,0,+E105/C105)</f>
        <v>-0.17543859649122806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617</v>
      </c>
      <c r="C106" s="416">
        <v>410.8</v>
      </c>
      <c r="D106" s="416">
        <v>397.7</v>
      </c>
      <c r="E106" s="417">
        <f>+D106-C106</f>
        <v>-13.100000000000023</v>
      </c>
      <c r="F106" s="410">
        <f>IF(C106=0,0,+E106/C106)</f>
        <v>-3.1888997078870551E-2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618</v>
      </c>
      <c r="C107" s="418">
        <f>SUM(C104:C106)</f>
        <v>601.6</v>
      </c>
      <c r="D107" s="418">
        <f>SUM(D104:D106)</f>
        <v>577.1</v>
      </c>
      <c r="E107" s="418">
        <f>+D107-C107</f>
        <v>-24.5</v>
      </c>
      <c r="F107" s="402">
        <f>IF(C107=0,0,+E107/C107)</f>
        <v>-4.0724734042553189E-2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619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583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620</v>
      </c>
      <c r="C12" s="409">
        <v>5220</v>
      </c>
      <c r="D12" s="409">
        <v>5010</v>
      </c>
      <c r="E12" s="409">
        <f>+D12-C12</f>
        <v>-210</v>
      </c>
      <c r="F12" s="410">
        <f>IF(C12=0,0,+E12/C12)</f>
        <v>-4.0229885057471264E-2</v>
      </c>
    </row>
    <row r="13" spans="1:6" ht="15.75" customHeight="1" x14ac:dyDescent="0.25">
      <c r="A13" s="374"/>
      <c r="B13" s="399" t="s">
        <v>621</v>
      </c>
      <c r="C13" s="401">
        <f>SUM(C11:C12)</f>
        <v>5220</v>
      </c>
      <c r="D13" s="401">
        <f>SUM(D11:D12)</f>
        <v>5010</v>
      </c>
      <c r="E13" s="401">
        <f>+D13-C13</f>
        <v>-210</v>
      </c>
      <c r="F13" s="402">
        <f>IF(C13=0,0,+E13/C13)</f>
        <v>-4.0229885057471264E-2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587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620</v>
      </c>
      <c r="C16" s="409">
        <v>3007</v>
      </c>
      <c r="D16" s="409">
        <v>2684</v>
      </c>
      <c r="E16" s="409">
        <f>+D16-C16</f>
        <v>-323</v>
      </c>
      <c r="F16" s="410">
        <f>IF(C16=0,0,+E16/C16)</f>
        <v>-0.10741602926504822</v>
      </c>
    </row>
    <row r="17" spans="1:6" ht="15.75" customHeight="1" x14ac:dyDescent="0.25">
      <c r="A17" s="374"/>
      <c r="B17" s="399" t="s">
        <v>622</v>
      </c>
      <c r="C17" s="401">
        <f>SUM(C15:C16)</f>
        <v>3007</v>
      </c>
      <c r="D17" s="401">
        <f>SUM(D15:D16)</f>
        <v>2684</v>
      </c>
      <c r="E17" s="401">
        <f>+D17-C17</f>
        <v>-323</v>
      </c>
      <c r="F17" s="402">
        <f>IF(C17=0,0,+E17/C17)</f>
        <v>-0.10741602926504822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620</v>
      </c>
      <c r="C20" s="409">
        <v>33618</v>
      </c>
      <c r="D20" s="409">
        <v>32054</v>
      </c>
      <c r="E20" s="409">
        <f>+D20-C20</f>
        <v>-1564</v>
      </c>
      <c r="F20" s="410">
        <f>IF(C20=0,0,+E20/C20)</f>
        <v>-4.6522696174668331E-2</v>
      </c>
    </row>
    <row r="21" spans="1:6" ht="15.75" customHeight="1" x14ac:dyDescent="0.25">
      <c r="A21" s="374"/>
      <c r="B21" s="399" t="s">
        <v>624</v>
      </c>
      <c r="C21" s="401">
        <f>SUM(C19:C20)</f>
        <v>33618</v>
      </c>
      <c r="D21" s="401">
        <f>SUM(D19:D20)</f>
        <v>32054</v>
      </c>
      <c r="E21" s="401">
        <f>+D21-C21</f>
        <v>-1564</v>
      </c>
      <c r="F21" s="402">
        <f>IF(C21=0,0,+E21/C21)</f>
        <v>-4.6522696174668331E-2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625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626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627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43219561</v>
      </c>
      <c r="D15" s="448">
        <v>43515351</v>
      </c>
      <c r="E15" s="448">
        <f t="shared" ref="E15:E24" si="0">D15-C15</f>
        <v>295790</v>
      </c>
      <c r="F15" s="449">
        <f t="shared" ref="F15:F24" si="1">IF(C15=0,0,E15/C15)</f>
        <v>6.8438918201876231E-3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27984408</v>
      </c>
      <c r="D16" s="448">
        <v>24795085</v>
      </c>
      <c r="E16" s="448">
        <f t="shared" si="0"/>
        <v>-3189323</v>
      </c>
      <c r="F16" s="449">
        <f t="shared" si="1"/>
        <v>-0.11396785667218688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0.64749403632304359</v>
      </c>
      <c r="D17" s="453">
        <f>IF(LN_IA1=0,0,LN_IA2/LN_IA1)</f>
        <v>0.56980087325964579</v>
      </c>
      <c r="E17" s="454">
        <f t="shared" si="0"/>
        <v>-7.7693163063397797E-2</v>
      </c>
      <c r="F17" s="449">
        <f t="shared" si="1"/>
        <v>-0.11999054617490812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2326</v>
      </c>
      <c r="D18" s="456">
        <v>2210</v>
      </c>
      <c r="E18" s="456">
        <f t="shared" si="0"/>
        <v>-116</v>
      </c>
      <c r="F18" s="449">
        <f t="shared" si="1"/>
        <v>-4.9871023215821153E-2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1.3789400000000001</v>
      </c>
      <c r="D19" s="459">
        <v>1.39802</v>
      </c>
      <c r="E19" s="460">
        <f t="shared" si="0"/>
        <v>1.9079999999999986E-2</v>
      </c>
      <c r="F19" s="449">
        <f t="shared" si="1"/>
        <v>1.3836715158019918E-2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3207.41444</v>
      </c>
      <c r="D20" s="463">
        <f>LN_IA4*LN_IA5</f>
        <v>3089.6242000000002</v>
      </c>
      <c r="E20" s="463">
        <f t="shared" si="0"/>
        <v>-117.79023999999981</v>
      </c>
      <c r="F20" s="449">
        <f t="shared" si="1"/>
        <v>-3.672435920067748E-2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8724.9117703666634</v>
      </c>
      <c r="D21" s="465">
        <f>IF(LN_IA6=0,0,LN_IA2/LN_IA6)</f>
        <v>8025.275371677888</v>
      </c>
      <c r="E21" s="465">
        <f t="shared" si="0"/>
        <v>-699.63639868877544</v>
      </c>
      <c r="F21" s="449">
        <f t="shared" si="1"/>
        <v>-8.0188363745410496E-2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11749</v>
      </c>
      <c r="D22" s="456">
        <v>11054</v>
      </c>
      <c r="E22" s="456">
        <f t="shared" si="0"/>
        <v>-695</v>
      </c>
      <c r="F22" s="449">
        <f t="shared" si="1"/>
        <v>-5.9153970550685164E-2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2381.8544556983575</v>
      </c>
      <c r="D23" s="465">
        <f>IF(LN_IA8=0,0,LN_IA2/LN_IA8)</f>
        <v>2243.0871177854169</v>
      </c>
      <c r="E23" s="465">
        <f t="shared" si="0"/>
        <v>-138.76733791294055</v>
      </c>
      <c r="F23" s="449">
        <f t="shared" si="1"/>
        <v>-5.8260208796953587E-2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5.05116079105761</v>
      </c>
      <c r="D24" s="466">
        <f>IF(LN_IA4=0,0,LN_IA8/LN_IA4)</f>
        <v>5.0018099547511312</v>
      </c>
      <c r="E24" s="466">
        <f t="shared" si="0"/>
        <v>-4.935083630647874E-2</v>
      </c>
      <c r="F24" s="449">
        <f t="shared" si="1"/>
        <v>-9.7701970592279797E-3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43352416</v>
      </c>
      <c r="D27" s="448">
        <v>41397393</v>
      </c>
      <c r="E27" s="448">
        <f t="shared" ref="E27:E32" si="2">D27-C27</f>
        <v>-1955023</v>
      </c>
      <c r="F27" s="449">
        <f t="shared" ref="F27:F32" si="3">IF(C27=0,0,E27/C27)</f>
        <v>-4.5096056468917442E-2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9817895</v>
      </c>
      <c r="D28" s="448">
        <v>8834967</v>
      </c>
      <c r="E28" s="448">
        <f t="shared" si="2"/>
        <v>-982928</v>
      </c>
      <c r="F28" s="449">
        <f t="shared" si="3"/>
        <v>-0.10011596172091879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0.22646707855912807</v>
      </c>
      <c r="D29" s="453">
        <f>IF(LN_IA11=0,0,LN_IA12/LN_IA11)</f>
        <v>0.21341843917562636</v>
      </c>
      <c r="E29" s="454">
        <f t="shared" si="2"/>
        <v>-1.3048639383501703E-2</v>
      </c>
      <c r="F29" s="449">
        <f t="shared" si="3"/>
        <v>-5.7618261632208262E-2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1.0030739553324015</v>
      </c>
      <c r="D30" s="453">
        <f>IF(LN_IA1=0,0,LN_IA11/LN_IA1)</f>
        <v>0.95132848635416045</v>
      </c>
      <c r="E30" s="454">
        <f t="shared" si="2"/>
        <v>-5.174546897824106E-2</v>
      </c>
      <c r="F30" s="449">
        <f t="shared" si="3"/>
        <v>-5.1586893172890225E-2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2333.1500201031658</v>
      </c>
      <c r="D31" s="463">
        <f>LN_IA14*LN_IA4</f>
        <v>2102.4359548426946</v>
      </c>
      <c r="E31" s="463">
        <f t="shared" si="2"/>
        <v>-230.71406526047122</v>
      </c>
      <c r="F31" s="449">
        <f t="shared" si="3"/>
        <v>-9.8885225241654051E-2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4207.9998780215074</v>
      </c>
      <c r="D32" s="465">
        <f>IF(LN_IA15=0,0,LN_IA12/LN_IA15)</f>
        <v>4202.2526201807832</v>
      </c>
      <c r="E32" s="465">
        <f t="shared" si="2"/>
        <v>-5.7472578407241599</v>
      </c>
      <c r="F32" s="449">
        <f t="shared" si="3"/>
        <v>-1.3657932526904852E-3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86571977</v>
      </c>
      <c r="D35" s="448">
        <f>LN_IA1+LN_IA11</f>
        <v>84912744</v>
      </c>
      <c r="E35" s="448">
        <f>D35-C35</f>
        <v>-1659233</v>
      </c>
      <c r="F35" s="449">
        <f>IF(C35=0,0,E35/C35)</f>
        <v>-1.9165936339885135E-2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37802303</v>
      </c>
      <c r="D36" s="448">
        <f>LN_IA2+LN_IA12</f>
        <v>33630052</v>
      </c>
      <c r="E36" s="448">
        <f>D36-C36</f>
        <v>-4172251</v>
      </c>
      <c r="F36" s="449">
        <f>IF(C36=0,0,E36/C36)</f>
        <v>-0.11037028617013096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48769674</v>
      </c>
      <c r="D37" s="448">
        <f>LN_IA17-LN_IA18</f>
        <v>51282692</v>
      </c>
      <c r="E37" s="448">
        <f>D37-C37</f>
        <v>2513018</v>
      </c>
      <c r="F37" s="449">
        <f>IF(C37=0,0,E37/C37)</f>
        <v>5.1528291946343542E-2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15063185</v>
      </c>
      <c r="D42" s="448">
        <v>12616287</v>
      </c>
      <c r="E42" s="448">
        <f t="shared" ref="E42:E53" si="4">D42-C42</f>
        <v>-2446898</v>
      </c>
      <c r="F42" s="449">
        <f t="shared" ref="F42:F53" si="5">IF(C42=0,0,E42/C42)</f>
        <v>-0.16244227233483491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9212630</v>
      </c>
      <c r="D43" s="448">
        <v>7171285</v>
      </c>
      <c r="E43" s="448">
        <f t="shared" si="4"/>
        <v>-2041345</v>
      </c>
      <c r="F43" s="449">
        <f t="shared" si="5"/>
        <v>-0.22158113372619978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0.61159907416658565</v>
      </c>
      <c r="D44" s="453">
        <f>IF(LN_IB1=0,0,LN_IB2/LN_IB1)</f>
        <v>0.5684148593005216</v>
      </c>
      <c r="E44" s="454">
        <f t="shared" si="4"/>
        <v>-4.3184214866064052E-2</v>
      </c>
      <c r="F44" s="449">
        <f t="shared" si="5"/>
        <v>-7.0608698884821491E-2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1178</v>
      </c>
      <c r="D45" s="456">
        <v>926</v>
      </c>
      <c r="E45" s="456">
        <f t="shared" si="4"/>
        <v>-252</v>
      </c>
      <c r="F45" s="449">
        <f t="shared" si="5"/>
        <v>-0.21392190152801357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0.95455999999999996</v>
      </c>
      <c r="D46" s="459">
        <v>0.96784999999999999</v>
      </c>
      <c r="E46" s="460">
        <f t="shared" si="4"/>
        <v>1.3290000000000024E-2</v>
      </c>
      <c r="F46" s="449">
        <f t="shared" si="5"/>
        <v>1.3922644988266871E-2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1124.4716799999999</v>
      </c>
      <c r="D47" s="463">
        <f>LN_IB4*LN_IB5</f>
        <v>896.22910000000002</v>
      </c>
      <c r="E47" s="463">
        <f t="shared" si="4"/>
        <v>-228.24257999999986</v>
      </c>
      <c r="F47" s="449">
        <f t="shared" si="5"/>
        <v>-0.20297761522993615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8192.8519533724502</v>
      </c>
      <c r="D48" s="465">
        <f>IF(LN_IB6=0,0,LN_IB2/LN_IB6)</f>
        <v>8001.6203446194731</v>
      </c>
      <c r="E48" s="465">
        <f t="shared" si="4"/>
        <v>-191.23160875297708</v>
      </c>
      <c r="F48" s="449">
        <f t="shared" si="5"/>
        <v>-2.334127478945348E-2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532.05981699421318</v>
      </c>
      <c r="D49" s="465">
        <f>LN_IA7-LN_IB7</f>
        <v>23.655027058414817</v>
      </c>
      <c r="E49" s="465">
        <f t="shared" si="4"/>
        <v>-508.40478993579836</v>
      </c>
      <c r="F49" s="449">
        <f t="shared" si="5"/>
        <v>-0.95554066234121926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598286.19627597532</v>
      </c>
      <c r="D50" s="479">
        <f>LN_IB8*LN_IB6</f>
        <v>21200.323611038759</v>
      </c>
      <c r="E50" s="479">
        <f t="shared" si="4"/>
        <v>-577085.87266493659</v>
      </c>
      <c r="F50" s="449">
        <f t="shared" si="5"/>
        <v>-0.9645649126739011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3656</v>
      </c>
      <c r="D51" s="456">
        <v>2876</v>
      </c>
      <c r="E51" s="456">
        <f t="shared" si="4"/>
        <v>-780</v>
      </c>
      <c r="F51" s="449">
        <f t="shared" si="5"/>
        <v>-0.21334792122538293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2519.8659737417943</v>
      </c>
      <c r="D52" s="465">
        <f>IF(LN_IB10=0,0,LN_IB2/LN_IB10)</f>
        <v>2493.4926981919334</v>
      </c>
      <c r="E52" s="465">
        <f t="shared" si="4"/>
        <v>-26.373275549860864</v>
      </c>
      <c r="F52" s="449">
        <f t="shared" si="5"/>
        <v>-1.0466142177672534E-2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3.1035653650254669</v>
      </c>
      <c r="D53" s="466">
        <f>IF(LN_IB4=0,0,LN_IB10/LN_IB4)</f>
        <v>3.1058315334773217</v>
      </c>
      <c r="E53" s="466">
        <f t="shared" si="4"/>
        <v>2.2661684518547887E-3</v>
      </c>
      <c r="F53" s="449">
        <f t="shared" si="5"/>
        <v>7.3018228563592475E-4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65413680</v>
      </c>
      <c r="D56" s="448">
        <v>59778686</v>
      </c>
      <c r="E56" s="448">
        <f t="shared" ref="E56:E63" si="6">D56-C56</f>
        <v>-5634994</v>
      </c>
      <c r="F56" s="449">
        <f t="shared" ref="F56:F63" si="7">IF(C56=0,0,E56/C56)</f>
        <v>-8.614396866221255E-2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27691135</v>
      </c>
      <c r="D57" s="448">
        <v>24181063</v>
      </c>
      <c r="E57" s="448">
        <f t="shared" si="6"/>
        <v>-3510072</v>
      </c>
      <c r="F57" s="449">
        <f t="shared" si="7"/>
        <v>-0.12675796784783289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0.42332330179253025</v>
      </c>
      <c r="D58" s="453">
        <f>IF(LN_IB13=0,0,LN_IB14/LN_IB13)</f>
        <v>0.40450977794995358</v>
      </c>
      <c r="E58" s="454">
        <f t="shared" si="6"/>
        <v>-1.8813523842576674E-2</v>
      </c>
      <c r="F58" s="449">
        <f t="shared" si="7"/>
        <v>-4.4442448036553249E-2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4.3426194393815116</v>
      </c>
      <c r="D59" s="453">
        <f>IF(LN_IB1=0,0,LN_IB13/LN_IB1)</f>
        <v>4.7382154511862327</v>
      </c>
      <c r="E59" s="454">
        <f t="shared" si="6"/>
        <v>0.39559601180472104</v>
      </c>
      <c r="F59" s="449">
        <f t="shared" si="7"/>
        <v>9.109617301880428E-2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5115.6056995914205</v>
      </c>
      <c r="D60" s="463">
        <f>LN_IB16*LN_IB4</f>
        <v>4387.587507798451</v>
      </c>
      <c r="E60" s="463">
        <f t="shared" si="6"/>
        <v>-728.01819179296945</v>
      </c>
      <c r="F60" s="449">
        <f t="shared" si="7"/>
        <v>-0.14231319506331688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5413.070636427602</v>
      </c>
      <c r="D61" s="465">
        <f>IF(LN_IB17=0,0,LN_IB14/LN_IB17)</f>
        <v>5511.2434696791433</v>
      </c>
      <c r="E61" s="465">
        <f t="shared" si="6"/>
        <v>98.172833251541306</v>
      </c>
      <c r="F61" s="449">
        <f t="shared" si="7"/>
        <v>1.8136255712401201E-2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-1205.0707584060947</v>
      </c>
      <c r="D62" s="465">
        <f>LN_IA16-LN_IB18</f>
        <v>-1308.9908494983601</v>
      </c>
      <c r="E62" s="465">
        <f t="shared" si="6"/>
        <v>-103.92009109226547</v>
      </c>
      <c r="F62" s="449">
        <f t="shared" si="7"/>
        <v>8.6235675679092044E-2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-6164666.8401131732</v>
      </c>
      <c r="D63" s="448">
        <f>LN_IB19*LN_IB17</f>
        <v>-5743311.8990814872</v>
      </c>
      <c r="E63" s="448">
        <f t="shared" si="6"/>
        <v>421354.94103168603</v>
      </c>
      <c r="F63" s="449">
        <f t="shared" si="7"/>
        <v>-6.8349993918560351E-2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80476865</v>
      </c>
      <c r="D66" s="448">
        <f>LN_IB1+LN_IB13</f>
        <v>72394973</v>
      </c>
      <c r="E66" s="448">
        <f>D66-C66</f>
        <v>-8081892</v>
      </c>
      <c r="F66" s="449">
        <f>IF(C66=0,0,E66/C66)</f>
        <v>-0.10042503519489732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36903765</v>
      </c>
      <c r="D67" s="448">
        <f>LN_IB2+LN_IB14</f>
        <v>31352348</v>
      </c>
      <c r="E67" s="448">
        <f>D67-C67</f>
        <v>-5551417</v>
      </c>
      <c r="F67" s="449">
        <f>IF(C67=0,0,E67/C67)</f>
        <v>-0.15042955644227629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43573100</v>
      </c>
      <c r="D68" s="448">
        <f>LN_IB21-LN_IB22</f>
        <v>41042625</v>
      </c>
      <c r="E68" s="448">
        <f>D68-C68</f>
        <v>-2530475</v>
      </c>
      <c r="F68" s="449">
        <f>IF(C68=0,0,E68/C68)</f>
        <v>-5.8074247643614983E-2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-5566380.6438371977</v>
      </c>
      <c r="D70" s="441">
        <f>LN_IB9+LN_IB20</f>
        <v>-5722111.5754704485</v>
      </c>
      <c r="E70" s="448">
        <f>D70-C70</f>
        <v>-155730.93163325079</v>
      </c>
      <c r="F70" s="449">
        <f>IF(C70=0,0,E70/C70)</f>
        <v>2.7977053959769682E-2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72963986</v>
      </c>
      <c r="D73" s="488">
        <v>62017893</v>
      </c>
      <c r="E73" s="488">
        <f>D73-C73</f>
        <v>-10946093</v>
      </c>
      <c r="F73" s="489">
        <f>IF(C73=0,0,E73/C73)</f>
        <v>-0.15002049093096423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36836135</v>
      </c>
      <c r="D74" s="488">
        <v>31236312</v>
      </c>
      <c r="E74" s="488">
        <f>D74-C74</f>
        <v>-5599823</v>
      </c>
      <c r="F74" s="489">
        <f>IF(C74=0,0,E74/C74)</f>
        <v>-0.15201983052782275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36127851</v>
      </c>
      <c r="D76" s="441">
        <f>LN_IB32-LN_IB33</f>
        <v>30781581</v>
      </c>
      <c r="E76" s="488">
        <f>D76-C76</f>
        <v>-5346270</v>
      </c>
      <c r="F76" s="489">
        <f>IF(E76=0,0,E76/C76)</f>
        <v>-0.14798195442070441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0.4951463452120064</v>
      </c>
      <c r="D77" s="453">
        <f>IF(LN_IB32=0,0,LN_IB34/LN_IB32)</f>
        <v>0.49633387254868527</v>
      </c>
      <c r="E77" s="493">
        <f>D77-C77</f>
        <v>1.187527336678873E-3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751105</v>
      </c>
      <c r="D83" s="448">
        <v>760706</v>
      </c>
      <c r="E83" s="448">
        <f t="shared" ref="E83:E95" si="8">D83-C83</f>
        <v>9601</v>
      </c>
      <c r="F83" s="449">
        <f t="shared" ref="F83:F95" si="9">IF(C83=0,0,E83/C83)</f>
        <v>1.2782500449337975E-2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15020</v>
      </c>
      <c r="D84" s="448">
        <v>14644</v>
      </c>
      <c r="E84" s="448">
        <f t="shared" si="8"/>
        <v>-376</v>
      </c>
      <c r="F84" s="449">
        <f t="shared" si="9"/>
        <v>-2.5033288948069242E-2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1.9997204119264284E-2</v>
      </c>
      <c r="D85" s="453">
        <f>IF(LN_IC1=0,0,LN_IC2/LN_IC1)</f>
        <v>1.9250538315722501E-2</v>
      </c>
      <c r="E85" s="454">
        <f t="shared" si="8"/>
        <v>-7.4666580354178225E-4</v>
      </c>
      <c r="F85" s="449">
        <f t="shared" si="9"/>
        <v>-3.733850987811254E-2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56</v>
      </c>
      <c r="D86" s="456">
        <v>48</v>
      </c>
      <c r="E86" s="456">
        <f t="shared" si="8"/>
        <v>-8</v>
      </c>
      <c r="F86" s="449">
        <f t="shared" si="9"/>
        <v>-0.14285714285714285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0.93178000000000005</v>
      </c>
      <c r="D87" s="459">
        <v>1.0893999999999999</v>
      </c>
      <c r="E87" s="460">
        <f t="shared" si="8"/>
        <v>0.15761999999999987</v>
      </c>
      <c r="F87" s="449">
        <f t="shared" si="9"/>
        <v>0.16916010217003999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52.179680000000005</v>
      </c>
      <c r="D88" s="463">
        <f>LN_IC4*LN_IC5</f>
        <v>52.291199999999996</v>
      </c>
      <c r="E88" s="463">
        <f t="shared" si="8"/>
        <v>0.11151999999999163</v>
      </c>
      <c r="F88" s="449">
        <f t="shared" si="9"/>
        <v>2.1372304314628151E-3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287.85151614574869</v>
      </c>
      <c r="D89" s="465">
        <f>IF(LN_IC6=0,0,LN_IC2/LN_IC6)</f>
        <v>280.04712073924486</v>
      </c>
      <c r="E89" s="465">
        <f t="shared" si="8"/>
        <v>-7.8043954065038292</v>
      </c>
      <c r="F89" s="449">
        <f t="shared" si="9"/>
        <v>-2.7112573562239662E-2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7905.0004372267013</v>
      </c>
      <c r="D90" s="465">
        <f>LN_IB7-LN_IC7</f>
        <v>7721.5732238802284</v>
      </c>
      <c r="E90" s="465">
        <f t="shared" si="8"/>
        <v>-183.42721334647285</v>
      </c>
      <c r="F90" s="449">
        <f t="shared" si="9"/>
        <v>-2.3203947274014869E-2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8437.0602542209144</v>
      </c>
      <c r="D91" s="465">
        <f>LN_IA7-LN_IC7</f>
        <v>7745.2282509386432</v>
      </c>
      <c r="E91" s="465">
        <f t="shared" si="8"/>
        <v>-691.83200328227122</v>
      </c>
      <c r="F91" s="449">
        <f t="shared" si="9"/>
        <v>-8.199917772735589E-2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440243.104205966</v>
      </c>
      <c r="D92" s="441">
        <f>LN_IC9*LN_IC6</f>
        <v>405007.27951548278</v>
      </c>
      <c r="E92" s="441">
        <f t="shared" si="8"/>
        <v>-35235.824690483219</v>
      </c>
      <c r="F92" s="449">
        <f t="shared" si="9"/>
        <v>-8.0037198433886833E-2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156</v>
      </c>
      <c r="D93" s="456">
        <v>147</v>
      </c>
      <c r="E93" s="456">
        <f t="shared" si="8"/>
        <v>-9</v>
      </c>
      <c r="F93" s="449">
        <f t="shared" si="9"/>
        <v>-5.7692307692307696E-2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96.282051282051285</v>
      </c>
      <c r="D94" s="499">
        <f>IF(LN_IC11=0,0,LN_IC2/LN_IC11)</f>
        <v>99.61904761904762</v>
      </c>
      <c r="E94" s="499">
        <f t="shared" si="8"/>
        <v>3.3369963369963358</v>
      </c>
      <c r="F94" s="449">
        <f t="shared" si="9"/>
        <v>3.4658550504089773E-2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2.7857142857142856</v>
      </c>
      <c r="D95" s="466">
        <f>IF(LN_IC4=0,0,LN_IC11/LN_IC4)</f>
        <v>3.0625</v>
      </c>
      <c r="E95" s="466">
        <f t="shared" si="8"/>
        <v>0.27678571428571441</v>
      </c>
      <c r="F95" s="449">
        <f t="shared" si="9"/>
        <v>9.9358974358974408E-2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4287134</v>
      </c>
      <c r="D98" s="448">
        <v>4026998</v>
      </c>
      <c r="E98" s="448">
        <f t="shared" ref="E98:E106" si="10">D98-C98</f>
        <v>-260136</v>
      </c>
      <c r="F98" s="449">
        <f t="shared" ref="F98:F106" si="11">IF(C98=0,0,E98/C98)</f>
        <v>-6.0678299302051208E-2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108762</v>
      </c>
      <c r="D99" s="448">
        <v>101392</v>
      </c>
      <c r="E99" s="448">
        <f t="shared" si="10"/>
        <v>-7370</v>
      </c>
      <c r="F99" s="449">
        <f t="shared" si="11"/>
        <v>-6.7762637685956487E-2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2.5369395964763407E-2</v>
      </c>
      <c r="D100" s="453">
        <f>IF(LN_IC14=0,0,LN_IC15/LN_IC14)</f>
        <v>2.5178060679444093E-2</v>
      </c>
      <c r="E100" s="454">
        <f t="shared" si="10"/>
        <v>-1.9133528531931412E-4</v>
      </c>
      <c r="F100" s="449">
        <f t="shared" si="11"/>
        <v>-7.5419724452670273E-3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5.7077692200158436</v>
      </c>
      <c r="D101" s="453">
        <f>IF(LN_IC1=0,0,LN_IC14/LN_IC1)</f>
        <v>5.293763950856178</v>
      </c>
      <c r="E101" s="454">
        <f t="shared" si="10"/>
        <v>-0.41400526915966562</v>
      </c>
      <c r="F101" s="449">
        <f t="shared" si="11"/>
        <v>-7.2533638484864396E-2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319.63507632088726</v>
      </c>
      <c r="D102" s="463">
        <f>LN_IC17*LN_IC4</f>
        <v>254.10066964109654</v>
      </c>
      <c r="E102" s="463">
        <f t="shared" si="10"/>
        <v>-65.53440667979072</v>
      </c>
      <c r="F102" s="449">
        <f t="shared" si="11"/>
        <v>-0.20502883298702668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340.26928850202887</v>
      </c>
      <c r="D103" s="465">
        <f>IF(LN_IC18=0,0,LN_IC15/LN_IC18)</f>
        <v>399.02295473369162</v>
      </c>
      <c r="E103" s="465">
        <f t="shared" si="10"/>
        <v>58.753666231662748</v>
      </c>
      <c r="F103" s="449">
        <f t="shared" si="11"/>
        <v>0.17266814319421728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5072.8013479255733</v>
      </c>
      <c r="D104" s="465">
        <f>LN_IB18-LN_IC19</f>
        <v>5112.2205149454521</v>
      </c>
      <c r="E104" s="465">
        <f t="shared" si="10"/>
        <v>39.419167019878842</v>
      </c>
      <c r="F104" s="449">
        <f t="shared" si="11"/>
        <v>7.770690061813394E-3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3867.7305895194786</v>
      </c>
      <c r="D105" s="465">
        <f>LN_IA16-LN_IC19</f>
        <v>3803.2296654470915</v>
      </c>
      <c r="E105" s="465">
        <f t="shared" si="10"/>
        <v>-64.500924072387079</v>
      </c>
      <c r="F105" s="449">
        <f t="shared" si="11"/>
        <v>-1.6676684836107104E-2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1236262.3621696888</v>
      </c>
      <c r="D106" s="448">
        <f>LN_IC21*LN_IC18</f>
        <v>966403.2047889895</v>
      </c>
      <c r="E106" s="448">
        <f t="shared" si="10"/>
        <v>-269859.1573806993</v>
      </c>
      <c r="F106" s="449">
        <f t="shared" si="11"/>
        <v>-0.2182863165930943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5038239</v>
      </c>
      <c r="D109" s="448">
        <f>LN_IC1+LN_IC14</f>
        <v>4787704</v>
      </c>
      <c r="E109" s="448">
        <f>D109-C109</f>
        <v>-250535</v>
      </c>
      <c r="F109" s="449">
        <f>IF(C109=0,0,E109/C109)</f>
        <v>-4.9726700142649051E-2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123782</v>
      </c>
      <c r="D110" s="448">
        <f>LN_IC2+LN_IC15</f>
        <v>116036</v>
      </c>
      <c r="E110" s="448">
        <f>D110-C110</f>
        <v>-7746</v>
      </c>
      <c r="F110" s="449">
        <f>IF(C110=0,0,E110/C110)</f>
        <v>-6.2577757670743722E-2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4914457</v>
      </c>
      <c r="D111" s="448">
        <f>LN_IC23-LN_IC24</f>
        <v>4671668</v>
      </c>
      <c r="E111" s="448">
        <f>D111-C111</f>
        <v>-242789</v>
      </c>
      <c r="F111" s="449">
        <f>IF(C111=0,0,E111/C111)</f>
        <v>-4.9403016447188364E-2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1676505.4663756548</v>
      </c>
      <c r="D113" s="448">
        <f>LN_IC10+LN_IC22</f>
        <v>1371410.4843044723</v>
      </c>
      <c r="E113" s="448">
        <f>D113-C113</f>
        <v>-305094.98207118246</v>
      </c>
      <c r="F113" s="449">
        <f>IF(C113=0,0,E113/C113)</f>
        <v>-0.18198269447385135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10264076</v>
      </c>
      <c r="D118" s="448">
        <v>11232147</v>
      </c>
      <c r="E118" s="448">
        <f t="shared" ref="E118:E130" si="12">D118-C118</f>
        <v>968071</v>
      </c>
      <c r="F118" s="449">
        <f t="shared" ref="F118:F130" si="13">IF(C118=0,0,E118/C118)</f>
        <v>9.4316429457459203E-2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4320933</v>
      </c>
      <c r="D119" s="448">
        <v>4108612</v>
      </c>
      <c r="E119" s="448">
        <f t="shared" si="12"/>
        <v>-212321</v>
      </c>
      <c r="F119" s="449">
        <f t="shared" si="13"/>
        <v>-4.9137767236844453E-2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0.42097632558449488</v>
      </c>
      <c r="D120" s="453">
        <f>IF(LN_ID1=0,0,LN_1D2/LN_ID1)</f>
        <v>0.36579044059875643</v>
      </c>
      <c r="E120" s="454">
        <f t="shared" si="12"/>
        <v>-5.5185884985738454E-2</v>
      </c>
      <c r="F120" s="449">
        <f t="shared" si="13"/>
        <v>-0.13109023389644747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970</v>
      </c>
      <c r="D121" s="456">
        <v>965</v>
      </c>
      <c r="E121" s="456">
        <f t="shared" si="12"/>
        <v>-5</v>
      </c>
      <c r="F121" s="449">
        <f t="shared" si="13"/>
        <v>-5.1546391752577319E-3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0.91642999999999997</v>
      </c>
      <c r="D122" s="459">
        <v>0.96308000000000005</v>
      </c>
      <c r="E122" s="460">
        <f t="shared" si="12"/>
        <v>4.665000000000008E-2</v>
      </c>
      <c r="F122" s="449">
        <f t="shared" si="13"/>
        <v>5.0904051591501895E-2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888.93709999999999</v>
      </c>
      <c r="D123" s="463">
        <f>LN_ID4*LN_ID5</f>
        <v>929.37220000000002</v>
      </c>
      <c r="E123" s="463">
        <f t="shared" si="12"/>
        <v>40.435100000000034</v>
      </c>
      <c r="F123" s="449">
        <f t="shared" si="13"/>
        <v>4.5487020397731219E-2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4860.7859881199693</v>
      </c>
      <c r="D124" s="465">
        <f>IF(LN_ID6=0,0,LN_1D2/LN_ID6)</f>
        <v>4420.8466747768007</v>
      </c>
      <c r="E124" s="465">
        <f t="shared" si="12"/>
        <v>-439.93931334316858</v>
      </c>
      <c r="F124" s="449">
        <f t="shared" si="13"/>
        <v>-9.0507854988556305E-2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3332.065965252481</v>
      </c>
      <c r="D125" s="465">
        <f>LN_IB7-LN_ID7</f>
        <v>3580.7736698426725</v>
      </c>
      <c r="E125" s="465">
        <f t="shared" si="12"/>
        <v>248.7077045901915</v>
      </c>
      <c r="F125" s="449">
        <f t="shared" si="13"/>
        <v>7.4640690545676555E-2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3864.1257822466941</v>
      </c>
      <c r="D126" s="465">
        <f>LN_IA7-LN_ID7</f>
        <v>3604.4286969010873</v>
      </c>
      <c r="E126" s="465">
        <f t="shared" si="12"/>
        <v>-259.69708534560687</v>
      </c>
      <c r="F126" s="449">
        <f t="shared" si="13"/>
        <v>-6.7207202865589136E-2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3434964.7669056077</v>
      </c>
      <c r="D127" s="479">
        <f>LN_ID9*LN_ID6</f>
        <v>3349855.8277820968</v>
      </c>
      <c r="E127" s="479">
        <f t="shared" si="12"/>
        <v>-85108.939123510849</v>
      </c>
      <c r="F127" s="449">
        <f t="shared" si="13"/>
        <v>-2.4777237875479387E-2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3155</v>
      </c>
      <c r="D128" s="456">
        <v>3237</v>
      </c>
      <c r="E128" s="456">
        <f t="shared" si="12"/>
        <v>82</v>
      </c>
      <c r="F128" s="449">
        <f t="shared" si="13"/>
        <v>2.5990491283676705E-2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1369.5508716323297</v>
      </c>
      <c r="D129" s="465">
        <f>IF(LN_ID11=0,0,LN_1D2/LN_ID11)</f>
        <v>1269.2653691689836</v>
      </c>
      <c r="E129" s="465">
        <f t="shared" si="12"/>
        <v>-100.28550246334612</v>
      </c>
      <c r="F129" s="449">
        <f t="shared" si="13"/>
        <v>-7.3225102141564566E-2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3.2525773195876289</v>
      </c>
      <c r="D130" s="466">
        <f>IF(LN_ID4=0,0,LN_ID11/LN_ID4)</f>
        <v>3.3544041450777202</v>
      </c>
      <c r="E130" s="466">
        <f t="shared" si="12"/>
        <v>0.10182682549009137</v>
      </c>
      <c r="F130" s="449">
        <f t="shared" si="13"/>
        <v>3.1306504191882287E-2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31726377</v>
      </c>
      <c r="D133" s="448">
        <v>35458130</v>
      </c>
      <c r="E133" s="448">
        <f t="shared" ref="E133:E141" si="14">D133-C133</f>
        <v>3731753</v>
      </c>
      <c r="F133" s="449">
        <f t="shared" ref="F133:F141" si="15">IF(C133=0,0,E133/C133)</f>
        <v>0.11762304280756672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7607868</v>
      </c>
      <c r="D134" s="448">
        <v>7346857</v>
      </c>
      <c r="E134" s="448">
        <f t="shared" si="14"/>
        <v>-261011</v>
      </c>
      <c r="F134" s="449">
        <f t="shared" si="15"/>
        <v>-3.4308034787144046E-2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0.23979630576791042</v>
      </c>
      <c r="D135" s="453">
        <f>IF(LN_ID14=0,0,LN_ID15/LN_ID14)</f>
        <v>0.20719809533102845</v>
      </c>
      <c r="E135" s="454">
        <f t="shared" si="14"/>
        <v>-3.2598210436881964E-2</v>
      </c>
      <c r="F135" s="449">
        <f t="shared" si="15"/>
        <v>-0.13594125369234217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3.0910115045913535</v>
      </c>
      <c r="D136" s="453">
        <f>IF(LN_ID1=0,0,LN_ID14/LN_ID1)</f>
        <v>3.1568434779210066</v>
      </c>
      <c r="E136" s="454">
        <f t="shared" si="14"/>
        <v>6.5831973329653071E-2</v>
      </c>
      <c r="F136" s="449">
        <f t="shared" si="15"/>
        <v>2.1297873926339972E-2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2998.2811594536129</v>
      </c>
      <c r="D137" s="463">
        <f>LN_ID17*LN_ID4</f>
        <v>3046.3539561937714</v>
      </c>
      <c r="E137" s="463">
        <f t="shared" si="14"/>
        <v>48.072796740158537</v>
      </c>
      <c r="F137" s="449">
        <f t="shared" si="15"/>
        <v>1.6033451895791858E-2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2537.4098009495574</v>
      </c>
      <c r="D138" s="465">
        <f>IF(LN_ID18=0,0,LN_ID15/LN_ID18)</f>
        <v>2411.6885646405444</v>
      </c>
      <c r="E138" s="465">
        <f t="shared" si="14"/>
        <v>-125.72123630901297</v>
      </c>
      <c r="F138" s="449">
        <f t="shared" si="15"/>
        <v>-4.9547076022944808E-2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2875.6608354780446</v>
      </c>
      <c r="D139" s="465">
        <f>LN_IB18-LN_ID19</f>
        <v>3099.5549050385989</v>
      </c>
      <c r="E139" s="465">
        <f t="shared" si="14"/>
        <v>223.89406956055427</v>
      </c>
      <c r="F139" s="449">
        <f t="shared" si="15"/>
        <v>7.7858301924306914E-2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1670.59007707195</v>
      </c>
      <c r="D140" s="465">
        <f>LN_IA16-LN_ID19</f>
        <v>1790.5640555402388</v>
      </c>
      <c r="E140" s="465">
        <f t="shared" si="14"/>
        <v>119.97397846828881</v>
      </c>
      <c r="F140" s="449">
        <f t="shared" si="15"/>
        <v>7.1815330472073488E-2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5008898.7532549864</v>
      </c>
      <c r="D141" s="441">
        <f>LN_ID21*LN_ID18</f>
        <v>5454691.8944133706</v>
      </c>
      <c r="E141" s="441">
        <f t="shared" si="14"/>
        <v>445793.14115838427</v>
      </c>
      <c r="F141" s="449">
        <f t="shared" si="15"/>
        <v>8.9000230014369866E-2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41990453</v>
      </c>
      <c r="D144" s="448">
        <f>LN_ID1+LN_ID14</f>
        <v>46690277</v>
      </c>
      <c r="E144" s="448">
        <f>D144-C144</f>
        <v>4699824</v>
      </c>
      <c r="F144" s="449">
        <f>IF(C144=0,0,E144/C144)</f>
        <v>0.1119260132773514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11928801</v>
      </c>
      <c r="D145" s="448">
        <f>LN_1D2+LN_ID15</f>
        <v>11455469</v>
      </c>
      <c r="E145" s="448">
        <f>D145-C145</f>
        <v>-473332</v>
      </c>
      <c r="F145" s="449">
        <f>IF(C145=0,0,E145/C145)</f>
        <v>-3.9679763288867007E-2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30061652</v>
      </c>
      <c r="D146" s="448">
        <f>LN_ID23-LN_ID24</f>
        <v>35234808</v>
      </c>
      <c r="E146" s="448">
        <f>D146-C146</f>
        <v>5173156</v>
      </c>
      <c r="F146" s="449">
        <f>IF(C146=0,0,E146/C146)</f>
        <v>0.17208488741736483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8443863.5201605931</v>
      </c>
      <c r="D148" s="448">
        <f>LN_ID10+LN_ID22</f>
        <v>8804547.722195467</v>
      </c>
      <c r="E148" s="448">
        <f>D148-C148</f>
        <v>360684.20203487389</v>
      </c>
      <c r="F148" s="503">
        <f>IF(C148=0,0,E148/C148)</f>
        <v>4.2715541431206608E-2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181321</v>
      </c>
      <c r="D153" s="448">
        <v>582134</v>
      </c>
      <c r="E153" s="448">
        <f t="shared" ref="E153:E165" si="16">D153-C153</f>
        <v>400813</v>
      </c>
      <c r="F153" s="449">
        <f t="shared" ref="F153:F165" si="17">IF(C153=0,0,E153/C153)</f>
        <v>2.2105161564297573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43905</v>
      </c>
      <c r="D154" s="448">
        <v>88061</v>
      </c>
      <c r="E154" s="448">
        <f t="shared" si="16"/>
        <v>44156</v>
      </c>
      <c r="F154" s="449">
        <f t="shared" si="17"/>
        <v>1.0057168887370458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0.2421396308204786</v>
      </c>
      <c r="D155" s="453">
        <f>IF(LN_IE1=0,0,LN_IE2/LN_IE1)</f>
        <v>0.15127273102069283</v>
      </c>
      <c r="E155" s="454">
        <f t="shared" si="16"/>
        <v>-9.0866899799785766E-2</v>
      </c>
      <c r="F155" s="449">
        <f t="shared" si="17"/>
        <v>-0.37526653316471825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15</v>
      </c>
      <c r="D156" s="506">
        <v>18</v>
      </c>
      <c r="E156" s="506">
        <f t="shared" si="16"/>
        <v>3</v>
      </c>
      <c r="F156" s="449">
        <f t="shared" si="17"/>
        <v>0.2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1.0662400000000001</v>
      </c>
      <c r="D157" s="459">
        <v>2.0843099999999999</v>
      </c>
      <c r="E157" s="460">
        <f t="shared" si="16"/>
        <v>1.0180699999999998</v>
      </c>
      <c r="F157" s="449">
        <f t="shared" si="17"/>
        <v>0.95482255402160843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15.993600000000001</v>
      </c>
      <c r="D158" s="463">
        <f>LN_IE4*LN_IE5</f>
        <v>37.517579999999995</v>
      </c>
      <c r="E158" s="463">
        <f t="shared" si="16"/>
        <v>21.523979999999995</v>
      </c>
      <c r="F158" s="449">
        <f t="shared" si="17"/>
        <v>1.34578706482593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2745.16056422569</v>
      </c>
      <c r="D159" s="465">
        <f>IF(LN_IE6=0,0,LN_IE2/LN_IE6)</f>
        <v>2347.1929692693402</v>
      </c>
      <c r="E159" s="465">
        <f t="shared" si="16"/>
        <v>-397.96759495634979</v>
      </c>
      <c r="F159" s="449">
        <f t="shared" si="17"/>
        <v>-0.14497060760036162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5447.6913891467602</v>
      </c>
      <c r="D160" s="465">
        <f>LN_IB7-LN_IE7</f>
        <v>5654.4273753501329</v>
      </c>
      <c r="E160" s="465">
        <f t="shared" si="16"/>
        <v>206.7359862033727</v>
      </c>
      <c r="F160" s="449">
        <f t="shared" si="17"/>
        <v>3.7949283730580881E-2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5979.7512061409734</v>
      </c>
      <c r="D161" s="465">
        <f>LN_IA7-LN_IE7</f>
        <v>5678.0824024085478</v>
      </c>
      <c r="E161" s="465">
        <f t="shared" si="16"/>
        <v>-301.66880373242566</v>
      </c>
      <c r="F161" s="449">
        <f t="shared" si="17"/>
        <v>-5.0448387120625264E-2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95637.74889053627</v>
      </c>
      <c r="D162" s="479">
        <f>LN_IE9*LN_IE6</f>
        <v>213027.91077895486</v>
      </c>
      <c r="E162" s="479">
        <f t="shared" si="16"/>
        <v>117390.16188841859</v>
      </c>
      <c r="F162" s="449">
        <f t="shared" si="17"/>
        <v>1.2274458908770363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47</v>
      </c>
      <c r="D163" s="456">
        <v>151</v>
      </c>
      <c r="E163" s="506">
        <f t="shared" si="16"/>
        <v>104</v>
      </c>
      <c r="F163" s="449">
        <f t="shared" si="17"/>
        <v>2.2127659574468086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934.14893617021278</v>
      </c>
      <c r="D164" s="465">
        <f>IF(LN_IE11=0,0,LN_IE2/LN_IE11)</f>
        <v>583.18543046357615</v>
      </c>
      <c r="E164" s="465">
        <f t="shared" si="16"/>
        <v>-350.96350570663662</v>
      </c>
      <c r="F164" s="449">
        <f t="shared" si="17"/>
        <v>-0.37570401476396587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3.1333333333333333</v>
      </c>
      <c r="D165" s="466">
        <f>IF(LN_IE4=0,0,LN_IE11/LN_IE4)</f>
        <v>8.3888888888888893</v>
      </c>
      <c r="E165" s="466">
        <f t="shared" si="16"/>
        <v>5.2555555555555564</v>
      </c>
      <c r="F165" s="449">
        <f t="shared" si="17"/>
        <v>1.6773049645390075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258122</v>
      </c>
      <c r="D168" s="511">
        <v>295955</v>
      </c>
      <c r="E168" s="511">
        <f t="shared" ref="E168:E176" si="18">D168-C168</f>
        <v>37833</v>
      </c>
      <c r="F168" s="449">
        <f t="shared" ref="F168:F176" si="19">IF(C168=0,0,E168/C168)</f>
        <v>0.14657022648205112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30210</v>
      </c>
      <c r="D169" s="511">
        <v>34562</v>
      </c>
      <c r="E169" s="511">
        <f t="shared" si="18"/>
        <v>4352</v>
      </c>
      <c r="F169" s="449">
        <f t="shared" si="19"/>
        <v>0.14405825885468387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0.11703767985681189</v>
      </c>
      <c r="D170" s="453">
        <f>IF(LN_IE14=0,0,LN_IE15/LN_IE14)</f>
        <v>0.1167812674224122</v>
      </c>
      <c r="E170" s="454">
        <f t="shared" si="18"/>
        <v>-2.564124343996943E-4</v>
      </c>
      <c r="F170" s="449">
        <f t="shared" si="19"/>
        <v>-2.1908537038105892E-3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1.4235637350334489</v>
      </c>
      <c r="D171" s="453">
        <f>IF(LN_IE1=0,0,LN_IE14/LN_IE1)</f>
        <v>0.50839669217053118</v>
      </c>
      <c r="E171" s="454">
        <f t="shared" si="18"/>
        <v>-0.91516704286291772</v>
      </c>
      <c r="F171" s="449">
        <f t="shared" si="19"/>
        <v>-0.64287043870319893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21.353456025501735</v>
      </c>
      <c r="D172" s="463">
        <f>LN_IE17*LN_IE4</f>
        <v>9.1511404590695609</v>
      </c>
      <c r="E172" s="463">
        <f t="shared" si="18"/>
        <v>-12.202315566432175</v>
      </c>
      <c r="F172" s="449">
        <f t="shared" si="19"/>
        <v>-0.57144452644383881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1414.7592766211326</v>
      </c>
      <c r="D173" s="465">
        <f>IF(LN_IE18=0,0,LN_IE15/LN_IE18)</f>
        <v>3776.7970183154725</v>
      </c>
      <c r="E173" s="465">
        <f t="shared" si="18"/>
        <v>2362.0377416943402</v>
      </c>
      <c r="F173" s="449">
        <f t="shared" si="19"/>
        <v>1.6695686543477497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3998.3113598064692</v>
      </c>
      <c r="D174" s="465">
        <f>LN_IB18-LN_IE19</f>
        <v>1734.4464513636708</v>
      </c>
      <c r="E174" s="465">
        <f t="shared" si="18"/>
        <v>-2263.8649084427984</v>
      </c>
      <c r="F174" s="449">
        <f t="shared" si="19"/>
        <v>-0.56620525634911445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2793.2406014003745</v>
      </c>
      <c r="D175" s="465">
        <f>LN_IA16-LN_IE19</f>
        <v>425.45560186531065</v>
      </c>
      <c r="E175" s="465">
        <f t="shared" si="18"/>
        <v>-2367.7849995350639</v>
      </c>
      <c r="F175" s="449">
        <f t="shared" si="19"/>
        <v>-0.84768386881817093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59645.340350648919</v>
      </c>
      <c r="D176" s="441">
        <f>LN_IE21*LN_IE18</f>
        <v>3893.4039717674355</v>
      </c>
      <c r="E176" s="441">
        <f t="shared" si="18"/>
        <v>-55751.936378881481</v>
      </c>
      <c r="F176" s="449">
        <f t="shared" si="19"/>
        <v>-0.93472408827112885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439443</v>
      </c>
      <c r="D179" s="448">
        <f>LN_IE1+LN_IE14</f>
        <v>878089</v>
      </c>
      <c r="E179" s="448">
        <f>D179-C179</f>
        <v>438646</v>
      </c>
      <c r="F179" s="449">
        <f>IF(C179=0,0,E179/C179)</f>
        <v>0.9981863404355058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74115</v>
      </c>
      <c r="D180" s="448">
        <f>LN_IE15+LN_IE2</f>
        <v>122623</v>
      </c>
      <c r="E180" s="448">
        <f>D180-C180</f>
        <v>48508</v>
      </c>
      <c r="F180" s="449">
        <f>IF(C180=0,0,E180/C180)</f>
        <v>0.65449639074411392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365328</v>
      </c>
      <c r="D181" s="448">
        <f>LN_IE23-LN_IE24</f>
        <v>755466</v>
      </c>
      <c r="E181" s="448">
        <f>D181-C181</f>
        <v>390138</v>
      </c>
      <c r="F181" s="449">
        <f>IF(C181=0,0,E181/C181)</f>
        <v>1.067911575351465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155283.0892411852</v>
      </c>
      <c r="D183" s="448">
        <f>LN_IE10+LN_IE22</f>
        <v>216921.31475072229</v>
      </c>
      <c r="E183" s="441">
        <f>D183-C183</f>
        <v>61638.225509537093</v>
      </c>
      <c r="F183" s="449">
        <f>IF(C183=0,0,E183/C183)</f>
        <v>0.39694100504273711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10445397</v>
      </c>
      <c r="D188" s="448">
        <f>LN_ID1+LN_IE1</f>
        <v>11814281</v>
      </c>
      <c r="E188" s="448">
        <f t="shared" ref="E188:E200" si="20">D188-C188</f>
        <v>1368884</v>
      </c>
      <c r="F188" s="449">
        <f t="shared" ref="F188:F200" si="21">IF(C188=0,0,E188/C188)</f>
        <v>0.13105140953474531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4364838</v>
      </c>
      <c r="D189" s="448">
        <f>LN_1D2+LN_IE2</f>
        <v>4196673</v>
      </c>
      <c r="E189" s="448">
        <f t="shared" si="20"/>
        <v>-168165</v>
      </c>
      <c r="F189" s="449">
        <f t="shared" si="21"/>
        <v>-3.85272030714542E-2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0.4178719104692718</v>
      </c>
      <c r="D190" s="453">
        <f>IF(LN_IF1=0,0,LN_IF2/LN_IF1)</f>
        <v>0.35522034730678914</v>
      </c>
      <c r="E190" s="454">
        <f t="shared" si="20"/>
        <v>-6.265156316248266E-2</v>
      </c>
      <c r="F190" s="449">
        <f t="shared" si="21"/>
        <v>-0.14993006611074841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985</v>
      </c>
      <c r="D191" s="456">
        <f>LN_ID4+LN_IE4</f>
        <v>983</v>
      </c>
      <c r="E191" s="456">
        <f t="shared" si="20"/>
        <v>-2</v>
      </c>
      <c r="F191" s="449">
        <f t="shared" si="21"/>
        <v>-2.0304568527918783E-3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0.9187113705583756</v>
      </c>
      <c r="D192" s="459">
        <f>IF((LN_ID4+LN_IE4)=0,0,(LN_ID6+LN_IE6)/(LN_ID4+LN_IE4))</f>
        <v>0.9836111698880976</v>
      </c>
      <c r="E192" s="460">
        <f t="shared" si="20"/>
        <v>6.4899799329722008E-2</v>
      </c>
      <c r="F192" s="449">
        <f t="shared" si="21"/>
        <v>7.0642207563271067E-2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904.9307</v>
      </c>
      <c r="D193" s="463">
        <f>LN_IF4*LN_IF5</f>
        <v>966.88977999999997</v>
      </c>
      <c r="E193" s="463">
        <f t="shared" si="20"/>
        <v>61.959079999999972</v>
      </c>
      <c r="F193" s="449">
        <f t="shared" si="21"/>
        <v>6.8468314756035986E-2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4823.3947638200361</v>
      </c>
      <c r="D194" s="465">
        <f>IF(LN_IF6=0,0,LN_IF2/LN_IF6)</f>
        <v>4340.3840714915823</v>
      </c>
      <c r="E194" s="465">
        <f t="shared" si="20"/>
        <v>-483.01069232845384</v>
      </c>
      <c r="F194" s="449">
        <f t="shared" si="21"/>
        <v>-0.10013915841006525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3369.4571895524141</v>
      </c>
      <c r="D195" s="465">
        <f>LN_IB7-LN_IF7</f>
        <v>3661.2362731278909</v>
      </c>
      <c r="E195" s="465">
        <f t="shared" si="20"/>
        <v>291.77908357547676</v>
      </c>
      <c r="F195" s="449">
        <f t="shared" si="21"/>
        <v>8.6595278456182312E-2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3901.5170065466273</v>
      </c>
      <c r="D196" s="465">
        <f>LN_IA7-LN_IF7</f>
        <v>3684.8913001863057</v>
      </c>
      <c r="E196" s="465">
        <f t="shared" si="20"/>
        <v>-216.6257063603216</v>
      </c>
      <c r="F196" s="449">
        <f t="shared" si="21"/>
        <v>-5.5523455619142563E-2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3530602.515796144</v>
      </c>
      <c r="D197" s="479">
        <f>LN_IF9*LN_IF6</f>
        <v>3562883.738561051</v>
      </c>
      <c r="E197" s="479">
        <f t="shared" si="20"/>
        <v>32281.222764906939</v>
      </c>
      <c r="F197" s="449">
        <f t="shared" si="21"/>
        <v>9.143261701219171E-3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3202</v>
      </c>
      <c r="D198" s="456">
        <f>LN_ID11+LN_IE11</f>
        <v>3388</v>
      </c>
      <c r="E198" s="456">
        <f t="shared" si="20"/>
        <v>186</v>
      </c>
      <c r="F198" s="449">
        <f t="shared" si="21"/>
        <v>5.8088694565896312E-2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1363.159900062461</v>
      </c>
      <c r="D199" s="519">
        <f>IF(LN_IF11=0,0,LN_IF2/LN_IF11)</f>
        <v>1238.6874262101535</v>
      </c>
      <c r="E199" s="519">
        <f t="shared" si="20"/>
        <v>-124.47247385230753</v>
      </c>
      <c r="F199" s="449">
        <f t="shared" si="21"/>
        <v>-9.1311719077566841E-2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3.2507614213197971</v>
      </c>
      <c r="D200" s="466">
        <f>IF(LN_IF4=0,0,LN_IF11/LN_IF4)</f>
        <v>3.4465920651068158</v>
      </c>
      <c r="E200" s="466">
        <f t="shared" si="20"/>
        <v>0.19583064378701875</v>
      </c>
      <c r="F200" s="449">
        <f t="shared" si="21"/>
        <v>6.0241469122490149E-2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31984499</v>
      </c>
      <c r="D203" s="448">
        <f>LN_ID14+LN_IE14</f>
        <v>35754085</v>
      </c>
      <c r="E203" s="448">
        <f t="shared" ref="E203:E211" si="22">D203-C203</f>
        <v>3769586</v>
      </c>
      <c r="F203" s="449">
        <f t="shared" ref="F203:F211" si="23">IF(C203=0,0,E203/C203)</f>
        <v>0.11785665299931695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7638078</v>
      </c>
      <c r="D204" s="448">
        <f>LN_ID15+LN_IE15</f>
        <v>7381419</v>
      </c>
      <c r="E204" s="448">
        <f t="shared" si="22"/>
        <v>-256659</v>
      </c>
      <c r="F204" s="449">
        <f t="shared" si="23"/>
        <v>-3.3602563367381169E-2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0.2388056164331353</v>
      </c>
      <c r="D205" s="453">
        <f>IF(LN_IF14=0,0,LN_IF15/LN_IF14)</f>
        <v>0.20644966861828515</v>
      </c>
      <c r="E205" s="454">
        <f t="shared" si="22"/>
        <v>-3.2355947814850156E-2</v>
      </c>
      <c r="F205" s="449">
        <f t="shared" si="23"/>
        <v>-0.13549073216169397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3.0620663819670999</v>
      </c>
      <c r="D206" s="453">
        <f>IF(LN_IF1=0,0,LN_IF14/LN_IF1)</f>
        <v>3.0263445570661474</v>
      </c>
      <c r="E206" s="454">
        <f t="shared" si="22"/>
        <v>-3.5721824900952548E-2</v>
      </c>
      <c r="F206" s="449">
        <f t="shared" si="23"/>
        <v>-1.1665921128073166E-2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3019.6346154791145</v>
      </c>
      <c r="D207" s="463">
        <f>LN_ID18+LN_IE18</f>
        <v>3055.5050966528411</v>
      </c>
      <c r="E207" s="463">
        <f t="shared" si="22"/>
        <v>35.870481173726603</v>
      </c>
      <c r="F207" s="449">
        <f t="shared" si="23"/>
        <v>1.1879080001881341E-2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2529.4709369292664</v>
      </c>
      <c r="D208" s="465">
        <f>IF(LN_IF18=0,0,LN_IF15/LN_IF18)</f>
        <v>2415.7770209861505</v>
      </c>
      <c r="E208" s="465">
        <f t="shared" si="22"/>
        <v>-113.69391594311583</v>
      </c>
      <c r="F208" s="449">
        <f t="shared" si="23"/>
        <v>-4.4947705974095226E-2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2883.5996994983357</v>
      </c>
      <c r="D209" s="465">
        <f>LN_IB18-LN_IF19</f>
        <v>3095.4664486929928</v>
      </c>
      <c r="E209" s="465">
        <f t="shared" si="22"/>
        <v>211.86674919465713</v>
      </c>
      <c r="F209" s="449">
        <f t="shared" si="23"/>
        <v>7.3473009874260947E-2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1678.528941092241</v>
      </c>
      <c r="D210" s="465">
        <f>LN_IA16-LN_IF19</f>
        <v>1786.4755991946327</v>
      </c>
      <c r="E210" s="465">
        <f t="shared" si="22"/>
        <v>107.94665810239167</v>
      </c>
      <c r="F210" s="449">
        <f t="shared" si="23"/>
        <v>6.4310275181879997E-2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5068544.0936056357</v>
      </c>
      <c r="D211" s="441">
        <f>LN_IF21*LN_IF18</f>
        <v>5458585.2983851386</v>
      </c>
      <c r="E211" s="441">
        <f t="shared" si="22"/>
        <v>390041.20477950294</v>
      </c>
      <c r="F211" s="449">
        <f t="shared" si="23"/>
        <v>7.6953302087589687E-2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42429896</v>
      </c>
      <c r="D214" s="448">
        <f>LN_IF1+LN_IF14</f>
        <v>47568366</v>
      </c>
      <c r="E214" s="448">
        <f>D214-C214</f>
        <v>5138470</v>
      </c>
      <c r="F214" s="449">
        <f>IF(C214=0,0,E214/C214)</f>
        <v>0.12110493978113922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12002916</v>
      </c>
      <c r="D215" s="448">
        <f>LN_IF2+LN_IF15</f>
        <v>11578092</v>
      </c>
      <c r="E215" s="448">
        <f>D215-C215</f>
        <v>-424824</v>
      </c>
      <c r="F215" s="449">
        <f>IF(C215=0,0,E215/C215)</f>
        <v>-3.5393399403944842E-2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30426980</v>
      </c>
      <c r="D216" s="448">
        <f>LN_IF23-LN_IF24</f>
        <v>35990274</v>
      </c>
      <c r="E216" s="448">
        <f>D216-C216</f>
        <v>5563294</v>
      </c>
      <c r="F216" s="449">
        <f>IF(C216=0,0,E216/C216)</f>
        <v>0.18284082087673506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211837</v>
      </c>
      <c r="D221" s="448">
        <v>123913</v>
      </c>
      <c r="E221" s="448">
        <f t="shared" ref="E221:E230" si="24">D221-C221</f>
        <v>-87924</v>
      </c>
      <c r="F221" s="449">
        <f t="shared" ref="F221:F230" si="25">IF(C221=0,0,E221/C221)</f>
        <v>-0.4150549715111147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80646</v>
      </c>
      <c r="D222" s="448">
        <v>64966</v>
      </c>
      <c r="E222" s="448">
        <f t="shared" si="24"/>
        <v>-15680</v>
      </c>
      <c r="F222" s="449">
        <f t="shared" si="25"/>
        <v>-0.19442997792822955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0.38069836714077332</v>
      </c>
      <c r="D223" s="453">
        <f>IF(LN_IG1=0,0,LN_IG2/LN_IG1)</f>
        <v>0.52428720150428121</v>
      </c>
      <c r="E223" s="454">
        <f t="shared" si="24"/>
        <v>0.14358883436350789</v>
      </c>
      <c r="F223" s="449">
        <f t="shared" si="25"/>
        <v>0.37717218343206632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17</v>
      </c>
      <c r="D224" s="456">
        <v>18</v>
      </c>
      <c r="E224" s="456">
        <f t="shared" si="24"/>
        <v>1</v>
      </c>
      <c r="F224" s="449">
        <f t="shared" si="25"/>
        <v>5.8823529411764705E-2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0.94452999999999998</v>
      </c>
      <c r="D225" s="459">
        <v>0.83611999999999997</v>
      </c>
      <c r="E225" s="460">
        <f t="shared" si="24"/>
        <v>-0.10841000000000001</v>
      </c>
      <c r="F225" s="449">
        <f t="shared" si="25"/>
        <v>-0.11477666140831949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16.057009999999998</v>
      </c>
      <c r="D226" s="463">
        <f>LN_IG3*LN_IG4</f>
        <v>15.05016</v>
      </c>
      <c r="E226" s="463">
        <f t="shared" si="24"/>
        <v>-1.0068499999999982</v>
      </c>
      <c r="F226" s="449">
        <f t="shared" si="25"/>
        <v>-6.2704700314691109E-2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5022.479278520721</v>
      </c>
      <c r="D227" s="465">
        <f>IF(LN_IG5=0,0,LN_IG2/LN_IG5)</f>
        <v>4316.6318497610655</v>
      </c>
      <c r="E227" s="465">
        <f t="shared" si="24"/>
        <v>-705.84742875965549</v>
      </c>
      <c r="F227" s="449">
        <f t="shared" si="25"/>
        <v>-0.14053764876209701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66</v>
      </c>
      <c r="D228" s="456">
        <v>37</v>
      </c>
      <c r="E228" s="456">
        <f t="shared" si="24"/>
        <v>-29</v>
      </c>
      <c r="F228" s="449">
        <f t="shared" si="25"/>
        <v>-0.43939393939393939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1221.909090909091</v>
      </c>
      <c r="D229" s="465">
        <f>IF(LN_IG6=0,0,LN_IG2/LN_IG6)</f>
        <v>1755.8378378378379</v>
      </c>
      <c r="E229" s="465">
        <f t="shared" si="24"/>
        <v>533.92874692874693</v>
      </c>
      <c r="F229" s="449">
        <f t="shared" si="25"/>
        <v>0.4369627420739689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3.8823529411764706</v>
      </c>
      <c r="D230" s="466">
        <f>IF(LN_IG3=0,0,LN_IG6/LN_IG3)</f>
        <v>2.0555555555555554</v>
      </c>
      <c r="E230" s="466">
        <f t="shared" si="24"/>
        <v>-1.8267973856209152</v>
      </c>
      <c r="F230" s="449">
        <f t="shared" si="25"/>
        <v>-0.47053872053872059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459513</v>
      </c>
      <c r="D233" s="448">
        <v>409389</v>
      </c>
      <c r="E233" s="448">
        <f>D233-C233</f>
        <v>-50124</v>
      </c>
      <c r="F233" s="449">
        <f>IF(C233=0,0,E233/C233)</f>
        <v>-0.1090807006548237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115885</v>
      </c>
      <c r="D234" s="448">
        <v>89032</v>
      </c>
      <c r="E234" s="448">
        <f>D234-C234</f>
        <v>-26853</v>
      </c>
      <c r="F234" s="449">
        <f>IF(C234=0,0,E234/C234)</f>
        <v>-0.23172110281744834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671350</v>
      </c>
      <c r="D237" s="448">
        <f>LN_IG1+LN_IG9</f>
        <v>533302</v>
      </c>
      <c r="E237" s="448">
        <f>D237-C237</f>
        <v>-138048</v>
      </c>
      <c r="F237" s="449">
        <f>IF(C237=0,0,E237/C237)</f>
        <v>-0.2056274670440158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196531</v>
      </c>
      <c r="D238" s="448">
        <f>LN_IG2+LN_IG10</f>
        <v>153998</v>
      </c>
      <c r="E238" s="448">
        <f>D238-C238</f>
        <v>-42533</v>
      </c>
      <c r="F238" s="449">
        <f>IF(C238=0,0,E238/C238)</f>
        <v>-0.21641878380509946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474819</v>
      </c>
      <c r="D239" s="448">
        <f>LN_IG13-LN_IG14</f>
        <v>379304</v>
      </c>
      <c r="E239" s="448">
        <f>D239-C239</f>
        <v>-95515</v>
      </c>
      <c r="F239" s="449">
        <f>IF(C239=0,0,E239/C239)</f>
        <v>-0.20116086340268607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5761698</v>
      </c>
      <c r="D243" s="448">
        <v>5866110</v>
      </c>
      <c r="E243" s="441">
        <f>D243-C243</f>
        <v>104412</v>
      </c>
      <c r="F243" s="503">
        <f>IF(C243=0,0,E243/C243)</f>
        <v>1.8121741195043544E-2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96450117</v>
      </c>
      <c r="D244" s="448">
        <v>91367918</v>
      </c>
      <c r="E244" s="441">
        <f>D244-C244</f>
        <v>-5082199</v>
      </c>
      <c r="F244" s="503">
        <f>IF(C244=0,0,E244/C244)</f>
        <v>-5.2692512545111793E-2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3573641</v>
      </c>
      <c r="D248" s="441">
        <v>2699812</v>
      </c>
      <c r="E248" s="441">
        <f>D248-C248</f>
        <v>-873829</v>
      </c>
      <c r="F248" s="449">
        <f>IF(C248=0,0,E248/C248)</f>
        <v>-0.2445206443512373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3254865</v>
      </c>
      <c r="D249" s="441">
        <v>4240640</v>
      </c>
      <c r="E249" s="441">
        <f>D249-C249</f>
        <v>985775</v>
      </c>
      <c r="F249" s="449">
        <f>IF(C249=0,0,E249/C249)</f>
        <v>0.30286202346333874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6828506</v>
      </c>
      <c r="D250" s="441">
        <f>LN_IH4+LN_IH5</f>
        <v>6940452</v>
      </c>
      <c r="E250" s="441">
        <f>D250-C250</f>
        <v>111946</v>
      </c>
      <c r="F250" s="449">
        <f>IF(C250=0,0,E250/C250)</f>
        <v>1.639392277022236E-2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2843023.8060446591</v>
      </c>
      <c r="D251" s="441">
        <f>LN_IH6*LN_III10</f>
        <v>2664760.853698072</v>
      </c>
      <c r="E251" s="441">
        <f>D251-C251</f>
        <v>-178262.95234658709</v>
      </c>
      <c r="F251" s="449">
        <f>IF(C251=0,0,E251/C251)</f>
        <v>-6.2701885213755706E-2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42429896</v>
      </c>
      <c r="D254" s="441">
        <f>LN_IF23</f>
        <v>47568366</v>
      </c>
      <c r="E254" s="441">
        <f>D254-C254</f>
        <v>5138470</v>
      </c>
      <c r="F254" s="449">
        <f>IF(C254=0,0,E254/C254)</f>
        <v>0.12110493978113922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12002916</v>
      </c>
      <c r="D255" s="441">
        <f>LN_IF24</f>
        <v>11578092</v>
      </c>
      <c r="E255" s="441">
        <f>D255-C255</f>
        <v>-424824</v>
      </c>
      <c r="F255" s="449">
        <f>IF(C255=0,0,E255/C255)</f>
        <v>-3.5393399403944842E-2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17665533.927333307</v>
      </c>
      <c r="D256" s="441">
        <f>LN_IH8*LN_III10</f>
        <v>18263698.040298004</v>
      </c>
      <c r="E256" s="441">
        <f>D256-C256</f>
        <v>598164.11296469718</v>
      </c>
      <c r="F256" s="449">
        <f>IF(C256=0,0,E256/C256)</f>
        <v>3.386051706250312E-2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5662617.9273333065</v>
      </c>
      <c r="D257" s="441">
        <f>LN_IH10-LN_IH9</f>
        <v>6685606.0402980037</v>
      </c>
      <c r="E257" s="441">
        <f>D257-C257</f>
        <v>1022988.1129646972</v>
      </c>
      <c r="F257" s="449">
        <f>IF(C257=0,0,E257/C257)</f>
        <v>0.18065639004651199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68939980</v>
      </c>
      <c r="D261" s="448">
        <f>LN_IA1+LN_IB1+LN_IF1+LN_IG1</f>
        <v>68069832</v>
      </c>
      <c r="E261" s="448">
        <f t="shared" ref="E261:E274" si="26">D261-C261</f>
        <v>-870148</v>
      </c>
      <c r="F261" s="503">
        <f t="shared" ref="F261:F274" si="27">IF(C261=0,0,E261/C261)</f>
        <v>-1.2621819733629165E-2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41642522</v>
      </c>
      <c r="D262" s="448">
        <f>+LN_IA2+LN_IB2+LN_IF2+LN_IG2</f>
        <v>36228009</v>
      </c>
      <c r="E262" s="448">
        <f t="shared" si="26"/>
        <v>-5414513</v>
      </c>
      <c r="F262" s="503">
        <f t="shared" si="27"/>
        <v>-0.13002365706860886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0.60404023906012161</v>
      </c>
      <c r="D263" s="453">
        <f>IF(LN_IIA1=0,0,LN_IIA2/LN_IIA1)</f>
        <v>0.53221828136728766</v>
      </c>
      <c r="E263" s="454">
        <f t="shared" si="26"/>
        <v>-7.1821957692833949E-2</v>
      </c>
      <c r="F263" s="458">
        <f t="shared" si="27"/>
        <v>-0.11890260457579438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4506</v>
      </c>
      <c r="D264" s="456">
        <f>LN_IA4+LN_IB4+LN_IF4+LN_IG3</f>
        <v>4137</v>
      </c>
      <c r="E264" s="456">
        <f t="shared" si="26"/>
        <v>-369</v>
      </c>
      <c r="F264" s="503">
        <f t="shared" si="27"/>
        <v>-8.1890812250332887E-2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1.1657509609409678</v>
      </c>
      <c r="D265" s="525">
        <f>IF(LN_IIA4=0,0,LN_IIA6/LN_IIA4)</f>
        <v>1.2008202175489484</v>
      </c>
      <c r="E265" s="525">
        <f t="shared" si="26"/>
        <v>3.5069256607980659E-2</v>
      </c>
      <c r="F265" s="503">
        <f t="shared" si="27"/>
        <v>3.0082974651527244E-2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5252.8738300000005</v>
      </c>
      <c r="D266" s="463">
        <f>LN_IA6+LN_IB6+LN_IF6+LN_IG5</f>
        <v>4967.79324</v>
      </c>
      <c r="E266" s="463">
        <f t="shared" si="26"/>
        <v>-285.08059000000048</v>
      </c>
      <c r="F266" s="503">
        <f t="shared" si="27"/>
        <v>-5.427135682792527E-2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141210108</v>
      </c>
      <c r="D267" s="448">
        <f>LN_IA11+LN_IB13+LN_IF14+LN_IG9</f>
        <v>137339553</v>
      </c>
      <c r="E267" s="448">
        <f t="shared" si="26"/>
        <v>-3870555</v>
      </c>
      <c r="F267" s="503">
        <f t="shared" si="27"/>
        <v>-2.7409900430074029E-2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2.0483050328706218</v>
      </c>
      <c r="D268" s="453">
        <f>IF(LN_IIA1=0,0,LN_IIA7/LN_IIA1)</f>
        <v>2.0176273242454896</v>
      </c>
      <c r="E268" s="454">
        <f t="shared" si="26"/>
        <v>-3.0677708625132194E-2</v>
      </c>
      <c r="F268" s="458">
        <f t="shared" si="27"/>
        <v>-1.4977119195053946E-2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45262993</v>
      </c>
      <c r="D269" s="448">
        <f>LN_IA12+LN_IB14+LN_IF15+LN_IG10</f>
        <v>40486481</v>
      </c>
      <c r="E269" s="448">
        <f t="shared" si="26"/>
        <v>-4776512</v>
      </c>
      <c r="F269" s="503">
        <f t="shared" si="27"/>
        <v>-0.10552797513854199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0.32053649445548188</v>
      </c>
      <c r="D270" s="453">
        <f>IF(LN_IIA7=0,0,LN_IIA9/LN_IIA7)</f>
        <v>0.29479112255447637</v>
      </c>
      <c r="E270" s="454">
        <f t="shared" si="26"/>
        <v>-2.5745371901005509E-2</v>
      </c>
      <c r="F270" s="458">
        <f t="shared" si="27"/>
        <v>-8.0319627706483168E-2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210150088</v>
      </c>
      <c r="D271" s="441">
        <f>LN_IIA1+LN_IIA7</f>
        <v>205409385</v>
      </c>
      <c r="E271" s="441">
        <f t="shared" si="26"/>
        <v>-4740703</v>
      </c>
      <c r="F271" s="503">
        <f t="shared" si="27"/>
        <v>-2.2558653413459431E-2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86905515</v>
      </c>
      <c r="D272" s="441">
        <f>LN_IIA2+LN_IIA9</f>
        <v>76714490</v>
      </c>
      <c r="E272" s="441">
        <f t="shared" si="26"/>
        <v>-10191025</v>
      </c>
      <c r="F272" s="503">
        <f t="shared" si="27"/>
        <v>-0.11726557284655641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0.41354022654513473</v>
      </c>
      <c r="D273" s="453">
        <f>IF(LN_IIA11=0,0,LN_IIA12/LN_IIA11)</f>
        <v>0.37347120239905301</v>
      </c>
      <c r="E273" s="454">
        <f t="shared" si="26"/>
        <v>-4.0069024146081711E-2</v>
      </c>
      <c r="F273" s="458">
        <f t="shared" si="27"/>
        <v>-9.689268799998707E-2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18673</v>
      </c>
      <c r="D274" s="508">
        <f>LN_IA8+LN_IB10+LN_IF11+LN_IG6</f>
        <v>17355</v>
      </c>
      <c r="E274" s="528">
        <f t="shared" si="26"/>
        <v>-1318</v>
      </c>
      <c r="F274" s="458">
        <f t="shared" si="27"/>
        <v>-7.0583194987414985E-2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53876795</v>
      </c>
      <c r="D277" s="448">
        <f>LN_IA1+LN_IF1+LN_IG1</f>
        <v>55453545</v>
      </c>
      <c r="E277" s="448">
        <f t="shared" ref="E277:E291" si="28">D277-C277</f>
        <v>1576750</v>
      </c>
      <c r="F277" s="503">
        <f t="shared" ref="F277:F291" si="29">IF(C277=0,0,E277/C277)</f>
        <v>2.9265846270179953E-2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32429892</v>
      </c>
      <c r="D278" s="448">
        <f>LN_IA2+LN_IF2+LN_IG2</f>
        <v>29056724</v>
      </c>
      <c r="E278" s="448">
        <f t="shared" si="28"/>
        <v>-3373168</v>
      </c>
      <c r="F278" s="503">
        <f t="shared" si="29"/>
        <v>-0.10401416076254587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0.60192689635677099</v>
      </c>
      <c r="D279" s="453">
        <f>IF(D277=0,0,LN_IIB2/D277)</f>
        <v>0.52398316464709338</v>
      </c>
      <c r="E279" s="454">
        <f t="shared" si="28"/>
        <v>-7.7943731709677611E-2</v>
      </c>
      <c r="F279" s="458">
        <f t="shared" si="29"/>
        <v>-0.12949036200482261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3328</v>
      </c>
      <c r="D280" s="456">
        <f>LN_IA4+LN_IF4+LN_IG3</f>
        <v>3211</v>
      </c>
      <c r="E280" s="456">
        <f t="shared" si="28"/>
        <v>-117</v>
      </c>
      <c r="F280" s="503">
        <f t="shared" si="29"/>
        <v>-3.515625E-2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1.2405054537259619</v>
      </c>
      <c r="D281" s="525">
        <f>IF(LN_IIB4=0,0,LN_IIB6/LN_IIB4)</f>
        <v>1.2680050264715041</v>
      </c>
      <c r="E281" s="525">
        <f t="shared" si="28"/>
        <v>2.7499572745542267E-2</v>
      </c>
      <c r="F281" s="503">
        <f t="shared" si="29"/>
        <v>2.2168038570846264E-2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4128.4021500000008</v>
      </c>
      <c r="D282" s="463">
        <f>LN_IA6+LN_IF6+LN_IG5</f>
        <v>4071.56414</v>
      </c>
      <c r="E282" s="463">
        <f t="shared" si="28"/>
        <v>-56.83801000000085</v>
      </c>
      <c r="F282" s="503">
        <f t="shared" si="29"/>
        <v>-1.3767556535159937E-2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75796428</v>
      </c>
      <c r="D283" s="448">
        <f>LN_IA11+LN_IF14+LN_IG9</f>
        <v>77560867</v>
      </c>
      <c r="E283" s="448">
        <f t="shared" si="28"/>
        <v>1764439</v>
      </c>
      <c r="F283" s="503">
        <f t="shared" si="29"/>
        <v>2.327865635040216E-2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1.4068473820686624</v>
      </c>
      <c r="D284" s="453">
        <f>IF(D277=0,0,LN_IIB7/D277)</f>
        <v>1.3986638185169227</v>
      </c>
      <c r="E284" s="454">
        <f t="shared" si="28"/>
        <v>-8.1835635517397698E-3</v>
      </c>
      <c r="F284" s="458">
        <f t="shared" si="29"/>
        <v>-5.8169518997195418E-3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17571858</v>
      </c>
      <c r="D285" s="448">
        <f>LN_IA12+LN_IF15+LN_IG10</f>
        <v>16305418</v>
      </c>
      <c r="E285" s="448">
        <f t="shared" si="28"/>
        <v>-1266440</v>
      </c>
      <c r="F285" s="503">
        <f t="shared" si="29"/>
        <v>-7.2072059767384872E-2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0.23182963186602937</v>
      </c>
      <c r="D286" s="453">
        <f>IF(LN_IIB7=0,0,LN_IIB9/LN_IIB7)</f>
        <v>0.21022738180582742</v>
      </c>
      <c r="E286" s="454">
        <f t="shared" si="28"/>
        <v>-2.1602250060201944E-2</v>
      </c>
      <c r="F286" s="458">
        <f t="shared" si="29"/>
        <v>-9.3181574272116943E-2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129673223</v>
      </c>
      <c r="D287" s="441">
        <f>D277+LN_IIB7</f>
        <v>133014412</v>
      </c>
      <c r="E287" s="441">
        <f t="shared" si="28"/>
        <v>3341189</v>
      </c>
      <c r="F287" s="503">
        <f t="shared" si="29"/>
        <v>2.5766221604594498E-2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50001750</v>
      </c>
      <c r="D288" s="441">
        <f>LN_IIB2+LN_IIB9</f>
        <v>45362142</v>
      </c>
      <c r="E288" s="441">
        <f t="shared" si="28"/>
        <v>-4639608</v>
      </c>
      <c r="F288" s="503">
        <f t="shared" si="29"/>
        <v>-9.2788912388066414E-2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0.38559811226408708</v>
      </c>
      <c r="D289" s="453">
        <f>IF(LN_IIB11=0,0,LN_IIB12/LN_IIB11)</f>
        <v>0.3410317823304741</v>
      </c>
      <c r="E289" s="454">
        <f t="shared" si="28"/>
        <v>-4.456632993361298E-2</v>
      </c>
      <c r="F289" s="458">
        <f t="shared" si="29"/>
        <v>-0.1155771475952936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15017</v>
      </c>
      <c r="D290" s="508">
        <f>LN_IA8+LN_IF11+LN_IG6</f>
        <v>14479</v>
      </c>
      <c r="E290" s="528">
        <f t="shared" si="28"/>
        <v>-538</v>
      </c>
      <c r="F290" s="458">
        <f t="shared" si="29"/>
        <v>-3.5826063794366383E-2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79671473</v>
      </c>
      <c r="D291" s="516">
        <f>LN_IIB11-LN_IIB12</f>
        <v>87652270</v>
      </c>
      <c r="E291" s="441">
        <f t="shared" si="28"/>
        <v>7980797</v>
      </c>
      <c r="F291" s="503">
        <f t="shared" si="29"/>
        <v>0.10017132481032452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5.05116079105761</v>
      </c>
      <c r="D294" s="466">
        <f>IF(LN_IA4=0,0,LN_IA8/LN_IA4)</f>
        <v>5.0018099547511312</v>
      </c>
      <c r="E294" s="466">
        <f t="shared" ref="E294:E300" si="30">D294-C294</f>
        <v>-4.935083630647874E-2</v>
      </c>
      <c r="F294" s="503">
        <f t="shared" ref="F294:F300" si="31">IF(C294=0,0,E294/C294)</f>
        <v>-9.7701970592279797E-3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3.1035653650254669</v>
      </c>
      <c r="D295" s="466">
        <f>IF(LN_IB4=0,0,(LN_IB10)/(LN_IB4))</f>
        <v>3.1058315334773217</v>
      </c>
      <c r="E295" s="466">
        <f t="shared" si="30"/>
        <v>2.2661684518547887E-3</v>
      </c>
      <c r="F295" s="503">
        <f t="shared" si="31"/>
        <v>7.3018228563592475E-4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2.7857142857142856</v>
      </c>
      <c r="D296" s="466">
        <f>IF(LN_IC4=0,0,LN_IC11/LN_IC4)</f>
        <v>3.0625</v>
      </c>
      <c r="E296" s="466">
        <f t="shared" si="30"/>
        <v>0.27678571428571441</v>
      </c>
      <c r="F296" s="503">
        <f t="shared" si="31"/>
        <v>9.9358974358974408E-2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3.2525773195876289</v>
      </c>
      <c r="D297" s="466">
        <f>IF(LN_ID4=0,0,LN_ID11/LN_ID4)</f>
        <v>3.3544041450777202</v>
      </c>
      <c r="E297" s="466">
        <f t="shared" si="30"/>
        <v>0.10182682549009137</v>
      </c>
      <c r="F297" s="503">
        <f t="shared" si="31"/>
        <v>3.1306504191882287E-2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3.1333333333333333</v>
      </c>
      <c r="D298" s="466">
        <f>IF(LN_IE4=0,0,LN_IE11/LN_IE4)</f>
        <v>8.3888888888888893</v>
      </c>
      <c r="E298" s="466">
        <f t="shared" si="30"/>
        <v>5.2555555555555564</v>
      </c>
      <c r="F298" s="503">
        <f t="shared" si="31"/>
        <v>1.6773049645390075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3.8823529411764706</v>
      </c>
      <c r="D299" s="466">
        <f>IF(LN_IG3=0,0,LN_IG6/LN_IG3)</f>
        <v>2.0555555555555554</v>
      </c>
      <c r="E299" s="466">
        <f t="shared" si="30"/>
        <v>-1.8267973856209152</v>
      </c>
      <c r="F299" s="503">
        <f t="shared" si="31"/>
        <v>-0.47053872053872059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4.1440301819795824</v>
      </c>
      <c r="D300" s="466">
        <f>IF(LN_IIA4=0,0,LN_IIA14/LN_IIA4)</f>
        <v>4.1950688905003624</v>
      </c>
      <c r="E300" s="466">
        <f t="shared" si="30"/>
        <v>5.1038708520779963E-2</v>
      </c>
      <c r="F300" s="503">
        <f t="shared" si="31"/>
        <v>1.2316200963671319E-2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210150088</v>
      </c>
      <c r="D304" s="441">
        <f>LN_IIA11</f>
        <v>205409385</v>
      </c>
      <c r="E304" s="441">
        <f t="shared" ref="E304:E316" si="32">D304-C304</f>
        <v>-4740703</v>
      </c>
      <c r="F304" s="449">
        <f>IF(C304=0,0,E304/C304)</f>
        <v>-2.2558653413459431E-2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79671473</v>
      </c>
      <c r="D305" s="441">
        <f>LN_IIB14</f>
        <v>87652270</v>
      </c>
      <c r="E305" s="441">
        <f t="shared" si="32"/>
        <v>7980797</v>
      </c>
      <c r="F305" s="449">
        <f>IF(C305=0,0,E305/C305)</f>
        <v>0.10017132481032452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6828506</v>
      </c>
      <c r="D306" s="441">
        <f>LN_IH6</f>
        <v>6940452</v>
      </c>
      <c r="E306" s="441">
        <f t="shared" si="32"/>
        <v>111946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36127851</v>
      </c>
      <c r="D307" s="441">
        <f>LN_IB32-LN_IB33</f>
        <v>30781581</v>
      </c>
      <c r="E307" s="441">
        <f t="shared" si="32"/>
        <v>-5346270</v>
      </c>
      <c r="F307" s="449">
        <f t="shared" ref="F307:F316" si="33">IF(C307=0,0,E307/C307)</f>
        <v>-0.14798195442070441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27028</v>
      </c>
      <c r="D308" s="441">
        <v>1168909</v>
      </c>
      <c r="E308" s="441">
        <f t="shared" si="32"/>
        <v>1141881</v>
      </c>
      <c r="F308" s="449">
        <f t="shared" si="33"/>
        <v>42.248076069261508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122654858</v>
      </c>
      <c r="D309" s="441">
        <f>LN_III2+LN_III3+LN_III4+LN_III5</f>
        <v>126543212</v>
      </c>
      <c r="E309" s="441">
        <f t="shared" si="32"/>
        <v>3888354</v>
      </c>
      <c r="F309" s="449">
        <f t="shared" si="33"/>
        <v>3.1701589838373949E-2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87495230</v>
      </c>
      <c r="D310" s="441">
        <f>LN_III1-LN_III6</f>
        <v>78866173</v>
      </c>
      <c r="E310" s="441">
        <f t="shared" si="32"/>
        <v>-8629057</v>
      </c>
      <c r="F310" s="449">
        <f t="shared" si="33"/>
        <v>-9.8623170657417547E-2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87495230</v>
      </c>
      <c r="D312" s="441">
        <f>LN_III7+LN_III8</f>
        <v>78866173</v>
      </c>
      <c r="E312" s="441">
        <f t="shared" si="32"/>
        <v>-8629057</v>
      </c>
      <c r="F312" s="449">
        <f t="shared" si="33"/>
        <v>-9.8623170657417547E-2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0.41634638763510773</v>
      </c>
      <c r="D313" s="532">
        <f>IF(LN_III1=0,0,LN_III9/LN_III1)</f>
        <v>0.38394629826675153</v>
      </c>
      <c r="E313" s="532">
        <f t="shared" si="32"/>
        <v>-3.24000893683562E-2</v>
      </c>
      <c r="F313" s="449">
        <f t="shared" si="33"/>
        <v>-7.7820032383112997E-2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2843023.8060446591</v>
      </c>
      <c r="D314" s="441">
        <f>D313*LN_III5</f>
        <v>2664760.853698072</v>
      </c>
      <c r="E314" s="441">
        <f t="shared" si="32"/>
        <v>-178262.95234658709</v>
      </c>
      <c r="F314" s="449">
        <f t="shared" si="33"/>
        <v>-6.2701885213755706E-2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5662617.9273333065</v>
      </c>
      <c r="D315" s="441">
        <f>D313*LN_IH8-LN_IH9</f>
        <v>6685606.0402980037</v>
      </c>
      <c r="E315" s="441">
        <f t="shared" si="32"/>
        <v>1022988.1129646972</v>
      </c>
      <c r="F315" s="449">
        <f t="shared" si="33"/>
        <v>0.18065639004651199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8505641.7333779652</v>
      </c>
      <c r="D318" s="441">
        <f>D314+D315+D316</f>
        <v>9350366.8939960748</v>
      </c>
      <c r="E318" s="441">
        <f>D318-C318</f>
        <v>844725.16061810963</v>
      </c>
      <c r="F318" s="449">
        <f>IF(C318=0,0,E318/C318)</f>
        <v>9.9313512971423032E-2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5008898.7532549864</v>
      </c>
      <c r="D322" s="441">
        <f>LN_ID22</f>
        <v>5454691.8944133706</v>
      </c>
      <c r="E322" s="441">
        <f>LN_IV2-C322</f>
        <v>445793.14115838427</v>
      </c>
      <c r="F322" s="449">
        <f>IF(C322=0,0,E322/C322)</f>
        <v>8.9000230014369866E-2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155283.0892411852</v>
      </c>
      <c r="D323" s="441">
        <f>LN_IE10+LN_IE22</f>
        <v>216921.31475072229</v>
      </c>
      <c r="E323" s="441">
        <f>LN_IV3-C323</f>
        <v>61638.225509537093</v>
      </c>
      <c r="F323" s="449">
        <f>IF(C323=0,0,E323/C323)</f>
        <v>0.39694100504273711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1676505.4663756548</v>
      </c>
      <c r="D324" s="441">
        <f>LN_IC10+LN_IC22</f>
        <v>1371410.4843044723</v>
      </c>
      <c r="E324" s="441">
        <f>LN_IV1-C324</f>
        <v>-305094.98207118246</v>
      </c>
      <c r="F324" s="449">
        <f>IF(C324=0,0,E324/C324)</f>
        <v>-0.18198269447385135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6840687.3088718262</v>
      </c>
      <c r="D325" s="516">
        <f>LN_IV1+LN_IV2+LN_IV3</f>
        <v>7043023.6934685661</v>
      </c>
      <c r="E325" s="441">
        <f>LN_IV4-C325</f>
        <v>202336.3845967399</v>
      </c>
      <c r="F325" s="449">
        <f>IF(C325=0,0,E325/C325)</f>
        <v>2.9578370631606819E-2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49956</v>
      </c>
      <c r="D329" s="518">
        <v>3159164</v>
      </c>
      <c r="E329" s="518">
        <f t="shared" ref="E329:E335" si="34">D329-C329</f>
        <v>3109208</v>
      </c>
      <c r="F329" s="542">
        <f t="shared" ref="F329:F335" si="35">IF(C329=0,0,E329/C329)</f>
        <v>62.23893025862759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3254865</v>
      </c>
      <c r="D330" s="516">
        <v>0</v>
      </c>
      <c r="E330" s="518">
        <f t="shared" si="34"/>
        <v>-3254865</v>
      </c>
      <c r="F330" s="543">
        <f t="shared" si="35"/>
        <v>-1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90160381</v>
      </c>
      <c r="D331" s="516">
        <v>76714489</v>
      </c>
      <c r="E331" s="518">
        <f t="shared" si="34"/>
        <v>-13445892</v>
      </c>
      <c r="F331" s="542">
        <f t="shared" si="35"/>
        <v>-0.14913304325987708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210150089</v>
      </c>
      <c r="D333" s="516">
        <v>205409386</v>
      </c>
      <c r="E333" s="518">
        <f t="shared" si="34"/>
        <v>-4740703</v>
      </c>
      <c r="F333" s="542">
        <f t="shared" si="35"/>
        <v>-2.2558653306113993E-2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717092</v>
      </c>
      <c r="D334" s="516">
        <v>0</v>
      </c>
      <c r="E334" s="516">
        <f t="shared" si="34"/>
        <v>-717092</v>
      </c>
      <c r="F334" s="543">
        <f t="shared" si="35"/>
        <v>-1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7545598</v>
      </c>
      <c r="D335" s="516">
        <v>6940452</v>
      </c>
      <c r="E335" s="516">
        <f t="shared" si="34"/>
        <v>-605146</v>
      </c>
      <c r="F335" s="542">
        <f t="shared" si="35"/>
        <v>-8.0198547550505608E-2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15063185</v>
      </c>
      <c r="D14" s="589">
        <v>12616287</v>
      </c>
      <c r="E14" s="590">
        <f t="shared" ref="E14:E22" si="0">D14-C14</f>
        <v>-2446898</v>
      </c>
    </row>
    <row r="15" spans="1:5" s="421" customFormat="1" x14ac:dyDescent="0.2">
      <c r="A15" s="588">
        <v>2</v>
      </c>
      <c r="B15" s="587" t="s">
        <v>634</v>
      </c>
      <c r="C15" s="589">
        <v>43219561</v>
      </c>
      <c r="D15" s="591">
        <v>43515351</v>
      </c>
      <c r="E15" s="590">
        <f t="shared" si="0"/>
        <v>295790</v>
      </c>
    </row>
    <row r="16" spans="1:5" s="421" customFormat="1" x14ac:dyDescent="0.2">
      <c r="A16" s="588">
        <v>3</v>
      </c>
      <c r="B16" s="587" t="s">
        <v>776</v>
      </c>
      <c r="C16" s="589">
        <v>10445397</v>
      </c>
      <c r="D16" s="591">
        <v>11814281</v>
      </c>
      <c r="E16" s="590">
        <f t="shared" si="0"/>
        <v>1368884</v>
      </c>
    </row>
    <row r="17" spans="1:5" s="421" customFormat="1" x14ac:dyDescent="0.2">
      <c r="A17" s="588">
        <v>4</v>
      </c>
      <c r="B17" s="587" t="s">
        <v>115</v>
      </c>
      <c r="C17" s="589">
        <v>10264076</v>
      </c>
      <c r="D17" s="591">
        <v>11232147</v>
      </c>
      <c r="E17" s="590">
        <f t="shared" si="0"/>
        <v>968071</v>
      </c>
    </row>
    <row r="18" spans="1:5" s="421" customFormat="1" x14ac:dyDescent="0.2">
      <c r="A18" s="588">
        <v>5</v>
      </c>
      <c r="B18" s="587" t="s">
        <v>742</v>
      </c>
      <c r="C18" s="589">
        <v>181321</v>
      </c>
      <c r="D18" s="591">
        <v>582134</v>
      </c>
      <c r="E18" s="590">
        <f t="shared" si="0"/>
        <v>400813</v>
      </c>
    </row>
    <row r="19" spans="1:5" s="421" customFormat="1" x14ac:dyDescent="0.2">
      <c r="A19" s="588">
        <v>6</v>
      </c>
      <c r="B19" s="587" t="s">
        <v>424</v>
      </c>
      <c r="C19" s="589">
        <v>211837</v>
      </c>
      <c r="D19" s="591">
        <v>123913</v>
      </c>
      <c r="E19" s="590">
        <f t="shared" si="0"/>
        <v>-87924</v>
      </c>
    </row>
    <row r="20" spans="1:5" s="421" customFormat="1" x14ac:dyDescent="0.2">
      <c r="A20" s="588">
        <v>7</v>
      </c>
      <c r="B20" s="587" t="s">
        <v>757</v>
      </c>
      <c r="C20" s="589">
        <v>751105</v>
      </c>
      <c r="D20" s="591">
        <v>760706</v>
      </c>
      <c r="E20" s="590">
        <f t="shared" si="0"/>
        <v>9601</v>
      </c>
    </row>
    <row r="21" spans="1:5" s="421" customFormat="1" x14ac:dyDescent="0.2">
      <c r="A21" s="588"/>
      <c r="B21" s="592" t="s">
        <v>777</v>
      </c>
      <c r="C21" s="593">
        <f>SUM(C15+C16+C19)</f>
        <v>53876795</v>
      </c>
      <c r="D21" s="593">
        <f>SUM(D15+D16+D19)</f>
        <v>55453545</v>
      </c>
      <c r="E21" s="593">
        <f t="shared" si="0"/>
        <v>1576750</v>
      </c>
    </row>
    <row r="22" spans="1:5" s="421" customFormat="1" x14ac:dyDescent="0.2">
      <c r="A22" s="588"/>
      <c r="B22" s="592" t="s">
        <v>465</v>
      </c>
      <c r="C22" s="593">
        <f>SUM(C14+C21)</f>
        <v>68939980</v>
      </c>
      <c r="D22" s="593">
        <f>SUM(D14+D21)</f>
        <v>68069832</v>
      </c>
      <c r="E22" s="593">
        <f t="shared" si="0"/>
        <v>-870148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65413680</v>
      </c>
      <c r="D25" s="589">
        <v>59778686</v>
      </c>
      <c r="E25" s="590">
        <f t="shared" ref="E25:E33" si="1">D25-C25</f>
        <v>-5634994</v>
      </c>
    </row>
    <row r="26" spans="1:5" s="421" customFormat="1" x14ac:dyDescent="0.2">
      <c r="A26" s="588">
        <v>2</v>
      </c>
      <c r="B26" s="587" t="s">
        <v>634</v>
      </c>
      <c r="C26" s="589">
        <v>43352416</v>
      </c>
      <c r="D26" s="591">
        <v>41397393</v>
      </c>
      <c r="E26" s="590">
        <f t="shared" si="1"/>
        <v>-1955023</v>
      </c>
    </row>
    <row r="27" spans="1:5" s="421" customFormat="1" x14ac:dyDescent="0.2">
      <c r="A27" s="588">
        <v>3</v>
      </c>
      <c r="B27" s="587" t="s">
        <v>776</v>
      </c>
      <c r="C27" s="589">
        <v>31984499</v>
      </c>
      <c r="D27" s="591">
        <v>35754085</v>
      </c>
      <c r="E27" s="590">
        <f t="shared" si="1"/>
        <v>3769586</v>
      </c>
    </row>
    <row r="28" spans="1:5" s="421" customFormat="1" x14ac:dyDescent="0.2">
      <c r="A28" s="588">
        <v>4</v>
      </c>
      <c r="B28" s="587" t="s">
        <v>115</v>
      </c>
      <c r="C28" s="589">
        <v>31726377</v>
      </c>
      <c r="D28" s="591">
        <v>35458130</v>
      </c>
      <c r="E28" s="590">
        <f t="shared" si="1"/>
        <v>3731753</v>
      </c>
    </row>
    <row r="29" spans="1:5" s="421" customFormat="1" x14ac:dyDescent="0.2">
      <c r="A29" s="588">
        <v>5</v>
      </c>
      <c r="B29" s="587" t="s">
        <v>742</v>
      </c>
      <c r="C29" s="589">
        <v>258122</v>
      </c>
      <c r="D29" s="591">
        <v>295955</v>
      </c>
      <c r="E29" s="590">
        <f t="shared" si="1"/>
        <v>37833</v>
      </c>
    </row>
    <row r="30" spans="1:5" s="421" customFormat="1" x14ac:dyDescent="0.2">
      <c r="A30" s="588">
        <v>6</v>
      </c>
      <c r="B30" s="587" t="s">
        <v>424</v>
      </c>
      <c r="C30" s="589">
        <v>459513</v>
      </c>
      <c r="D30" s="591">
        <v>409389</v>
      </c>
      <c r="E30" s="590">
        <f t="shared" si="1"/>
        <v>-50124</v>
      </c>
    </row>
    <row r="31" spans="1:5" s="421" customFormat="1" x14ac:dyDescent="0.2">
      <c r="A31" s="588">
        <v>7</v>
      </c>
      <c r="B31" s="587" t="s">
        <v>757</v>
      </c>
      <c r="C31" s="590">
        <v>4287134</v>
      </c>
      <c r="D31" s="594">
        <v>4026998</v>
      </c>
      <c r="E31" s="590">
        <f t="shared" si="1"/>
        <v>-260136</v>
      </c>
    </row>
    <row r="32" spans="1:5" s="421" customFormat="1" x14ac:dyDescent="0.2">
      <c r="A32" s="588"/>
      <c r="B32" s="592" t="s">
        <v>779</v>
      </c>
      <c r="C32" s="593">
        <f>SUM(C26+C27+C30)</f>
        <v>75796428</v>
      </c>
      <c r="D32" s="593">
        <f>SUM(D26+D27+D30)</f>
        <v>77560867</v>
      </c>
      <c r="E32" s="593">
        <f t="shared" si="1"/>
        <v>1764439</v>
      </c>
    </row>
    <row r="33" spans="1:5" s="421" customFormat="1" x14ac:dyDescent="0.2">
      <c r="A33" s="588"/>
      <c r="B33" s="592" t="s">
        <v>467</v>
      </c>
      <c r="C33" s="593">
        <f>SUM(C25+C32)</f>
        <v>141210108</v>
      </c>
      <c r="D33" s="593">
        <f>SUM(D25+D32)</f>
        <v>137339553</v>
      </c>
      <c r="E33" s="593">
        <f t="shared" si="1"/>
        <v>-3870555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80476865</v>
      </c>
      <c r="D36" s="590">
        <f t="shared" si="2"/>
        <v>72394973</v>
      </c>
      <c r="E36" s="590">
        <f t="shared" ref="E36:E44" si="3">D36-C36</f>
        <v>-8081892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86571977</v>
      </c>
      <c r="D37" s="590">
        <f t="shared" si="2"/>
        <v>84912744</v>
      </c>
      <c r="E37" s="590">
        <f t="shared" si="3"/>
        <v>-1659233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42429896</v>
      </c>
      <c r="D38" s="590">
        <f t="shared" si="2"/>
        <v>47568366</v>
      </c>
      <c r="E38" s="590">
        <f t="shared" si="3"/>
        <v>5138470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41990453</v>
      </c>
      <c r="D39" s="590">
        <f t="shared" si="2"/>
        <v>46690277</v>
      </c>
      <c r="E39" s="590">
        <f t="shared" si="3"/>
        <v>4699824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439443</v>
      </c>
      <c r="D40" s="590">
        <f t="shared" si="2"/>
        <v>878089</v>
      </c>
      <c r="E40" s="590">
        <f t="shared" si="3"/>
        <v>438646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671350</v>
      </c>
      <c r="D41" s="590">
        <f t="shared" si="2"/>
        <v>533302</v>
      </c>
      <c r="E41" s="590">
        <f t="shared" si="3"/>
        <v>-138048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5038239</v>
      </c>
      <c r="D42" s="590">
        <f t="shared" si="2"/>
        <v>4787704</v>
      </c>
      <c r="E42" s="590">
        <f t="shared" si="3"/>
        <v>-250535</v>
      </c>
    </row>
    <row r="43" spans="1:5" s="421" customFormat="1" x14ac:dyDescent="0.2">
      <c r="A43" s="588"/>
      <c r="B43" s="592" t="s">
        <v>787</v>
      </c>
      <c r="C43" s="593">
        <f>SUM(C37+C38+C41)</f>
        <v>129673223</v>
      </c>
      <c r="D43" s="593">
        <f>SUM(D37+D38+D41)</f>
        <v>133014412</v>
      </c>
      <c r="E43" s="593">
        <f t="shared" si="3"/>
        <v>3341189</v>
      </c>
    </row>
    <row r="44" spans="1:5" s="421" customFormat="1" x14ac:dyDescent="0.2">
      <c r="A44" s="588"/>
      <c r="B44" s="592" t="s">
        <v>724</v>
      </c>
      <c r="C44" s="593">
        <f>SUM(C36+C43)</f>
        <v>210150088</v>
      </c>
      <c r="D44" s="593">
        <f>SUM(D36+D43)</f>
        <v>205409385</v>
      </c>
      <c r="E44" s="593">
        <f t="shared" si="3"/>
        <v>-4740703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9212630</v>
      </c>
      <c r="D47" s="589">
        <v>7171285</v>
      </c>
      <c r="E47" s="590">
        <f t="shared" ref="E47:E55" si="4">D47-C47</f>
        <v>-2041345</v>
      </c>
    </row>
    <row r="48" spans="1:5" s="421" customFormat="1" x14ac:dyDescent="0.2">
      <c r="A48" s="588">
        <v>2</v>
      </c>
      <c r="B48" s="587" t="s">
        <v>634</v>
      </c>
      <c r="C48" s="589">
        <v>27984408</v>
      </c>
      <c r="D48" s="591">
        <v>24795085</v>
      </c>
      <c r="E48" s="590">
        <f t="shared" si="4"/>
        <v>-3189323</v>
      </c>
    </row>
    <row r="49" spans="1:5" s="421" customFormat="1" x14ac:dyDescent="0.2">
      <c r="A49" s="588">
        <v>3</v>
      </c>
      <c r="B49" s="587" t="s">
        <v>776</v>
      </c>
      <c r="C49" s="589">
        <v>4364838</v>
      </c>
      <c r="D49" s="591">
        <v>4196673</v>
      </c>
      <c r="E49" s="590">
        <f t="shared" si="4"/>
        <v>-168165</v>
      </c>
    </row>
    <row r="50" spans="1:5" s="421" customFormat="1" x14ac:dyDescent="0.2">
      <c r="A50" s="588">
        <v>4</v>
      </c>
      <c r="B50" s="587" t="s">
        <v>115</v>
      </c>
      <c r="C50" s="589">
        <v>4320933</v>
      </c>
      <c r="D50" s="591">
        <v>4108612</v>
      </c>
      <c r="E50" s="590">
        <f t="shared" si="4"/>
        <v>-212321</v>
      </c>
    </row>
    <row r="51" spans="1:5" s="421" customFormat="1" x14ac:dyDescent="0.2">
      <c r="A51" s="588">
        <v>5</v>
      </c>
      <c r="B51" s="587" t="s">
        <v>742</v>
      </c>
      <c r="C51" s="589">
        <v>43905</v>
      </c>
      <c r="D51" s="591">
        <v>88061</v>
      </c>
      <c r="E51" s="590">
        <f t="shared" si="4"/>
        <v>44156</v>
      </c>
    </row>
    <row r="52" spans="1:5" s="421" customFormat="1" x14ac:dyDescent="0.2">
      <c r="A52" s="588">
        <v>6</v>
      </c>
      <c r="B52" s="587" t="s">
        <v>424</v>
      </c>
      <c r="C52" s="589">
        <v>80646</v>
      </c>
      <c r="D52" s="591">
        <v>64966</v>
      </c>
      <c r="E52" s="590">
        <f t="shared" si="4"/>
        <v>-15680</v>
      </c>
    </row>
    <row r="53" spans="1:5" s="421" customFormat="1" x14ac:dyDescent="0.2">
      <c r="A53" s="588">
        <v>7</v>
      </c>
      <c r="B53" s="587" t="s">
        <v>757</v>
      </c>
      <c r="C53" s="589">
        <v>15020</v>
      </c>
      <c r="D53" s="591">
        <v>14644</v>
      </c>
      <c r="E53" s="590">
        <f t="shared" si="4"/>
        <v>-376</v>
      </c>
    </row>
    <row r="54" spans="1:5" s="421" customFormat="1" x14ac:dyDescent="0.2">
      <c r="A54" s="588"/>
      <c r="B54" s="592" t="s">
        <v>789</v>
      </c>
      <c r="C54" s="593">
        <f>SUM(C48+C49+C52)</f>
        <v>32429892</v>
      </c>
      <c r="D54" s="593">
        <f>SUM(D48+D49+D52)</f>
        <v>29056724</v>
      </c>
      <c r="E54" s="593">
        <f t="shared" si="4"/>
        <v>-3373168</v>
      </c>
    </row>
    <row r="55" spans="1:5" s="421" customFormat="1" x14ac:dyDescent="0.2">
      <c r="A55" s="588"/>
      <c r="B55" s="592" t="s">
        <v>466</v>
      </c>
      <c r="C55" s="593">
        <f>SUM(C47+C54)</f>
        <v>41642522</v>
      </c>
      <c r="D55" s="593">
        <f>SUM(D47+D54)</f>
        <v>36228009</v>
      </c>
      <c r="E55" s="593">
        <f t="shared" si="4"/>
        <v>-5414513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27691135</v>
      </c>
      <c r="D58" s="589">
        <v>24181063</v>
      </c>
      <c r="E58" s="590">
        <f t="shared" ref="E58:E66" si="5">D58-C58</f>
        <v>-3510072</v>
      </c>
    </row>
    <row r="59" spans="1:5" s="421" customFormat="1" x14ac:dyDescent="0.2">
      <c r="A59" s="588">
        <v>2</v>
      </c>
      <c r="B59" s="587" t="s">
        <v>634</v>
      </c>
      <c r="C59" s="589">
        <v>9817895</v>
      </c>
      <c r="D59" s="591">
        <v>8834967</v>
      </c>
      <c r="E59" s="590">
        <f t="shared" si="5"/>
        <v>-982928</v>
      </c>
    </row>
    <row r="60" spans="1:5" s="421" customFormat="1" x14ac:dyDescent="0.2">
      <c r="A60" s="588">
        <v>3</v>
      </c>
      <c r="B60" s="587" t="s">
        <v>776</v>
      </c>
      <c r="C60" s="589">
        <f>C61+C62</f>
        <v>7638078</v>
      </c>
      <c r="D60" s="591">
        <f>D61+D62</f>
        <v>7381419</v>
      </c>
      <c r="E60" s="590">
        <f t="shared" si="5"/>
        <v>-256659</v>
      </c>
    </row>
    <row r="61" spans="1:5" s="421" customFormat="1" x14ac:dyDescent="0.2">
      <c r="A61" s="588">
        <v>4</v>
      </c>
      <c r="B61" s="587" t="s">
        <v>115</v>
      </c>
      <c r="C61" s="589">
        <v>7607868</v>
      </c>
      <c r="D61" s="591">
        <v>7346857</v>
      </c>
      <c r="E61" s="590">
        <f t="shared" si="5"/>
        <v>-261011</v>
      </c>
    </row>
    <row r="62" spans="1:5" s="421" customFormat="1" x14ac:dyDescent="0.2">
      <c r="A62" s="588">
        <v>5</v>
      </c>
      <c r="B62" s="587" t="s">
        <v>742</v>
      </c>
      <c r="C62" s="589">
        <v>30210</v>
      </c>
      <c r="D62" s="591">
        <v>34562</v>
      </c>
      <c r="E62" s="590">
        <f t="shared" si="5"/>
        <v>4352</v>
      </c>
    </row>
    <row r="63" spans="1:5" s="421" customFormat="1" x14ac:dyDescent="0.2">
      <c r="A63" s="588">
        <v>6</v>
      </c>
      <c r="B63" s="587" t="s">
        <v>424</v>
      </c>
      <c r="C63" s="589">
        <v>115885</v>
      </c>
      <c r="D63" s="591">
        <v>89032</v>
      </c>
      <c r="E63" s="590">
        <f t="shared" si="5"/>
        <v>-26853</v>
      </c>
    </row>
    <row r="64" spans="1:5" s="421" customFormat="1" x14ac:dyDescent="0.2">
      <c r="A64" s="588">
        <v>7</v>
      </c>
      <c r="B64" s="587" t="s">
        <v>757</v>
      </c>
      <c r="C64" s="589">
        <v>108762</v>
      </c>
      <c r="D64" s="591">
        <v>101392</v>
      </c>
      <c r="E64" s="590">
        <f t="shared" si="5"/>
        <v>-7370</v>
      </c>
    </row>
    <row r="65" spans="1:5" s="421" customFormat="1" x14ac:dyDescent="0.2">
      <c r="A65" s="588"/>
      <c r="B65" s="592" t="s">
        <v>791</v>
      </c>
      <c r="C65" s="593">
        <f>SUM(C59+C60+C63)</f>
        <v>17571858</v>
      </c>
      <c r="D65" s="593">
        <f>SUM(D59+D60+D63)</f>
        <v>16305418</v>
      </c>
      <c r="E65" s="593">
        <f t="shared" si="5"/>
        <v>-1266440</v>
      </c>
    </row>
    <row r="66" spans="1:5" s="421" customFormat="1" x14ac:dyDescent="0.2">
      <c r="A66" s="588"/>
      <c r="B66" s="592" t="s">
        <v>468</v>
      </c>
      <c r="C66" s="593">
        <f>SUM(C58+C65)</f>
        <v>45262993</v>
      </c>
      <c r="D66" s="593">
        <f>SUM(D58+D65)</f>
        <v>40486481</v>
      </c>
      <c r="E66" s="593">
        <f t="shared" si="5"/>
        <v>-4776512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36903765</v>
      </c>
      <c r="D69" s="590">
        <f t="shared" si="6"/>
        <v>31352348</v>
      </c>
      <c r="E69" s="590">
        <f t="shared" ref="E69:E77" si="7">D69-C69</f>
        <v>-5551417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37802303</v>
      </c>
      <c r="D70" s="590">
        <f t="shared" si="6"/>
        <v>33630052</v>
      </c>
      <c r="E70" s="590">
        <f t="shared" si="7"/>
        <v>-4172251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12002916</v>
      </c>
      <c r="D71" s="590">
        <f t="shared" si="6"/>
        <v>11578092</v>
      </c>
      <c r="E71" s="590">
        <f t="shared" si="7"/>
        <v>-424824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11928801</v>
      </c>
      <c r="D72" s="590">
        <f t="shared" si="6"/>
        <v>11455469</v>
      </c>
      <c r="E72" s="590">
        <f t="shared" si="7"/>
        <v>-473332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74115</v>
      </c>
      <c r="D73" s="590">
        <f t="shared" si="6"/>
        <v>122623</v>
      </c>
      <c r="E73" s="590">
        <f t="shared" si="7"/>
        <v>48508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196531</v>
      </c>
      <c r="D74" s="590">
        <f t="shared" si="6"/>
        <v>153998</v>
      </c>
      <c r="E74" s="590">
        <f t="shared" si="7"/>
        <v>-42533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123782</v>
      </c>
      <c r="D75" s="590">
        <f t="shared" si="6"/>
        <v>116036</v>
      </c>
      <c r="E75" s="590">
        <f t="shared" si="7"/>
        <v>-7746</v>
      </c>
    </row>
    <row r="76" spans="1:5" s="421" customFormat="1" x14ac:dyDescent="0.2">
      <c r="A76" s="588"/>
      <c r="B76" s="592" t="s">
        <v>792</v>
      </c>
      <c r="C76" s="593">
        <f>SUM(C70+C71+C74)</f>
        <v>50001750</v>
      </c>
      <c r="D76" s="593">
        <f>SUM(D70+D71+D74)</f>
        <v>45362142</v>
      </c>
      <c r="E76" s="593">
        <f t="shared" si="7"/>
        <v>-4639608</v>
      </c>
    </row>
    <row r="77" spans="1:5" s="421" customFormat="1" x14ac:dyDescent="0.2">
      <c r="A77" s="588"/>
      <c r="B77" s="592" t="s">
        <v>725</v>
      </c>
      <c r="C77" s="593">
        <f>SUM(C69+C76)</f>
        <v>86905515</v>
      </c>
      <c r="D77" s="593">
        <f>SUM(D69+D76)</f>
        <v>76714490</v>
      </c>
      <c r="E77" s="593">
        <f t="shared" si="7"/>
        <v>-10191025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7.1678223613211148E-2</v>
      </c>
      <c r="D83" s="599">
        <f t="shared" si="8"/>
        <v>6.1420207260734459E-2</v>
      </c>
      <c r="E83" s="599">
        <f t="shared" ref="E83:E91" si="9">D83-C83</f>
        <v>-1.0258016352476688E-2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0.20566044683264659</v>
      </c>
      <c r="D84" s="599">
        <f t="shared" si="8"/>
        <v>0.21184694652583669</v>
      </c>
      <c r="E84" s="599">
        <f t="shared" si="9"/>
        <v>6.1864996931901006E-3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4.9704461698821652E-2</v>
      </c>
      <c r="D85" s="599">
        <f t="shared" si="8"/>
        <v>5.7515780011706867E-2</v>
      </c>
      <c r="E85" s="599">
        <f t="shared" si="9"/>
        <v>7.8113183128852154E-3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4.8841645024673981E-2</v>
      </c>
      <c r="D86" s="599">
        <f t="shared" si="8"/>
        <v>5.4681761497898454E-2</v>
      </c>
      <c r="E86" s="599">
        <f t="shared" si="9"/>
        <v>5.8401164732244729E-3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8.6281667414766919E-4</v>
      </c>
      <c r="D87" s="599">
        <f t="shared" si="8"/>
        <v>2.8340185138084123E-3</v>
      </c>
      <c r="E87" s="599">
        <f t="shared" si="9"/>
        <v>1.971201839660743E-3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1.0080271772239277E-3</v>
      </c>
      <c r="D88" s="599">
        <f t="shared" si="8"/>
        <v>6.0324897034281079E-4</v>
      </c>
      <c r="E88" s="599">
        <f t="shared" si="9"/>
        <v>-4.047782068811169E-4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3.5741360241543178E-3</v>
      </c>
      <c r="D89" s="599">
        <f t="shared" si="8"/>
        <v>3.7033653549958293E-3</v>
      </c>
      <c r="E89" s="599">
        <f t="shared" si="9"/>
        <v>1.2922933084151154E-4</v>
      </c>
    </row>
    <row r="90" spans="1:5" s="421" customFormat="1" x14ac:dyDescent="0.2">
      <c r="A90" s="588"/>
      <c r="B90" s="592" t="s">
        <v>795</v>
      </c>
      <c r="C90" s="600">
        <f>SUM(C84+C85+C88)</f>
        <v>0.25637293570869218</v>
      </c>
      <c r="D90" s="600">
        <f>SUM(D84+D85+D88)</f>
        <v>0.26996597550788637</v>
      </c>
      <c r="E90" s="601">
        <f t="shared" si="9"/>
        <v>1.3593039799194184E-2</v>
      </c>
    </row>
    <row r="91" spans="1:5" s="421" customFormat="1" x14ac:dyDescent="0.2">
      <c r="A91" s="588"/>
      <c r="B91" s="592" t="s">
        <v>796</v>
      </c>
      <c r="C91" s="600">
        <f>SUM(C83+C90)</f>
        <v>0.32805115932190332</v>
      </c>
      <c r="D91" s="600">
        <f>SUM(D83+D90)</f>
        <v>0.33138618276862081</v>
      </c>
      <c r="E91" s="601">
        <f t="shared" si="9"/>
        <v>3.3350234467174888E-3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0.31127124724306565</v>
      </c>
      <c r="D95" s="599">
        <f t="shared" si="10"/>
        <v>0.29102217505787287</v>
      </c>
      <c r="E95" s="599">
        <f t="shared" ref="E95:E103" si="11">D95-C95</f>
        <v>-2.0249072185192785E-2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0.20629263785985186</v>
      </c>
      <c r="D96" s="599">
        <f t="shared" si="10"/>
        <v>0.20153603497717498</v>
      </c>
      <c r="E96" s="599">
        <f t="shared" si="11"/>
        <v>-4.7566028826768747E-3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0.15219836120173311</v>
      </c>
      <c r="D97" s="599">
        <f t="shared" si="10"/>
        <v>0.17406256778384299</v>
      </c>
      <c r="E97" s="599">
        <f t="shared" si="11"/>
        <v>2.1864206582109885E-2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0.15097008667443432</v>
      </c>
      <c r="D98" s="599">
        <f t="shared" si="10"/>
        <v>0.17262176214587274</v>
      </c>
      <c r="E98" s="599">
        <f t="shared" si="11"/>
        <v>2.1651675471438425E-2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1.2282745272987942E-3</v>
      </c>
      <c r="D99" s="599">
        <f t="shared" si="10"/>
        <v>1.4408056379702418E-3</v>
      </c>
      <c r="E99" s="599">
        <f t="shared" si="11"/>
        <v>2.1253111067144766E-4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2.1865943734460866E-3</v>
      </c>
      <c r="D100" s="599">
        <f t="shared" si="10"/>
        <v>1.9930394124883827E-3</v>
      </c>
      <c r="E100" s="599">
        <f t="shared" si="11"/>
        <v>-1.935549609577039E-4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2.0400343586817818E-2</v>
      </c>
      <c r="D101" s="599">
        <f t="shared" si="10"/>
        <v>1.9604742013126616E-2</v>
      </c>
      <c r="E101" s="599">
        <f t="shared" si="11"/>
        <v>-7.9560157369120213E-4</v>
      </c>
    </row>
    <row r="102" spans="1:5" s="421" customFormat="1" x14ac:dyDescent="0.2">
      <c r="A102" s="588"/>
      <c r="B102" s="592" t="s">
        <v>798</v>
      </c>
      <c r="C102" s="600">
        <f>SUM(C96+C97+C100)</f>
        <v>0.36067759343503109</v>
      </c>
      <c r="D102" s="600">
        <f>SUM(D96+D97+D100)</f>
        <v>0.37759164217350638</v>
      </c>
      <c r="E102" s="601">
        <f t="shared" si="11"/>
        <v>1.6914048738475296E-2</v>
      </c>
    </row>
    <row r="103" spans="1:5" s="421" customFormat="1" x14ac:dyDescent="0.2">
      <c r="A103" s="588"/>
      <c r="B103" s="592" t="s">
        <v>799</v>
      </c>
      <c r="C103" s="600">
        <f>SUM(C95+C102)</f>
        <v>0.67194884067809668</v>
      </c>
      <c r="D103" s="600">
        <f>SUM(D95+D102)</f>
        <v>0.66861381723137925</v>
      </c>
      <c r="E103" s="601">
        <f t="shared" si="11"/>
        <v>-3.3350234467174333E-3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0.1060074265712596</v>
      </c>
      <c r="D109" s="599">
        <f t="shared" si="12"/>
        <v>9.3480188684041302E-2</v>
      </c>
      <c r="E109" s="599">
        <f t="shared" ref="E109:E117" si="13">D109-C109</f>
        <v>-1.2527237887218295E-2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0.32200957557181498</v>
      </c>
      <c r="D110" s="599">
        <f t="shared" si="12"/>
        <v>0.32321253781391235</v>
      </c>
      <c r="E110" s="599">
        <f t="shared" si="13"/>
        <v>1.2029622420973718E-3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5.0225097912370696E-2</v>
      </c>
      <c r="D111" s="599">
        <f t="shared" si="12"/>
        <v>5.4705088960377631E-2</v>
      </c>
      <c r="E111" s="599">
        <f t="shared" si="13"/>
        <v>4.4799910480069344E-3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4.9719894071164526E-2</v>
      </c>
      <c r="D112" s="599">
        <f t="shared" si="12"/>
        <v>5.3557183264856485E-2</v>
      </c>
      <c r="E112" s="599">
        <f t="shared" si="13"/>
        <v>3.837289193691959E-3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5.0520384120616513E-4</v>
      </c>
      <c r="D113" s="599">
        <f t="shared" si="12"/>
        <v>1.1479056955211459E-3</v>
      </c>
      <c r="E113" s="599">
        <f t="shared" si="13"/>
        <v>6.4270185431498082E-4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9.2797332827496625E-4</v>
      </c>
      <c r="D114" s="599">
        <f t="shared" si="12"/>
        <v>8.4685435567648302E-4</v>
      </c>
      <c r="E114" s="599">
        <f t="shared" si="13"/>
        <v>-8.1118972598483228E-5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1.7283137899821432E-4</v>
      </c>
      <c r="D115" s="599">
        <f t="shared" si="12"/>
        <v>1.9088962202577374E-4</v>
      </c>
      <c r="E115" s="599">
        <f t="shared" si="13"/>
        <v>1.8058243027559417E-5</v>
      </c>
    </row>
    <row r="116" spans="1:5" s="421" customFormat="1" x14ac:dyDescent="0.2">
      <c r="A116" s="588"/>
      <c r="B116" s="592" t="s">
        <v>795</v>
      </c>
      <c r="C116" s="600">
        <f>SUM(C110+C111+C114)</f>
        <v>0.37316264681246064</v>
      </c>
      <c r="D116" s="600">
        <f>SUM(D110+D111+D114)</f>
        <v>0.37876448112996647</v>
      </c>
      <c r="E116" s="601">
        <f t="shared" si="13"/>
        <v>5.6018343175058272E-3</v>
      </c>
    </row>
    <row r="117" spans="1:5" s="421" customFormat="1" x14ac:dyDescent="0.2">
      <c r="A117" s="588"/>
      <c r="B117" s="592" t="s">
        <v>796</v>
      </c>
      <c r="C117" s="600">
        <f>SUM(C109+C116)</f>
        <v>0.47917007338372025</v>
      </c>
      <c r="D117" s="600">
        <f>SUM(D109+D116)</f>
        <v>0.47224466981400776</v>
      </c>
      <c r="E117" s="601">
        <f t="shared" si="13"/>
        <v>-6.925403569712496E-3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0.31863495659625285</v>
      </c>
      <c r="D121" s="599">
        <f t="shared" si="14"/>
        <v>0.31520854795489089</v>
      </c>
      <c r="E121" s="599">
        <f t="shared" ref="E121:E129" si="15">D121-C121</f>
        <v>-3.4264086413619554E-3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0.11297205936815402</v>
      </c>
      <c r="D122" s="599">
        <f t="shared" si="14"/>
        <v>0.11516686091506312</v>
      </c>
      <c r="E122" s="599">
        <f t="shared" si="15"/>
        <v>2.1948015469090976E-3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8.7889450974428948E-2</v>
      </c>
      <c r="D123" s="599">
        <f t="shared" si="14"/>
        <v>9.6219358298543084E-2</v>
      </c>
      <c r="E123" s="599">
        <f t="shared" si="15"/>
        <v>8.3299073241141358E-3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8.7541832069000458E-2</v>
      </c>
      <c r="D124" s="599">
        <f t="shared" si="14"/>
        <v>9.5768830634212654E-2</v>
      </c>
      <c r="E124" s="599">
        <f t="shared" si="15"/>
        <v>8.2269985652121957E-3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3.47618905428499E-4</v>
      </c>
      <c r="D125" s="599">
        <f t="shared" si="14"/>
        <v>4.5052766433042833E-4</v>
      </c>
      <c r="E125" s="599">
        <f t="shared" si="15"/>
        <v>1.0290875890192933E-4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1.3334596774439459E-3</v>
      </c>
      <c r="D126" s="599">
        <f t="shared" si="14"/>
        <v>1.1605630174951302E-3</v>
      </c>
      <c r="E126" s="599">
        <f t="shared" si="15"/>
        <v>-1.7289665994881572E-4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1.2514971000401989E-3</v>
      </c>
      <c r="D127" s="599">
        <f t="shared" si="14"/>
        <v>1.3216799068859091E-3</v>
      </c>
      <c r="E127" s="599">
        <f t="shared" si="15"/>
        <v>7.0182806845710266E-5</v>
      </c>
    </row>
    <row r="128" spans="1:5" s="421" customFormat="1" x14ac:dyDescent="0.2">
      <c r="A128" s="588"/>
      <c r="B128" s="592" t="s">
        <v>798</v>
      </c>
      <c r="C128" s="600">
        <f>SUM(C122+C123+C126)</f>
        <v>0.20219497002002693</v>
      </c>
      <c r="D128" s="600">
        <f>SUM(D122+D123+D126)</f>
        <v>0.21254678223110132</v>
      </c>
      <c r="E128" s="601">
        <f t="shared" si="15"/>
        <v>1.0351812211074396E-2</v>
      </c>
    </row>
    <row r="129" spans="1:5" s="421" customFormat="1" x14ac:dyDescent="0.2">
      <c r="A129" s="588"/>
      <c r="B129" s="592" t="s">
        <v>799</v>
      </c>
      <c r="C129" s="600">
        <f>SUM(C121+C128)</f>
        <v>0.5208299266162798</v>
      </c>
      <c r="D129" s="600">
        <f>SUM(D121+D128)</f>
        <v>0.52775533018599219</v>
      </c>
      <c r="E129" s="601">
        <f t="shared" si="15"/>
        <v>6.925403569712385E-3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1178</v>
      </c>
      <c r="D137" s="606">
        <v>926</v>
      </c>
      <c r="E137" s="607">
        <f t="shared" ref="E137:E145" si="16">D137-C137</f>
        <v>-252</v>
      </c>
    </row>
    <row r="138" spans="1:5" s="421" customFormat="1" x14ac:dyDescent="0.2">
      <c r="A138" s="588">
        <v>2</v>
      </c>
      <c r="B138" s="587" t="s">
        <v>634</v>
      </c>
      <c r="C138" s="606">
        <v>2326</v>
      </c>
      <c r="D138" s="606">
        <v>2210</v>
      </c>
      <c r="E138" s="607">
        <f t="shared" si="16"/>
        <v>-116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985</v>
      </c>
      <c r="D139" s="606">
        <f>D140+D141</f>
        <v>983</v>
      </c>
      <c r="E139" s="607">
        <f t="shared" si="16"/>
        <v>-2</v>
      </c>
    </row>
    <row r="140" spans="1:5" s="421" customFormat="1" x14ac:dyDescent="0.2">
      <c r="A140" s="588">
        <v>4</v>
      </c>
      <c r="B140" s="587" t="s">
        <v>115</v>
      </c>
      <c r="C140" s="606">
        <v>970</v>
      </c>
      <c r="D140" s="606">
        <v>965</v>
      </c>
      <c r="E140" s="607">
        <f t="shared" si="16"/>
        <v>-5</v>
      </c>
    </row>
    <row r="141" spans="1:5" s="421" customFormat="1" x14ac:dyDescent="0.2">
      <c r="A141" s="588">
        <v>5</v>
      </c>
      <c r="B141" s="587" t="s">
        <v>742</v>
      </c>
      <c r="C141" s="606">
        <v>15</v>
      </c>
      <c r="D141" s="606">
        <v>18</v>
      </c>
      <c r="E141" s="607">
        <f t="shared" si="16"/>
        <v>3</v>
      </c>
    </row>
    <row r="142" spans="1:5" s="421" customFormat="1" x14ac:dyDescent="0.2">
      <c r="A142" s="588">
        <v>6</v>
      </c>
      <c r="B142" s="587" t="s">
        <v>424</v>
      </c>
      <c r="C142" s="606">
        <v>17</v>
      </c>
      <c r="D142" s="606">
        <v>18</v>
      </c>
      <c r="E142" s="607">
        <f t="shared" si="16"/>
        <v>1</v>
      </c>
    </row>
    <row r="143" spans="1:5" s="421" customFormat="1" x14ac:dyDescent="0.2">
      <c r="A143" s="588">
        <v>7</v>
      </c>
      <c r="B143" s="587" t="s">
        <v>757</v>
      </c>
      <c r="C143" s="606">
        <v>56</v>
      </c>
      <c r="D143" s="606">
        <v>48</v>
      </c>
      <c r="E143" s="607">
        <f t="shared" si="16"/>
        <v>-8</v>
      </c>
    </row>
    <row r="144" spans="1:5" s="421" customFormat="1" x14ac:dyDescent="0.2">
      <c r="A144" s="588"/>
      <c r="B144" s="592" t="s">
        <v>806</v>
      </c>
      <c r="C144" s="608">
        <f>SUM(C138+C139+C142)</f>
        <v>3328</v>
      </c>
      <c r="D144" s="608">
        <f>SUM(D138+D139+D142)</f>
        <v>3211</v>
      </c>
      <c r="E144" s="609">
        <f t="shared" si="16"/>
        <v>-117</v>
      </c>
    </row>
    <row r="145" spans="1:5" s="421" customFormat="1" x14ac:dyDescent="0.2">
      <c r="A145" s="588"/>
      <c r="B145" s="592" t="s">
        <v>138</v>
      </c>
      <c r="C145" s="608">
        <f>SUM(C137+C144)</f>
        <v>4506</v>
      </c>
      <c r="D145" s="608">
        <f>SUM(D137+D144)</f>
        <v>4137</v>
      </c>
      <c r="E145" s="609">
        <f t="shared" si="16"/>
        <v>-369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3656</v>
      </c>
      <c r="D149" s="610">
        <v>2876</v>
      </c>
      <c r="E149" s="607">
        <f t="shared" ref="E149:E157" si="17">D149-C149</f>
        <v>-780</v>
      </c>
    </row>
    <row r="150" spans="1:5" s="421" customFormat="1" x14ac:dyDescent="0.2">
      <c r="A150" s="588">
        <v>2</v>
      </c>
      <c r="B150" s="587" t="s">
        <v>634</v>
      </c>
      <c r="C150" s="610">
        <v>11749</v>
      </c>
      <c r="D150" s="610">
        <v>11054</v>
      </c>
      <c r="E150" s="607">
        <f t="shared" si="17"/>
        <v>-695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3202</v>
      </c>
      <c r="D151" s="610">
        <f>D152+D153</f>
        <v>3388</v>
      </c>
      <c r="E151" s="607">
        <f t="shared" si="17"/>
        <v>186</v>
      </c>
    </row>
    <row r="152" spans="1:5" s="421" customFormat="1" x14ac:dyDescent="0.2">
      <c r="A152" s="588">
        <v>4</v>
      </c>
      <c r="B152" s="587" t="s">
        <v>115</v>
      </c>
      <c r="C152" s="610">
        <v>3155</v>
      </c>
      <c r="D152" s="610">
        <v>3237</v>
      </c>
      <c r="E152" s="607">
        <f t="shared" si="17"/>
        <v>82</v>
      </c>
    </row>
    <row r="153" spans="1:5" s="421" customFormat="1" x14ac:dyDescent="0.2">
      <c r="A153" s="588">
        <v>5</v>
      </c>
      <c r="B153" s="587" t="s">
        <v>742</v>
      </c>
      <c r="C153" s="611">
        <v>47</v>
      </c>
      <c r="D153" s="610">
        <v>151</v>
      </c>
      <c r="E153" s="607">
        <f t="shared" si="17"/>
        <v>104</v>
      </c>
    </row>
    <row r="154" spans="1:5" s="421" customFormat="1" x14ac:dyDescent="0.2">
      <c r="A154" s="588">
        <v>6</v>
      </c>
      <c r="B154" s="587" t="s">
        <v>424</v>
      </c>
      <c r="C154" s="610">
        <v>66</v>
      </c>
      <c r="D154" s="610">
        <v>37</v>
      </c>
      <c r="E154" s="607">
        <f t="shared" si="17"/>
        <v>-29</v>
      </c>
    </row>
    <row r="155" spans="1:5" s="421" customFormat="1" x14ac:dyDescent="0.2">
      <c r="A155" s="588">
        <v>7</v>
      </c>
      <c r="B155" s="587" t="s">
        <v>757</v>
      </c>
      <c r="C155" s="610">
        <v>156</v>
      </c>
      <c r="D155" s="610">
        <v>147</v>
      </c>
      <c r="E155" s="607">
        <f t="shared" si="17"/>
        <v>-9</v>
      </c>
    </row>
    <row r="156" spans="1:5" s="421" customFormat="1" x14ac:dyDescent="0.2">
      <c r="A156" s="588"/>
      <c r="B156" s="592" t="s">
        <v>807</v>
      </c>
      <c r="C156" s="608">
        <f>SUM(C150+C151+C154)</f>
        <v>15017</v>
      </c>
      <c r="D156" s="608">
        <f>SUM(D150+D151+D154)</f>
        <v>14479</v>
      </c>
      <c r="E156" s="609">
        <f t="shared" si="17"/>
        <v>-538</v>
      </c>
    </row>
    <row r="157" spans="1:5" s="421" customFormat="1" x14ac:dyDescent="0.2">
      <c r="A157" s="588"/>
      <c r="B157" s="592" t="s">
        <v>140</v>
      </c>
      <c r="C157" s="608">
        <f>SUM(C149+C156)</f>
        <v>18673</v>
      </c>
      <c r="D157" s="608">
        <f>SUM(D149+D156)</f>
        <v>17355</v>
      </c>
      <c r="E157" s="609">
        <f t="shared" si="17"/>
        <v>-1318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3.1035653650254669</v>
      </c>
      <c r="D161" s="612">
        <f t="shared" si="18"/>
        <v>3.1058315334773217</v>
      </c>
      <c r="E161" s="613">
        <f t="shared" ref="E161:E169" si="19">D161-C161</f>
        <v>2.2661684518547887E-3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5.05116079105761</v>
      </c>
      <c r="D162" s="612">
        <f t="shared" si="18"/>
        <v>5.0018099547511312</v>
      </c>
      <c r="E162" s="613">
        <f t="shared" si="19"/>
        <v>-4.935083630647874E-2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3.2507614213197971</v>
      </c>
      <c r="D163" s="612">
        <f t="shared" si="18"/>
        <v>3.4465920651068158</v>
      </c>
      <c r="E163" s="613">
        <f t="shared" si="19"/>
        <v>0.19583064378701875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3.2525773195876289</v>
      </c>
      <c r="D164" s="612">
        <f t="shared" si="18"/>
        <v>3.3544041450777202</v>
      </c>
      <c r="E164" s="613">
        <f t="shared" si="19"/>
        <v>0.10182682549009137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3.1333333333333333</v>
      </c>
      <c r="D165" s="612">
        <f t="shared" si="18"/>
        <v>8.3888888888888893</v>
      </c>
      <c r="E165" s="613">
        <f t="shared" si="19"/>
        <v>5.2555555555555564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3.8823529411764706</v>
      </c>
      <c r="D166" s="612">
        <f t="shared" si="18"/>
        <v>2.0555555555555554</v>
      </c>
      <c r="E166" s="613">
        <f t="shared" si="19"/>
        <v>-1.8267973856209152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2.7857142857142856</v>
      </c>
      <c r="D167" s="612">
        <f t="shared" si="18"/>
        <v>3.0625</v>
      </c>
      <c r="E167" s="613">
        <f t="shared" si="19"/>
        <v>0.27678571428571441</v>
      </c>
    </row>
    <row r="168" spans="1:5" s="421" customFormat="1" x14ac:dyDescent="0.2">
      <c r="A168" s="588"/>
      <c r="B168" s="592" t="s">
        <v>809</v>
      </c>
      <c r="C168" s="614">
        <f t="shared" si="18"/>
        <v>4.5123197115384617</v>
      </c>
      <c r="D168" s="614">
        <f t="shared" si="18"/>
        <v>4.5091871691061973</v>
      </c>
      <c r="E168" s="615">
        <f t="shared" si="19"/>
        <v>-3.1325424322643514E-3</v>
      </c>
    </row>
    <row r="169" spans="1:5" s="421" customFormat="1" x14ac:dyDescent="0.2">
      <c r="A169" s="588"/>
      <c r="B169" s="592" t="s">
        <v>743</v>
      </c>
      <c r="C169" s="614">
        <f t="shared" si="18"/>
        <v>4.1440301819795824</v>
      </c>
      <c r="D169" s="614">
        <f t="shared" si="18"/>
        <v>4.1950688905003624</v>
      </c>
      <c r="E169" s="615">
        <f t="shared" si="19"/>
        <v>5.1038708520779963E-2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0.95455999999999985</v>
      </c>
      <c r="D173" s="617">
        <f t="shared" si="20"/>
        <v>0.96784999999999999</v>
      </c>
      <c r="E173" s="618">
        <f t="shared" ref="E173:E181" si="21">D173-C173</f>
        <v>1.3290000000000135E-2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1.3789400000000001</v>
      </c>
      <c r="D174" s="617">
        <f t="shared" si="20"/>
        <v>1.39802</v>
      </c>
      <c r="E174" s="618">
        <f t="shared" si="21"/>
        <v>1.9079999999999986E-2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0.9187113705583756</v>
      </c>
      <c r="D175" s="617">
        <f t="shared" si="20"/>
        <v>0.9836111698880976</v>
      </c>
      <c r="E175" s="618">
        <f t="shared" si="21"/>
        <v>6.4899799329722008E-2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0.91642999999999997</v>
      </c>
      <c r="D176" s="617">
        <f t="shared" si="20"/>
        <v>0.96308000000000005</v>
      </c>
      <c r="E176" s="618">
        <f t="shared" si="21"/>
        <v>4.665000000000008E-2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1.0662400000000001</v>
      </c>
      <c r="D177" s="617">
        <f t="shared" si="20"/>
        <v>2.0843099999999999</v>
      </c>
      <c r="E177" s="618">
        <f t="shared" si="21"/>
        <v>1.0180699999999998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0.94452999999999987</v>
      </c>
      <c r="D178" s="617">
        <f t="shared" si="20"/>
        <v>0.83611999999999997</v>
      </c>
      <c r="E178" s="618">
        <f t="shared" si="21"/>
        <v>-0.1084099999999999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0.93178000000000005</v>
      </c>
      <c r="D179" s="617">
        <f t="shared" si="20"/>
        <v>1.0893999999999999</v>
      </c>
      <c r="E179" s="618">
        <f t="shared" si="21"/>
        <v>0.15761999999999987</v>
      </c>
    </row>
    <row r="180" spans="1:5" s="421" customFormat="1" x14ac:dyDescent="0.2">
      <c r="A180" s="588"/>
      <c r="B180" s="592" t="s">
        <v>811</v>
      </c>
      <c r="C180" s="619">
        <f t="shared" si="20"/>
        <v>1.2405054537259619</v>
      </c>
      <c r="D180" s="619">
        <f t="shared" si="20"/>
        <v>1.2680050264715041</v>
      </c>
      <c r="E180" s="620">
        <f t="shared" si="21"/>
        <v>2.7499572745542267E-2</v>
      </c>
    </row>
    <row r="181" spans="1:5" s="421" customFormat="1" x14ac:dyDescent="0.2">
      <c r="A181" s="588"/>
      <c r="B181" s="592" t="s">
        <v>722</v>
      </c>
      <c r="C181" s="619">
        <f t="shared" si="20"/>
        <v>1.1657509609409678</v>
      </c>
      <c r="D181" s="619">
        <f t="shared" si="20"/>
        <v>1.2008202175489484</v>
      </c>
      <c r="E181" s="620">
        <f t="shared" si="21"/>
        <v>3.5069256607980659E-2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813</v>
      </c>
      <c r="C185" s="589">
        <v>72963986</v>
      </c>
      <c r="D185" s="589">
        <v>62017893</v>
      </c>
      <c r="E185" s="590">
        <f>D185-C185</f>
        <v>-10946093</v>
      </c>
    </row>
    <row r="186" spans="1:5" s="421" customFormat="1" ht="25.5" x14ac:dyDescent="0.2">
      <c r="A186" s="588">
        <v>2</v>
      </c>
      <c r="B186" s="587" t="s">
        <v>814</v>
      </c>
      <c r="C186" s="589">
        <v>36836135</v>
      </c>
      <c r="D186" s="589">
        <v>31236312</v>
      </c>
      <c r="E186" s="590">
        <f>D186-C186</f>
        <v>-5599823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36127851</v>
      </c>
      <c r="D188" s="622">
        <f>+D185-D186</f>
        <v>30781581</v>
      </c>
      <c r="E188" s="590">
        <f t="shared" ref="E188:E197" si="22">D188-C188</f>
        <v>-5346270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0.4951463452120064</v>
      </c>
      <c r="D189" s="623">
        <f>IF(D185=0,0,+D188/D185)</f>
        <v>0.49633387254868527</v>
      </c>
      <c r="E189" s="599">
        <f t="shared" si="22"/>
        <v>1.187527336678873E-3</v>
      </c>
    </row>
    <row r="190" spans="1:5" s="421" customFormat="1" x14ac:dyDescent="0.2">
      <c r="A190" s="588">
        <v>5</v>
      </c>
      <c r="B190" s="587" t="s">
        <v>761</v>
      </c>
      <c r="C190" s="589">
        <v>49956</v>
      </c>
      <c r="D190" s="589">
        <v>3159164</v>
      </c>
      <c r="E190" s="622">
        <f t="shared" si="22"/>
        <v>3109208</v>
      </c>
    </row>
    <row r="191" spans="1:5" s="421" customFormat="1" x14ac:dyDescent="0.2">
      <c r="A191" s="588">
        <v>6</v>
      </c>
      <c r="B191" s="587" t="s">
        <v>747</v>
      </c>
      <c r="C191" s="589">
        <v>27028</v>
      </c>
      <c r="D191" s="589">
        <v>1168909</v>
      </c>
      <c r="E191" s="622">
        <f t="shared" si="22"/>
        <v>1141881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3573641</v>
      </c>
      <c r="D193" s="589">
        <v>2699812</v>
      </c>
      <c r="E193" s="622">
        <f t="shared" si="22"/>
        <v>-873829</v>
      </c>
    </row>
    <row r="194" spans="1:5" s="421" customFormat="1" x14ac:dyDescent="0.2">
      <c r="A194" s="588">
        <v>9</v>
      </c>
      <c r="B194" s="587" t="s">
        <v>817</v>
      </c>
      <c r="C194" s="589">
        <v>3254865</v>
      </c>
      <c r="D194" s="589">
        <v>4240640</v>
      </c>
      <c r="E194" s="622">
        <f t="shared" si="22"/>
        <v>985775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6828506</v>
      </c>
      <c r="D195" s="589">
        <f>+D193+D194</f>
        <v>6940452</v>
      </c>
      <c r="E195" s="625">
        <f t="shared" si="22"/>
        <v>111946</v>
      </c>
    </row>
    <row r="196" spans="1:5" s="421" customFormat="1" x14ac:dyDescent="0.2">
      <c r="A196" s="588">
        <v>11</v>
      </c>
      <c r="B196" s="587" t="s">
        <v>819</v>
      </c>
      <c r="C196" s="589">
        <v>5761698</v>
      </c>
      <c r="D196" s="589">
        <v>5866110</v>
      </c>
      <c r="E196" s="622">
        <f t="shared" si="22"/>
        <v>104412</v>
      </c>
    </row>
    <row r="197" spans="1:5" s="421" customFormat="1" x14ac:dyDescent="0.2">
      <c r="A197" s="588">
        <v>12</v>
      </c>
      <c r="B197" s="587" t="s">
        <v>709</v>
      </c>
      <c r="C197" s="589">
        <v>96450117</v>
      </c>
      <c r="D197" s="589">
        <v>91367918</v>
      </c>
      <c r="E197" s="622">
        <f t="shared" si="22"/>
        <v>-5082199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1124.4716799999999</v>
      </c>
      <c r="D203" s="629">
        <v>896.22910000000002</v>
      </c>
      <c r="E203" s="630">
        <f t="shared" ref="E203:E211" si="23">D203-C203</f>
        <v>-228.24257999999986</v>
      </c>
    </row>
    <row r="204" spans="1:5" s="421" customFormat="1" x14ac:dyDescent="0.2">
      <c r="A204" s="588">
        <v>2</v>
      </c>
      <c r="B204" s="587" t="s">
        <v>634</v>
      </c>
      <c r="C204" s="629">
        <v>3207.41444</v>
      </c>
      <c r="D204" s="629">
        <v>3089.6242000000002</v>
      </c>
      <c r="E204" s="630">
        <f t="shared" si="23"/>
        <v>-117.79023999999981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904.9307</v>
      </c>
      <c r="D205" s="629">
        <f>D206+D207</f>
        <v>966.88977999999997</v>
      </c>
      <c r="E205" s="630">
        <f t="shared" si="23"/>
        <v>61.959079999999972</v>
      </c>
    </row>
    <row r="206" spans="1:5" s="421" customFormat="1" x14ac:dyDescent="0.2">
      <c r="A206" s="588">
        <v>4</v>
      </c>
      <c r="B206" s="587" t="s">
        <v>115</v>
      </c>
      <c r="C206" s="629">
        <v>888.93709999999999</v>
      </c>
      <c r="D206" s="629">
        <v>929.37220000000002</v>
      </c>
      <c r="E206" s="630">
        <f t="shared" si="23"/>
        <v>40.435100000000034</v>
      </c>
    </row>
    <row r="207" spans="1:5" s="421" customFormat="1" x14ac:dyDescent="0.2">
      <c r="A207" s="588">
        <v>5</v>
      </c>
      <c r="B207" s="587" t="s">
        <v>742</v>
      </c>
      <c r="C207" s="629">
        <v>15.993600000000001</v>
      </c>
      <c r="D207" s="629">
        <v>37.517579999999995</v>
      </c>
      <c r="E207" s="630">
        <f t="shared" si="23"/>
        <v>21.523979999999995</v>
      </c>
    </row>
    <row r="208" spans="1:5" s="421" customFormat="1" x14ac:dyDescent="0.2">
      <c r="A208" s="588">
        <v>6</v>
      </c>
      <c r="B208" s="587" t="s">
        <v>424</v>
      </c>
      <c r="C208" s="629">
        <v>16.057009999999998</v>
      </c>
      <c r="D208" s="629">
        <v>15.05016</v>
      </c>
      <c r="E208" s="630">
        <f t="shared" si="23"/>
        <v>-1.0068499999999982</v>
      </c>
    </row>
    <row r="209" spans="1:5" s="421" customFormat="1" x14ac:dyDescent="0.2">
      <c r="A209" s="588">
        <v>7</v>
      </c>
      <c r="B209" s="587" t="s">
        <v>757</v>
      </c>
      <c r="C209" s="629">
        <v>52.179680000000005</v>
      </c>
      <c r="D209" s="629">
        <v>52.291199999999996</v>
      </c>
      <c r="E209" s="630">
        <f t="shared" si="23"/>
        <v>0.11151999999999163</v>
      </c>
    </row>
    <row r="210" spans="1:5" s="421" customFormat="1" x14ac:dyDescent="0.2">
      <c r="A210" s="588"/>
      <c r="B210" s="592" t="s">
        <v>822</v>
      </c>
      <c r="C210" s="631">
        <f>C204+C205+C208</f>
        <v>4128.4021500000008</v>
      </c>
      <c r="D210" s="631">
        <f>D204+D205+D208</f>
        <v>4071.56414</v>
      </c>
      <c r="E210" s="632">
        <f t="shared" si="23"/>
        <v>-56.83801000000085</v>
      </c>
    </row>
    <row r="211" spans="1:5" s="421" customFormat="1" x14ac:dyDescent="0.2">
      <c r="A211" s="588"/>
      <c r="B211" s="592" t="s">
        <v>723</v>
      </c>
      <c r="C211" s="631">
        <f>C210+C203</f>
        <v>5252.8738300000005</v>
      </c>
      <c r="D211" s="631">
        <f>D210+D203</f>
        <v>4967.79324</v>
      </c>
      <c r="E211" s="632">
        <f t="shared" si="23"/>
        <v>-285.08059000000048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5115.6056995914205</v>
      </c>
      <c r="D215" s="633">
        <f>IF(D14*D137=0,0,D25/D14*D137)</f>
        <v>4387.587507798451</v>
      </c>
      <c r="E215" s="633">
        <f t="shared" ref="E215:E223" si="24">D215-C215</f>
        <v>-728.01819179296945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2333.1500201031658</v>
      </c>
      <c r="D216" s="633">
        <f>IF(D15*D138=0,0,D26/D15*D138)</f>
        <v>2102.4359548426946</v>
      </c>
      <c r="E216" s="633">
        <f t="shared" si="24"/>
        <v>-230.71406526047122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3019.6346154791145</v>
      </c>
      <c r="D217" s="633">
        <f>D218+D219</f>
        <v>3055.5050966528411</v>
      </c>
      <c r="E217" s="633">
        <f t="shared" si="24"/>
        <v>35.870481173726603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2998.2811594536129</v>
      </c>
      <c r="D218" s="633">
        <f t="shared" si="25"/>
        <v>3046.3539561937714</v>
      </c>
      <c r="E218" s="633">
        <f t="shared" si="24"/>
        <v>48.072796740158537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21.353456025501735</v>
      </c>
      <c r="D219" s="633">
        <f t="shared" si="25"/>
        <v>9.1511404590695609</v>
      </c>
      <c r="E219" s="633">
        <f t="shared" si="24"/>
        <v>-12.202315566432175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36.876093411443705</v>
      </c>
      <c r="D220" s="633">
        <f t="shared" si="25"/>
        <v>59.469159813740283</v>
      </c>
      <c r="E220" s="633">
        <f t="shared" si="24"/>
        <v>22.593066402296579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319.63507632088726</v>
      </c>
      <c r="D221" s="633">
        <f t="shared" si="25"/>
        <v>254.10066964109654</v>
      </c>
      <c r="E221" s="633">
        <f t="shared" si="24"/>
        <v>-65.53440667979072</v>
      </c>
    </row>
    <row r="222" spans="1:5" s="421" customFormat="1" x14ac:dyDescent="0.2">
      <c r="A222" s="588"/>
      <c r="B222" s="592" t="s">
        <v>824</v>
      </c>
      <c r="C222" s="634">
        <f>C216+C218+C219+C220</f>
        <v>5389.6607289937247</v>
      </c>
      <c r="D222" s="634">
        <f>D216+D218+D219+D220</f>
        <v>5217.4102113092758</v>
      </c>
      <c r="E222" s="634">
        <f t="shared" si="24"/>
        <v>-172.25051768444882</v>
      </c>
    </row>
    <row r="223" spans="1:5" s="421" customFormat="1" x14ac:dyDescent="0.2">
      <c r="A223" s="588"/>
      <c r="B223" s="592" t="s">
        <v>825</v>
      </c>
      <c r="C223" s="634">
        <f>C215+C222</f>
        <v>10505.266428585146</v>
      </c>
      <c r="D223" s="634">
        <f>D215+D222</f>
        <v>9604.9977191077269</v>
      </c>
      <c r="E223" s="634">
        <f t="shared" si="24"/>
        <v>-900.26870947741918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8192.8519533724502</v>
      </c>
      <c r="D227" s="636">
        <f t="shared" si="26"/>
        <v>8001.6203446194731</v>
      </c>
      <c r="E227" s="636">
        <f t="shared" ref="E227:E235" si="27">D227-C227</f>
        <v>-191.23160875297708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8724.9117703666634</v>
      </c>
      <c r="D228" s="636">
        <f t="shared" si="26"/>
        <v>8025.275371677888</v>
      </c>
      <c r="E228" s="636">
        <f t="shared" si="27"/>
        <v>-699.63639868877544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4823.3947638200361</v>
      </c>
      <c r="D229" s="636">
        <f t="shared" si="26"/>
        <v>4340.3840714915823</v>
      </c>
      <c r="E229" s="636">
        <f t="shared" si="27"/>
        <v>-483.01069232845384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4860.7859881199693</v>
      </c>
      <c r="D230" s="636">
        <f t="shared" si="26"/>
        <v>4420.8466747768007</v>
      </c>
      <c r="E230" s="636">
        <f t="shared" si="27"/>
        <v>-439.93931334316858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2745.16056422569</v>
      </c>
      <c r="D231" s="636">
        <f t="shared" si="26"/>
        <v>2347.1929692693402</v>
      </c>
      <c r="E231" s="636">
        <f t="shared" si="27"/>
        <v>-397.96759495634979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5022.479278520721</v>
      </c>
      <c r="D232" s="636">
        <f t="shared" si="26"/>
        <v>4316.6318497610655</v>
      </c>
      <c r="E232" s="636">
        <f t="shared" si="27"/>
        <v>-705.84742875965549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287.85151614574869</v>
      </c>
      <c r="D233" s="636">
        <f t="shared" si="26"/>
        <v>280.04712073924486</v>
      </c>
      <c r="E233" s="636">
        <f t="shared" si="27"/>
        <v>-7.8043954065038292</v>
      </c>
    </row>
    <row r="234" spans="1:5" x14ac:dyDescent="0.2">
      <c r="A234" s="588"/>
      <c r="B234" s="592" t="s">
        <v>827</v>
      </c>
      <c r="C234" s="637">
        <f t="shared" si="26"/>
        <v>7855.3132233011729</v>
      </c>
      <c r="D234" s="637">
        <f t="shared" si="26"/>
        <v>7136.5016000951418</v>
      </c>
      <c r="E234" s="637">
        <f t="shared" si="27"/>
        <v>-718.81162320603107</v>
      </c>
    </row>
    <row r="235" spans="1:5" s="421" customFormat="1" x14ac:dyDescent="0.2">
      <c r="A235" s="588"/>
      <c r="B235" s="592" t="s">
        <v>828</v>
      </c>
      <c r="C235" s="637">
        <f t="shared" si="26"/>
        <v>7927.5694310746458</v>
      </c>
      <c r="D235" s="637">
        <f t="shared" si="26"/>
        <v>7292.5758480238201</v>
      </c>
      <c r="E235" s="637">
        <f t="shared" si="27"/>
        <v>-634.99358305082569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5413.070636427602</v>
      </c>
      <c r="D239" s="636">
        <f t="shared" si="28"/>
        <v>5511.2434696791433</v>
      </c>
      <c r="E239" s="638">
        <f t="shared" ref="E239:E247" si="29">D239-C239</f>
        <v>98.172833251541306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4207.9998780215074</v>
      </c>
      <c r="D240" s="636">
        <f t="shared" si="28"/>
        <v>4202.2526201807832</v>
      </c>
      <c r="E240" s="638">
        <f t="shared" si="29"/>
        <v>-5.7472578407241599</v>
      </c>
    </row>
    <row r="241" spans="1:5" x14ac:dyDescent="0.2">
      <c r="A241" s="588">
        <v>3</v>
      </c>
      <c r="B241" s="587" t="s">
        <v>776</v>
      </c>
      <c r="C241" s="636">
        <f t="shared" si="28"/>
        <v>2529.4709369292664</v>
      </c>
      <c r="D241" s="636">
        <f t="shared" si="28"/>
        <v>2415.7770209861505</v>
      </c>
      <c r="E241" s="638">
        <f t="shared" si="29"/>
        <v>-113.69391594311583</v>
      </c>
    </row>
    <row r="242" spans="1:5" x14ac:dyDescent="0.2">
      <c r="A242" s="588">
        <v>4</v>
      </c>
      <c r="B242" s="587" t="s">
        <v>115</v>
      </c>
      <c r="C242" s="636">
        <f t="shared" si="28"/>
        <v>2537.4098009495574</v>
      </c>
      <c r="D242" s="636">
        <f t="shared" si="28"/>
        <v>2411.6885646405444</v>
      </c>
      <c r="E242" s="638">
        <f t="shared" si="29"/>
        <v>-125.72123630901297</v>
      </c>
    </row>
    <row r="243" spans="1:5" x14ac:dyDescent="0.2">
      <c r="A243" s="588">
        <v>5</v>
      </c>
      <c r="B243" s="587" t="s">
        <v>742</v>
      </c>
      <c r="C243" s="636">
        <f t="shared" si="28"/>
        <v>1414.7592766211326</v>
      </c>
      <c r="D243" s="636">
        <f t="shared" si="28"/>
        <v>3776.7970183154725</v>
      </c>
      <c r="E243" s="638">
        <f t="shared" si="29"/>
        <v>2362.0377416943402</v>
      </c>
    </row>
    <row r="244" spans="1:5" x14ac:dyDescent="0.2">
      <c r="A244" s="588">
        <v>6</v>
      </c>
      <c r="B244" s="587" t="s">
        <v>424</v>
      </c>
      <c r="C244" s="636">
        <f t="shared" si="28"/>
        <v>3142.5508853938845</v>
      </c>
      <c r="D244" s="636">
        <f t="shared" si="28"/>
        <v>1497.1121212886087</v>
      </c>
      <c r="E244" s="638">
        <f t="shared" si="29"/>
        <v>-1645.4387641052758</v>
      </c>
    </row>
    <row r="245" spans="1:5" x14ac:dyDescent="0.2">
      <c r="A245" s="588">
        <v>7</v>
      </c>
      <c r="B245" s="587" t="s">
        <v>757</v>
      </c>
      <c r="C245" s="636">
        <f t="shared" si="28"/>
        <v>340.26928850202887</v>
      </c>
      <c r="D245" s="636">
        <f t="shared" si="28"/>
        <v>399.02295473369162</v>
      </c>
      <c r="E245" s="638">
        <f t="shared" si="29"/>
        <v>58.753666231662748</v>
      </c>
    </row>
    <row r="246" spans="1:5" ht="25.5" x14ac:dyDescent="0.2">
      <c r="A246" s="588"/>
      <c r="B246" s="592" t="s">
        <v>830</v>
      </c>
      <c r="C246" s="637">
        <f t="shared" si="28"/>
        <v>3260.2901895980285</v>
      </c>
      <c r="D246" s="637">
        <f t="shared" si="28"/>
        <v>3125.1937914822802</v>
      </c>
      <c r="E246" s="639">
        <f t="shared" si="29"/>
        <v>-135.09639811574834</v>
      </c>
    </row>
    <row r="247" spans="1:5" x14ac:dyDescent="0.2">
      <c r="A247" s="588"/>
      <c r="B247" s="592" t="s">
        <v>831</v>
      </c>
      <c r="C247" s="637">
        <f t="shared" si="28"/>
        <v>4308.6001966440408</v>
      </c>
      <c r="D247" s="637">
        <f t="shared" si="28"/>
        <v>4215.1473830606037</v>
      </c>
      <c r="E247" s="639">
        <f t="shared" si="29"/>
        <v>-93.452813583437091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5008898.7532549864</v>
      </c>
      <c r="D251" s="622">
        <f>((IF((IF(D15=0,0,D26/D15)*D138)=0,0,D59/(IF(D15=0,0,D26/D15)*D138)))-(IF((IF(D17=0,0,D28/D17)*D140)=0,0,D61/(IF(D17=0,0,D28/D17)*D140))))*(IF(D17=0,0,D28/D17)*D140)</f>
        <v>5454691.8944133706</v>
      </c>
      <c r="E251" s="622">
        <f>D251-C251</f>
        <v>445793.14115838427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155283.0892411852</v>
      </c>
      <c r="D252" s="622">
        <f>IF(D231=0,0,(D228-D231)*D207)+IF(D243=0,0,(D240-D243)*D219)</f>
        <v>216921.31475072229</v>
      </c>
      <c r="E252" s="622">
        <f>D252-C252</f>
        <v>61638.225509537093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1676505.4663756548</v>
      </c>
      <c r="D253" s="622">
        <f>IF(D233=0,0,(D228-D233)*D209+IF(D221=0,0,(D240-D245)*D221))</f>
        <v>1371410.4843044723</v>
      </c>
      <c r="E253" s="622">
        <f>D253-C253</f>
        <v>-305094.98207118246</v>
      </c>
    </row>
    <row r="254" spans="1:5" ht="15" customHeight="1" x14ac:dyDescent="0.2">
      <c r="A254" s="588"/>
      <c r="B254" s="592" t="s">
        <v>758</v>
      </c>
      <c r="C254" s="640">
        <f>+C251+C252+C253</f>
        <v>6840687.3088718262</v>
      </c>
      <c r="D254" s="640">
        <f>+D251+D252+D253</f>
        <v>7043023.6934685651</v>
      </c>
      <c r="E254" s="640">
        <f>D254-C254</f>
        <v>202336.38459673896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210150088</v>
      </c>
      <c r="D258" s="625">
        <f>+D44</f>
        <v>205409385</v>
      </c>
      <c r="E258" s="622">
        <f t="shared" ref="E258:E271" si="30">D258-C258</f>
        <v>-4740703</v>
      </c>
    </row>
    <row r="259" spans="1:5" x14ac:dyDescent="0.2">
      <c r="A259" s="588">
        <v>2</v>
      </c>
      <c r="B259" s="587" t="s">
        <v>741</v>
      </c>
      <c r="C259" s="622">
        <f>+(C43-C76)</f>
        <v>79671473</v>
      </c>
      <c r="D259" s="625">
        <f>+(D43-D76)</f>
        <v>87652270</v>
      </c>
      <c r="E259" s="622">
        <f t="shared" si="30"/>
        <v>7980797</v>
      </c>
    </row>
    <row r="260" spans="1:5" x14ac:dyDescent="0.2">
      <c r="A260" s="588">
        <v>3</v>
      </c>
      <c r="B260" s="587" t="s">
        <v>745</v>
      </c>
      <c r="C260" s="622">
        <f>C195</f>
        <v>6828506</v>
      </c>
      <c r="D260" s="622">
        <f>D195</f>
        <v>6940452</v>
      </c>
      <c r="E260" s="622">
        <f t="shared" si="30"/>
        <v>111946</v>
      </c>
    </row>
    <row r="261" spans="1:5" x14ac:dyDescent="0.2">
      <c r="A261" s="588">
        <v>4</v>
      </c>
      <c r="B261" s="587" t="s">
        <v>746</v>
      </c>
      <c r="C261" s="622">
        <f>C188</f>
        <v>36127851</v>
      </c>
      <c r="D261" s="622">
        <f>D188</f>
        <v>30781581</v>
      </c>
      <c r="E261" s="622">
        <f t="shared" si="30"/>
        <v>-5346270</v>
      </c>
    </row>
    <row r="262" spans="1:5" x14ac:dyDescent="0.2">
      <c r="A262" s="588">
        <v>5</v>
      </c>
      <c r="B262" s="587" t="s">
        <v>747</v>
      </c>
      <c r="C262" s="622">
        <f>C191</f>
        <v>27028</v>
      </c>
      <c r="D262" s="622">
        <f>D191</f>
        <v>1168909</v>
      </c>
      <c r="E262" s="622">
        <f t="shared" si="30"/>
        <v>1141881</v>
      </c>
    </row>
    <row r="263" spans="1:5" x14ac:dyDescent="0.2">
      <c r="A263" s="588">
        <v>6</v>
      </c>
      <c r="B263" s="587" t="s">
        <v>748</v>
      </c>
      <c r="C263" s="622">
        <f>+C259+C260+C261+C262</f>
        <v>122654858</v>
      </c>
      <c r="D263" s="622">
        <f>+D259+D260+D261+D262</f>
        <v>126543212</v>
      </c>
      <c r="E263" s="622">
        <f t="shared" si="30"/>
        <v>3888354</v>
      </c>
    </row>
    <row r="264" spans="1:5" x14ac:dyDescent="0.2">
      <c r="A264" s="588">
        <v>7</v>
      </c>
      <c r="B264" s="587" t="s">
        <v>653</v>
      </c>
      <c r="C264" s="622">
        <f>+C258-C263</f>
        <v>87495230</v>
      </c>
      <c r="D264" s="622">
        <f>+D258-D263</f>
        <v>78866173</v>
      </c>
      <c r="E264" s="622">
        <f t="shared" si="30"/>
        <v>-8629057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87495230</v>
      </c>
      <c r="D266" s="622">
        <f>+D264+D265</f>
        <v>78866173</v>
      </c>
      <c r="E266" s="641">
        <f t="shared" si="30"/>
        <v>-8629057</v>
      </c>
    </row>
    <row r="267" spans="1:5" x14ac:dyDescent="0.2">
      <c r="A267" s="588">
        <v>10</v>
      </c>
      <c r="B267" s="587" t="s">
        <v>836</v>
      </c>
      <c r="C267" s="642">
        <f>IF(C258=0,0,C266/C258)</f>
        <v>0.41634638763510773</v>
      </c>
      <c r="D267" s="642">
        <f>IF(D258=0,0,D266/D258)</f>
        <v>0.38394629826675153</v>
      </c>
      <c r="E267" s="643">
        <f t="shared" si="30"/>
        <v>-3.24000893683562E-2</v>
      </c>
    </row>
    <row r="268" spans="1:5" x14ac:dyDescent="0.2">
      <c r="A268" s="588">
        <v>11</v>
      </c>
      <c r="B268" s="587" t="s">
        <v>715</v>
      </c>
      <c r="C268" s="622">
        <f>+C260*C267</f>
        <v>2843023.8060446591</v>
      </c>
      <c r="D268" s="644">
        <f>+D260*D267</f>
        <v>2664760.853698072</v>
      </c>
      <c r="E268" s="622">
        <f t="shared" si="30"/>
        <v>-178262.95234658709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5662617.9273333065</v>
      </c>
      <c r="D269" s="644">
        <f>((D17+D18+D28+D29)*D267)-(D50+D51+D61+D62)</f>
        <v>6685606.0402980037</v>
      </c>
      <c r="E269" s="622">
        <f t="shared" si="30"/>
        <v>1022988.1129646972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839</v>
      </c>
      <c r="C271" s="622">
        <f>+C268+C269+C270</f>
        <v>8505641.7333779652</v>
      </c>
      <c r="D271" s="622">
        <f>+D268+D269+D270</f>
        <v>9350366.8939960748</v>
      </c>
      <c r="E271" s="625">
        <f t="shared" si="30"/>
        <v>844725.16061810963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0.61159907416658565</v>
      </c>
      <c r="D276" s="623">
        <f t="shared" si="31"/>
        <v>0.5684148593005216</v>
      </c>
      <c r="E276" s="650">
        <f t="shared" ref="E276:E284" si="32">D276-C276</f>
        <v>-4.3184214866064052E-2</v>
      </c>
    </row>
    <row r="277" spans="1:5" x14ac:dyDescent="0.2">
      <c r="A277" s="588">
        <v>2</v>
      </c>
      <c r="B277" s="587" t="s">
        <v>634</v>
      </c>
      <c r="C277" s="623">
        <f t="shared" si="31"/>
        <v>0.64749403632304359</v>
      </c>
      <c r="D277" s="623">
        <f t="shared" si="31"/>
        <v>0.56980087325964579</v>
      </c>
      <c r="E277" s="650">
        <f t="shared" si="32"/>
        <v>-7.7693163063397797E-2</v>
      </c>
    </row>
    <row r="278" spans="1:5" x14ac:dyDescent="0.2">
      <c r="A278" s="588">
        <v>3</v>
      </c>
      <c r="B278" s="587" t="s">
        <v>776</v>
      </c>
      <c r="C278" s="623">
        <f t="shared" si="31"/>
        <v>0.4178719104692718</v>
      </c>
      <c r="D278" s="623">
        <f t="shared" si="31"/>
        <v>0.35522034730678914</v>
      </c>
      <c r="E278" s="650">
        <f t="shared" si="32"/>
        <v>-6.265156316248266E-2</v>
      </c>
    </row>
    <row r="279" spans="1:5" x14ac:dyDescent="0.2">
      <c r="A279" s="588">
        <v>4</v>
      </c>
      <c r="B279" s="587" t="s">
        <v>115</v>
      </c>
      <c r="C279" s="623">
        <f t="shared" si="31"/>
        <v>0.42097632558449488</v>
      </c>
      <c r="D279" s="623">
        <f t="shared" si="31"/>
        <v>0.36579044059875643</v>
      </c>
      <c r="E279" s="650">
        <f t="shared" si="32"/>
        <v>-5.5185884985738454E-2</v>
      </c>
    </row>
    <row r="280" spans="1:5" x14ac:dyDescent="0.2">
      <c r="A280" s="588">
        <v>5</v>
      </c>
      <c r="B280" s="587" t="s">
        <v>742</v>
      </c>
      <c r="C280" s="623">
        <f t="shared" si="31"/>
        <v>0.2421396308204786</v>
      </c>
      <c r="D280" s="623">
        <f t="shared" si="31"/>
        <v>0.15127273102069283</v>
      </c>
      <c r="E280" s="650">
        <f t="shared" si="32"/>
        <v>-9.0866899799785766E-2</v>
      </c>
    </row>
    <row r="281" spans="1:5" x14ac:dyDescent="0.2">
      <c r="A281" s="588">
        <v>6</v>
      </c>
      <c r="B281" s="587" t="s">
        <v>424</v>
      </c>
      <c r="C281" s="623">
        <f t="shared" si="31"/>
        <v>0.38069836714077332</v>
      </c>
      <c r="D281" s="623">
        <f t="shared" si="31"/>
        <v>0.52428720150428121</v>
      </c>
      <c r="E281" s="650">
        <f t="shared" si="32"/>
        <v>0.14358883436350789</v>
      </c>
    </row>
    <row r="282" spans="1:5" x14ac:dyDescent="0.2">
      <c r="A282" s="588">
        <v>7</v>
      </c>
      <c r="B282" s="587" t="s">
        <v>757</v>
      </c>
      <c r="C282" s="623">
        <f t="shared" si="31"/>
        <v>1.9997204119264284E-2</v>
      </c>
      <c r="D282" s="623">
        <f t="shared" si="31"/>
        <v>1.9250538315722501E-2</v>
      </c>
      <c r="E282" s="650">
        <f t="shared" si="32"/>
        <v>-7.4666580354178225E-4</v>
      </c>
    </row>
    <row r="283" spans="1:5" ht="29.25" customHeight="1" x14ac:dyDescent="0.2">
      <c r="A283" s="588"/>
      <c r="B283" s="592" t="s">
        <v>843</v>
      </c>
      <c r="C283" s="651">
        <f t="shared" si="31"/>
        <v>0.60192689635677099</v>
      </c>
      <c r="D283" s="651">
        <f t="shared" si="31"/>
        <v>0.52398316464709338</v>
      </c>
      <c r="E283" s="652">
        <f t="shared" si="32"/>
        <v>-7.7943731709677611E-2</v>
      </c>
    </row>
    <row r="284" spans="1:5" x14ac:dyDescent="0.2">
      <c r="A284" s="588"/>
      <c r="B284" s="592" t="s">
        <v>844</v>
      </c>
      <c r="C284" s="651">
        <f t="shared" si="31"/>
        <v>0.60404023906012161</v>
      </c>
      <c r="D284" s="651">
        <f t="shared" si="31"/>
        <v>0.53221828136728766</v>
      </c>
      <c r="E284" s="652">
        <f t="shared" si="32"/>
        <v>-7.1821957692833949E-2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0.42332330179253025</v>
      </c>
      <c r="D287" s="623">
        <f t="shared" si="33"/>
        <v>0.40450977794995358</v>
      </c>
      <c r="E287" s="650">
        <f t="shared" ref="E287:E295" si="34">D287-C287</f>
        <v>-1.8813523842576674E-2</v>
      </c>
    </row>
    <row r="288" spans="1:5" x14ac:dyDescent="0.2">
      <c r="A288" s="588">
        <v>2</v>
      </c>
      <c r="B288" s="587" t="s">
        <v>634</v>
      </c>
      <c r="C288" s="623">
        <f t="shared" si="33"/>
        <v>0.22646707855912807</v>
      </c>
      <c r="D288" s="623">
        <f t="shared" si="33"/>
        <v>0.21341843917562636</v>
      </c>
      <c r="E288" s="650">
        <f t="shared" si="34"/>
        <v>-1.3048639383501703E-2</v>
      </c>
    </row>
    <row r="289" spans="1:5" x14ac:dyDescent="0.2">
      <c r="A289" s="588">
        <v>3</v>
      </c>
      <c r="B289" s="587" t="s">
        <v>776</v>
      </c>
      <c r="C289" s="623">
        <f t="shared" si="33"/>
        <v>0.2388056164331353</v>
      </c>
      <c r="D289" s="623">
        <f t="shared" si="33"/>
        <v>0.20644966861828515</v>
      </c>
      <c r="E289" s="650">
        <f t="shared" si="34"/>
        <v>-3.2355947814850156E-2</v>
      </c>
    </row>
    <row r="290" spans="1:5" x14ac:dyDescent="0.2">
      <c r="A290" s="588">
        <v>4</v>
      </c>
      <c r="B290" s="587" t="s">
        <v>115</v>
      </c>
      <c r="C290" s="623">
        <f t="shared" si="33"/>
        <v>0.23979630576791042</v>
      </c>
      <c r="D290" s="623">
        <f t="shared" si="33"/>
        <v>0.20719809533102845</v>
      </c>
      <c r="E290" s="650">
        <f t="shared" si="34"/>
        <v>-3.2598210436881964E-2</v>
      </c>
    </row>
    <row r="291" spans="1:5" x14ac:dyDescent="0.2">
      <c r="A291" s="588">
        <v>5</v>
      </c>
      <c r="B291" s="587" t="s">
        <v>742</v>
      </c>
      <c r="C291" s="623">
        <f t="shared" si="33"/>
        <v>0.11703767985681189</v>
      </c>
      <c r="D291" s="623">
        <f t="shared" si="33"/>
        <v>0.1167812674224122</v>
      </c>
      <c r="E291" s="650">
        <f t="shared" si="34"/>
        <v>-2.564124343996943E-4</v>
      </c>
    </row>
    <row r="292" spans="1:5" x14ac:dyDescent="0.2">
      <c r="A292" s="588">
        <v>6</v>
      </c>
      <c r="B292" s="587" t="s">
        <v>424</v>
      </c>
      <c r="C292" s="623">
        <f t="shared" si="33"/>
        <v>0.25219090645966491</v>
      </c>
      <c r="D292" s="623">
        <f t="shared" si="33"/>
        <v>0.21747531076799817</v>
      </c>
      <c r="E292" s="650">
        <f t="shared" si="34"/>
        <v>-3.471559569166674E-2</v>
      </c>
    </row>
    <row r="293" spans="1:5" x14ac:dyDescent="0.2">
      <c r="A293" s="588">
        <v>7</v>
      </c>
      <c r="B293" s="587" t="s">
        <v>757</v>
      </c>
      <c r="C293" s="623">
        <f t="shared" si="33"/>
        <v>2.5369395964763407E-2</v>
      </c>
      <c r="D293" s="623">
        <f t="shared" si="33"/>
        <v>2.5178060679444093E-2</v>
      </c>
      <c r="E293" s="650">
        <f t="shared" si="34"/>
        <v>-1.9133528531931412E-4</v>
      </c>
    </row>
    <row r="294" spans="1:5" ht="29.25" customHeight="1" x14ac:dyDescent="0.2">
      <c r="A294" s="588"/>
      <c r="B294" s="592" t="s">
        <v>846</v>
      </c>
      <c r="C294" s="651">
        <f t="shared" si="33"/>
        <v>0.23182963186602937</v>
      </c>
      <c r="D294" s="651">
        <f t="shared" si="33"/>
        <v>0.21022738180582742</v>
      </c>
      <c r="E294" s="652">
        <f t="shared" si="34"/>
        <v>-2.1602250060201944E-2</v>
      </c>
    </row>
    <row r="295" spans="1:5" x14ac:dyDescent="0.2">
      <c r="A295" s="588"/>
      <c r="B295" s="592" t="s">
        <v>847</v>
      </c>
      <c r="C295" s="651">
        <f t="shared" si="33"/>
        <v>0.32053649445548188</v>
      </c>
      <c r="D295" s="651">
        <f t="shared" si="33"/>
        <v>0.29479112255447637</v>
      </c>
      <c r="E295" s="652">
        <f t="shared" si="34"/>
        <v>-2.5745371901005509E-2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86905515</v>
      </c>
      <c r="D301" s="590">
        <f>+D48+D47+D50+D51+D52+D59+D58+D61+D62+D63</f>
        <v>76714490</v>
      </c>
      <c r="E301" s="590">
        <f>D301-C301</f>
        <v>-10191025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86905515</v>
      </c>
      <c r="D303" s="593">
        <f>+D301+D302</f>
        <v>76714490</v>
      </c>
      <c r="E303" s="593">
        <f>D303-C303</f>
        <v>-10191025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3254865</v>
      </c>
      <c r="D305" s="654">
        <v>0</v>
      </c>
      <c r="E305" s="655">
        <f>D305-C305</f>
        <v>-3254865</v>
      </c>
    </row>
    <row r="306" spans="1:5" x14ac:dyDescent="0.2">
      <c r="A306" s="588">
        <v>4</v>
      </c>
      <c r="B306" s="592" t="s">
        <v>854</v>
      </c>
      <c r="C306" s="593">
        <f>+C303+C305+C194+C190-C191</f>
        <v>93438173</v>
      </c>
      <c r="D306" s="593">
        <f>+D303+D305</f>
        <v>76714490</v>
      </c>
      <c r="E306" s="656">
        <f>D306-C306</f>
        <v>-16723683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90160381</v>
      </c>
      <c r="D308" s="589">
        <v>76714489</v>
      </c>
      <c r="E308" s="590">
        <f>D308-C308</f>
        <v>-13445892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3277792</v>
      </c>
      <c r="D310" s="658">
        <f>D306-D308</f>
        <v>1</v>
      </c>
      <c r="E310" s="656">
        <f>D310-C310</f>
        <v>-3277791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210150088</v>
      </c>
      <c r="D314" s="590">
        <f>+D14+D15+D16+D19+D25+D26+D27+D30</f>
        <v>205409385</v>
      </c>
      <c r="E314" s="590">
        <f>D314-C314</f>
        <v>-4740703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210150088</v>
      </c>
      <c r="D316" s="657">
        <f>D314+D315</f>
        <v>205409385</v>
      </c>
      <c r="E316" s="593">
        <f>D316-C316</f>
        <v>-4740703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210150089</v>
      </c>
      <c r="D318" s="589">
        <v>205409386</v>
      </c>
      <c r="E318" s="590">
        <f>D318-C318</f>
        <v>-4740703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-1</v>
      </c>
      <c r="D320" s="657">
        <f>D316-D318</f>
        <v>-1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6828506</v>
      </c>
      <c r="D324" s="589">
        <f>+D193+D194</f>
        <v>6940452</v>
      </c>
      <c r="E324" s="590">
        <f>D324-C324</f>
        <v>111946</v>
      </c>
    </row>
    <row r="325" spans="1:5" x14ac:dyDescent="0.2">
      <c r="A325" s="588">
        <v>2</v>
      </c>
      <c r="B325" s="587" t="s">
        <v>864</v>
      </c>
      <c r="C325" s="589">
        <v>717092</v>
      </c>
      <c r="D325" s="589">
        <v>0</v>
      </c>
      <c r="E325" s="590">
        <f>D325-C325</f>
        <v>-717092</v>
      </c>
    </row>
    <row r="326" spans="1:5" x14ac:dyDescent="0.2">
      <c r="A326" s="588"/>
      <c r="B326" s="592" t="s">
        <v>865</v>
      </c>
      <c r="C326" s="657">
        <f>C324+C325</f>
        <v>7545598</v>
      </c>
      <c r="D326" s="657">
        <f>D324+D325</f>
        <v>6940452</v>
      </c>
      <c r="E326" s="593">
        <f>D326-C326</f>
        <v>-605146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7545598</v>
      </c>
      <c r="D328" s="589">
        <v>6940452</v>
      </c>
      <c r="E328" s="590">
        <f>D328-C328</f>
        <v>-605146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12616287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43515351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11814281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11232147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582134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123913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760706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55453545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68069832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59778686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41397393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35754085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35458130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295955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409389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4026998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77560867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137339553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72394973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133014412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205409385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7171285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24795085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4196673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4108612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88061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64966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14644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29056724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36228009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24181063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8834967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7381419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7346857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34562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89032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101392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16305418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40486481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31352348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45362142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76714490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926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2210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983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965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18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18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48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3211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4137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0.96784999999999999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1.39802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0.9836111698880976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0.96308000000000005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2.0843099999999999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0.83611999999999997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1.0893999999999999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1.2680050264715041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1.2008202175489484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62017893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31236312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30781581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0.49633387254868527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3159164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1168909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2699812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4240640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6940452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5866110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91367918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76714490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76714490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76714490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76714489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205409385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205409385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205409386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-1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6940452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6940452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6940452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628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881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1459</v>
      </c>
      <c r="D12" s="185">
        <v>1068</v>
      </c>
      <c r="E12" s="185">
        <f>+D12-C12</f>
        <v>-391</v>
      </c>
      <c r="F12" s="77">
        <f>IF(C12=0,0,+E12/C12)</f>
        <v>-0.26799177518848527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1421</v>
      </c>
      <c r="D13" s="185">
        <v>1039</v>
      </c>
      <c r="E13" s="185">
        <f>+D13-C13</f>
        <v>-382</v>
      </c>
      <c r="F13" s="77">
        <f>IF(C13=0,0,+E13/C13)</f>
        <v>-0.26882477128782545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3573641</v>
      </c>
      <c r="D15" s="76">
        <v>2699812</v>
      </c>
      <c r="E15" s="76">
        <f>+D15-C15</f>
        <v>-873829</v>
      </c>
      <c r="F15" s="77">
        <f>IF(C15=0,0,+E15/C15)</f>
        <v>-0.2445206443512373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2514.8775510204082</v>
      </c>
      <c r="D16" s="79">
        <f>IF(D13=0,0,+D15/+D13)</f>
        <v>2598.4716073147256</v>
      </c>
      <c r="E16" s="79">
        <f>+D16-C16</f>
        <v>83.594056294317397</v>
      </c>
      <c r="F16" s="80">
        <f>IF(C16=0,0,+E16/C16)</f>
        <v>3.323981171981881E-2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0.45764300000000002</v>
      </c>
      <c r="D18" s="704">
        <v>0.44671100000000002</v>
      </c>
      <c r="E18" s="704">
        <f>+D18-C18</f>
        <v>-1.0931999999999997E-2</v>
      </c>
      <c r="F18" s="77">
        <f>IF(C18=0,0,+E18/C18)</f>
        <v>-2.3887615455715473E-2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1635451.788163</v>
      </c>
      <c r="D19" s="79">
        <f>+D15*D18</f>
        <v>1206035.7183320001</v>
      </c>
      <c r="E19" s="79">
        <f>+D19-C19</f>
        <v>-429416.06983099994</v>
      </c>
      <c r="F19" s="80">
        <f>IF(C19=0,0,+E19/C19)</f>
        <v>-0.26256724468370662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1150.9161070816326</v>
      </c>
      <c r="D20" s="79">
        <f>IF(D13=0,0,+D19/D13)</f>
        <v>1160.7658501751685</v>
      </c>
      <c r="E20" s="79">
        <f>+D20-C20</f>
        <v>9.8497430935358352</v>
      </c>
      <c r="F20" s="80">
        <f>IF(C20=0,0,+E20/C20)</f>
        <v>8.5581764239200178E-3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882258</v>
      </c>
      <c r="D22" s="76">
        <v>585726</v>
      </c>
      <c r="E22" s="76">
        <f>+D22-C22</f>
        <v>-296532</v>
      </c>
      <c r="F22" s="77">
        <f>IF(C22=0,0,+E22/C22)</f>
        <v>-0.33610576498031186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1285863</v>
      </c>
      <c r="D23" s="185">
        <v>1035783</v>
      </c>
      <c r="E23" s="185">
        <f>+D23-C23</f>
        <v>-250080</v>
      </c>
      <c r="F23" s="77">
        <f>IF(C23=0,0,+E23/C23)</f>
        <v>-0.19448417133084939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1405520</v>
      </c>
      <c r="D24" s="185">
        <v>1078303</v>
      </c>
      <c r="E24" s="185">
        <f>+D24-C24</f>
        <v>-327217</v>
      </c>
      <c r="F24" s="77">
        <f>IF(C24=0,0,+E24/C24)</f>
        <v>-0.2328084979224771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3573641</v>
      </c>
      <c r="D25" s="79">
        <f>+D22+D23+D24</f>
        <v>2699812</v>
      </c>
      <c r="E25" s="79">
        <f>+E22+E23+E24</f>
        <v>-873829</v>
      </c>
      <c r="F25" s="80">
        <f>IF(C25=0,0,+E25/C25)</f>
        <v>-0.2445206443512373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213</v>
      </c>
      <c r="D27" s="185">
        <v>146</v>
      </c>
      <c r="E27" s="185">
        <f>+D27-C27</f>
        <v>-67</v>
      </c>
      <c r="F27" s="77">
        <f>IF(C27=0,0,+E27/C27)</f>
        <v>-0.31455399061032863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72</v>
      </c>
      <c r="D28" s="185">
        <v>44</v>
      </c>
      <c r="E28" s="185">
        <f>+D28-C28</f>
        <v>-28</v>
      </c>
      <c r="F28" s="77">
        <f>IF(C28=0,0,+E28/C28)</f>
        <v>-0.3888888888888889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1097</v>
      </c>
      <c r="D29" s="185">
        <v>885</v>
      </c>
      <c r="E29" s="185">
        <f>+D29-C29</f>
        <v>-212</v>
      </c>
      <c r="F29" s="77">
        <f>IF(C29=0,0,+E29/C29)</f>
        <v>-0.19325432999088424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2220</v>
      </c>
      <c r="D30" s="185">
        <v>1399</v>
      </c>
      <c r="E30" s="185">
        <f>+D30-C30</f>
        <v>-821</v>
      </c>
      <c r="F30" s="77">
        <f>IF(C30=0,0,+E30/C30)</f>
        <v>-0.36981981981981982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399366</v>
      </c>
      <c r="D33" s="76">
        <v>505890</v>
      </c>
      <c r="E33" s="76">
        <f>+D33-C33</f>
        <v>106524</v>
      </c>
      <c r="F33" s="77">
        <f>IF(C33=0,0,+E33/C33)</f>
        <v>0.26673277144273672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917347</v>
      </c>
      <c r="D34" s="185">
        <v>1125174</v>
      </c>
      <c r="E34" s="185">
        <f>+D34-C34</f>
        <v>207827</v>
      </c>
      <c r="F34" s="77">
        <f>IF(C34=0,0,+E34/C34)</f>
        <v>0.22655222069729339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1938152</v>
      </c>
      <c r="D35" s="185">
        <v>2609576</v>
      </c>
      <c r="E35" s="185">
        <f>+D35-C35</f>
        <v>671424</v>
      </c>
      <c r="F35" s="77">
        <f>IF(C35=0,0,+E35/C35)</f>
        <v>0.34642484180807287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3254865</v>
      </c>
      <c r="D36" s="79">
        <f>+D33+D34+D35</f>
        <v>4240640</v>
      </c>
      <c r="E36" s="79">
        <f>+E33+E34+E35</f>
        <v>985775</v>
      </c>
      <c r="F36" s="80">
        <f>IF(C36=0,0,+E36/C36)</f>
        <v>0.30286202346333874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3573641</v>
      </c>
      <c r="D39" s="76">
        <f>+D25</f>
        <v>2699812</v>
      </c>
      <c r="E39" s="76">
        <f>+D39-C39</f>
        <v>-873829</v>
      </c>
      <c r="F39" s="77">
        <f>IF(C39=0,0,+E39/C39)</f>
        <v>-0.2445206443512373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3254865</v>
      </c>
      <c r="D40" s="185">
        <f>+D36</f>
        <v>4240640</v>
      </c>
      <c r="E40" s="185">
        <f>+D40-C40</f>
        <v>985775</v>
      </c>
      <c r="F40" s="77">
        <f>IF(C40=0,0,+E40/C40)</f>
        <v>0.30286202346333874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6828506</v>
      </c>
      <c r="D41" s="79">
        <f>+D39+D40</f>
        <v>6940452</v>
      </c>
      <c r="E41" s="79">
        <f>+E39+E40</f>
        <v>111946</v>
      </c>
      <c r="F41" s="80">
        <f>IF(C41=0,0,+E41/C41)</f>
        <v>1.639392277022236E-2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1281624</v>
      </c>
      <c r="D43" s="76">
        <f t="shared" si="0"/>
        <v>1091616</v>
      </c>
      <c r="E43" s="76">
        <f>+D43-C43</f>
        <v>-190008</v>
      </c>
      <c r="F43" s="77">
        <f>IF(C43=0,0,+E43/C43)</f>
        <v>-0.14825565064324639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2203210</v>
      </c>
      <c r="D44" s="185">
        <f t="shared" si="0"/>
        <v>2160957</v>
      </c>
      <c r="E44" s="185">
        <f>+D44-C44</f>
        <v>-42253</v>
      </c>
      <c r="F44" s="77">
        <f>IF(C44=0,0,+E44/C44)</f>
        <v>-1.9177926752329554E-2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3343672</v>
      </c>
      <c r="D45" s="185">
        <f t="shared" si="0"/>
        <v>3687879</v>
      </c>
      <c r="E45" s="185">
        <f>+D45-C45</f>
        <v>344207</v>
      </c>
      <c r="F45" s="77">
        <f>IF(C45=0,0,+E45/C45)</f>
        <v>0.10294281257252505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6828506</v>
      </c>
      <c r="D46" s="79">
        <f>+D43+D44+D45</f>
        <v>6940452</v>
      </c>
      <c r="E46" s="79">
        <f>+E43+E44+E45</f>
        <v>111946</v>
      </c>
      <c r="F46" s="80">
        <f>IF(C46=0,0,+E46/C46)</f>
        <v>1.639392277022236E-2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910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628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911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912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72963986</v>
      </c>
      <c r="D15" s="76">
        <v>62017893</v>
      </c>
      <c r="E15" s="76">
        <f>+D15-C15</f>
        <v>-10946093</v>
      </c>
      <c r="F15" s="77">
        <f>IF(C15=0,0,E15/C15)</f>
        <v>-0.15002049093096423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529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36127851</v>
      </c>
      <c r="D17" s="76">
        <v>30781581</v>
      </c>
      <c r="E17" s="76">
        <f>+D17-C17</f>
        <v>-5346270</v>
      </c>
      <c r="F17" s="77">
        <f>IF(C17=0,0,E17/C17)</f>
        <v>-0.14798195442070441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36836135</v>
      </c>
      <c r="D19" s="79">
        <f>+D15-D17</f>
        <v>31236312</v>
      </c>
      <c r="E19" s="79">
        <f>+D19-C19</f>
        <v>-5599823</v>
      </c>
      <c r="F19" s="80">
        <f>IF(C19=0,0,E19/C19)</f>
        <v>-0.15201983052782275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0.4951463452120064</v>
      </c>
      <c r="D21" s="720">
        <f>IF(D15=0,0,D17/D15)</f>
        <v>0.49633387254868527</v>
      </c>
      <c r="E21" s="720">
        <f>+D21-C21</f>
        <v>1.187527336678873E-3</v>
      </c>
      <c r="F21" s="80">
        <f>IF(C21=0,0,E21/C21)</f>
        <v>2.3983360639982317E-3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529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529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529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529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72222517</v>
      </c>
      <c r="D10" s="744">
        <v>68939980</v>
      </c>
      <c r="E10" s="744">
        <v>68069832</v>
      </c>
    </row>
    <row r="11" spans="1:6" ht="26.1" customHeight="1" x14ac:dyDescent="0.25">
      <c r="A11" s="742">
        <v>2</v>
      </c>
      <c r="B11" s="743" t="s">
        <v>931</v>
      </c>
      <c r="C11" s="744">
        <v>127160608</v>
      </c>
      <c r="D11" s="744">
        <v>141210108</v>
      </c>
      <c r="E11" s="744">
        <v>137339553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199383125</v>
      </c>
      <c r="D12" s="744">
        <f>+D11+D10</f>
        <v>210150088</v>
      </c>
      <c r="E12" s="744">
        <f>+E11+E10</f>
        <v>205409385</v>
      </c>
    </row>
    <row r="13" spans="1:6" ht="26.1" customHeight="1" x14ac:dyDescent="0.25">
      <c r="A13" s="742">
        <v>4</v>
      </c>
      <c r="B13" s="743" t="s">
        <v>506</v>
      </c>
      <c r="C13" s="744">
        <v>85855448</v>
      </c>
      <c r="D13" s="744">
        <v>90160381</v>
      </c>
      <c r="E13" s="744">
        <v>76714489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92639489</v>
      </c>
      <c r="D16" s="744">
        <v>96450117</v>
      </c>
      <c r="E16" s="744">
        <v>91367918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19996</v>
      </c>
      <c r="D19" s="747">
        <v>18673</v>
      </c>
      <c r="E19" s="747">
        <v>17355</v>
      </c>
    </row>
    <row r="20" spans="1:5" ht="26.1" customHeight="1" x14ac:dyDescent="0.25">
      <c r="A20" s="742">
        <v>2</v>
      </c>
      <c r="B20" s="743" t="s">
        <v>381</v>
      </c>
      <c r="C20" s="748">
        <v>4701</v>
      </c>
      <c r="D20" s="748">
        <v>4506</v>
      </c>
      <c r="E20" s="748">
        <v>4137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4.2535630716868749</v>
      </c>
      <c r="D21" s="749">
        <f>IF(D20=0,0,+D19/D20)</f>
        <v>4.1440301819795824</v>
      </c>
      <c r="E21" s="749">
        <f>IF(E20=0,0,+E19/E20)</f>
        <v>4.1950688905003624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55202.520392635997</v>
      </c>
      <c r="D22" s="748">
        <f>IF(D10=0,0,D19*(D12/D10))</f>
        <v>56920.999878793118</v>
      </c>
      <c r="E22" s="748">
        <f>IF(E10=0,0,E19*(E12/E10))</f>
        <v>52370.922212280471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12977.948007890669</v>
      </c>
      <c r="D23" s="748">
        <f>IF(D10=0,0,D20*(D12/D10))</f>
        <v>13735.662478115022</v>
      </c>
      <c r="E23" s="748">
        <f>IF(E10=0,0,E20*(E12/E10))</f>
        <v>12483.92424040359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1.1018435439268242</v>
      </c>
      <c r="D26" s="750">
        <v>1.1657509609409678</v>
      </c>
      <c r="E26" s="750">
        <v>1.2008202175489484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22032.463504360774</v>
      </c>
      <c r="D27" s="748">
        <f>D19*D26</f>
        <v>21768.06769365069</v>
      </c>
      <c r="E27" s="748">
        <f>E19*E26</f>
        <v>20840.234875562001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5179.7665000000006</v>
      </c>
      <c r="D28" s="748">
        <f>D20*D26</f>
        <v>5252.8738300000005</v>
      </c>
      <c r="E28" s="748">
        <f>E20*E26</f>
        <v>4967.79324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60824.540703114828</v>
      </c>
      <c r="D29" s="748">
        <f>D22*D26</f>
        <v>66355.710306423789</v>
      </c>
      <c r="E29" s="748">
        <f>E22*E26</f>
        <v>62888.062204189693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14299.668225912323</v>
      </c>
      <c r="D30" s="748">
        <f>D23*D26</f>
        <v>16012.361733023381</v>
      </c>
      <c r="E30" s="748">
        <f>E23*E26</f>
        <v>14990.948622226029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9971.1504800960192</v>
      </c>
      <c r="D33" s="744">
        <f>IF(D19=0,0,D12/D19)</f>
        <v>11254.222031810636</v>
      </c>
      <c r="E33" s="744">
        <f>IF(E19=0,0,E12/E19)</f>
        <v>11835.746758859119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42412.917464369282</v>
      </c>
      <c r="D34" s="744">
        <f>IF(D20=0,0,D12/D20)</f>
        <v>46637.835774522857</v>
      </c>
      <c r="E34" s="744">
        <f>IF(E20=0,0,E12/E20)</f>
        <v>49651.773023930386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3611.8482196439286</v>
      </c>
      <c r="D35" s="744">
        <f>IF(D22=0,0,D12/D22)</f>
        <v>3691.9605848015854</v>
      </c>
      <c r="E35" s="744">
        <f>IF(E22=0,0,E12/E22)</f>
        <v>3922.2029386343993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15363.224207615402</v>
      </c>
      <c r="D36" s="744">
        <f>IF(D23=0,0,D12/D23)</f>
        <v>15299.596094096758</v>
      </c>
      <c r="E36" s="744">
        <f>IF(E23=0,0,E12/E23)</f>
        <v>16453.911530094272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3278.0046128616236</v>
      </c>
      <c r="D37" s="744">
        <f>IF(D29=0,0,D12/D29)</f>
        <v>3167.0234110907513</v>
      </c>
      <c r="E37" s="744">
        <f>IF(E29=0,0,E12/E29)</f>
        <v>3266.2699056151764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13943.199370087434</v>
      </c>
      <c r="D38" s="744">
        <f>IF(D30=0,0,D12/D30)</f>
        <v>13124.240602596006</v>
      </c>
      <c r="E38" s="744">
        <f>IF(E30=0,0,E12/E30)</f>
        <v>13702.227269023782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1308.3191942379947</v>
      </c>
      <c r="D39" s="744">
        <f>IF(D22=0,0,D10/D22)</f>
        <v>1211.151950014932</v>
      </c>
      <c r="E39" s="744">
        <f>IF(E22=0,0,E10/E22)</f>
        <v>1299.7638598779208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5565.0182105898621</v>
      </c>
      <c r="D40" s="744">
        <f>IF(D23=0,0,D10/D23)</f>
        <v>5019.0502358253052</v>
      </c>
      <c r="E40" s="744">
        <f>IF(E23=0,0,E10/E23)</f>
        <v>5452.5989335705372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4293.6311262252448</v>
      </c>
      <c r="D43" s="744">
        <f>IF(D19=0,0,D13/D19)</f>
        <v>4828.3822096074546</v>
      </c>
      <c r="E43" s="744">
        <f>IF(E19=0,0,E13/E19)</f>
        <v>4420.310515701527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18263.23080195703</v>
      </c>
      <c r="D44" s="744">
        <f>IF(D20=0,0,D13/D20)</f>
        <v>20008.961606746561</v>
      </c>
      <c r="E44" s="744">
        <f>IF(E20=0,0,E13/E20)</f>
        <v>18543.50713077109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1555.2813058052527</v>
      </c>
      <c r="D45" s="744">
        <f>IF(D22=0,0,D13/D22)</f>
        <v>1583.9563815109786</v>
      </c>
      <c r="E45" s="744">
        <f>IF(E22=0,0,E13/E22)</f>
        <v>1464.8298284503228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6615.487128458165</v>
      </c>
      <c r="D46" s="744">
        <f>IF(D23=0,0,D13/D23)</f>
        <v>6563.9630519206621</v>
      </c>
      <c r="E46" s="744">
        <f>IF(E23=0,0,E13/E23)</f>
        <v>6145.0620432089318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1411.5264498101394</v>
      </c>
      <c r="D47" s="744">
        <f>IF(D29=0,0,D13/D29)</f>
        <v>1358.7433633616265</v>
      </c>
      <c r="E47" s="744">
        <f>IF(E29=0,0,E13/E29)</f>
        <v>1219.8577331086722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6004.0167816216872</v>
      </c>
      <c r="D48" s="744">
        <f>IF(D30=0,0,D13/D30)</f>
        <v>5630.673507335031</v>
      </c>
      <c r="E48" s="744">
        <f>IF(E30=0,0,E13/E30)</f>
        <v>5117.3872270004849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4632.9010302060415</v>
      </c>
      <c r="D51" s="744">
        <f>IF(D19=0,0,D16/D19)</f>
        <v>5165.2180688694907</v>
      </c>
      <c r="E51" s="744">
        <f>IF(E19=0,0,E16/E19)</f>
        <v>5264.645231921636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19706.336736864498</v>
      </c>
      <c r="D52" s="744">
        <f>IF(D20=0,0,D16/D20)</f>
        <v>21404.819573901466</v>
      </c>
      <c r="E52" s="744">
        <f>IF(E20=0,0,E16/E20)</f>
        <v>22085.549431955522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1678.1749880456198</v>
      </c>
      <c r="D53" s="744">
        <f>IF(D22=0,0,D16/D22)</f>
        <v>1694.4557756430791</v>
      </c>
      <c r="E53" s="744">
        <f>IF(E22=0,0,E16/E22)</f>
        <v>1744.6306870375315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7138.2231569794121</v>
      </c>
      <c r="D54" s="744">
        <f>IF(D23=0,0,D16/D23)</f>
        <v>7021.8758762945436</v>
      </c>
      <c r="E54" s="744">
        <f>IF(E23=0,0,E16/E23)</f>
        <v>7318.8459206034231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1523.0610528104805</v>
      </c>
      <c r="D55" s="744">
        <f>IF(D29=0,0,D16/D29)</f>
        <v>1453.5315281021537</v>
      </c>
      <c r="E55" s="744">
        <f>IF(E29=0,0,E16/E29)</f>
        <v>1452.8658508086919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6478.4362501591941</v>
      </c>
      <c r="D56" s="744">
        <f>IF(D30=0,0,D16/D30)</f>
        <v>6023.478522914229</v>
      </c>
      <c r="E56" s="744">
        <f>IF(E30=0,0,E16/E30)</f>
        <v>6094.8723327978851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12572579</v>
      </c>
      <c r="D59" s="752">
        <v>13759500</v>
      </c>
      <c r="E59" s="752">
        <v>13350243</v>
      </c>
    </row>
    <row r="60" spans="1:6" ht="26.1" customHeight="1" x14ac:dyDescent="0.25">
      <c r="A60" s="742">
        <v>2</v>
      </c>
      <c r="B60" s="743" t="s">
        <v>967</v>
      </c>
      <c r="C60" s="752">
        <v>4891166</v>
      </c>
      <c r="D60" s="752">
        <v>4918084</v>
      </c>
      <c r="E60" s="752">
        <v>4052342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17463745</v>
      </c>
      <c r="D61" s="755">
        <f>D59+D60</f>
        <v>18677584</v>
      </c>
      <c r="E61" s="755">
        <f>E59+E60</f>
        <v>17402585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2054798</v>
      </c>
      <c r="D64" s="744">
        <v>2572919</v>
      </c>
      <c r="E64" s="752">
        <v>1987414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799387</v>
      </c>
      <c r="D65" s="752">
        <v>919643</v>
      </c>
      <c r="E65" s="752">
        <v>603261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2854185</v>
      </c>
      <c r="D66" s="757">
        <f>D64+D65</f>
        <v>3492562</v>
      </c>
      <c r="E66" s="757">
        <f>E64+E65</f>
        <v>2590675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26718419</v>
      </c>
      <c r="D69" s="752">
        <v>26574906</v>
      </c>
      <c r="E69" s="752">
        <v>26392705</v>
      </c>
    </row>
    <row r="70" spans="1:6" ht="26.1" customHeight="1" x14ac:dyDescent="0.25">
      <c r="A70" s="742">
        <v>2</v>
      </c>
      <c r="B70" s="743" t="s">
        <v>975</v>
      </c>
      <c r="C70" s="752">
        <v>10394386</v>
      </c>
      <c r="D70" s="752">
        <v>9498719</v>
      </c>
      <c r="E70" s="752">
        <v>8011261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37112805</v>
      </c>
      <c r="D71" s="755">
        <f>D69+D70</f>
        <v>36073625</v>
      </c>
      <c r="E71" s="755">
        <f>E69+E70</f>
        <v>34403966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41345796</v>
      </c>
      <c r="D75" s="744">
        <f t="shared" si="0"/>
        <v>42907325</v>
      </c>
      <c r="E75" s="744">
        <f t="shared" si="0"/>
        <v>41730362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16084939</v>
      </c>
      <c r="D76" s="744">
        <f t="shared" si="0"/>
        <v>15336446</v>
      </c>
      <c r="E76" s="744">
        <f t="shared" si="0"/>
        <v>12666864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57430735</v>
      </c>
      <c r="D77" s="757">
        <f>D75+D76</f>
        <v>58243771</v>
      </c>
      <c r="E77" s="757">
        <f>E75+E76</f>
        <v>54397226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615</v>
      </c>
      <c r="C80" s="749">
        <v>208.6</v>
      </c>
      <c r="D80" s="749">
        <v>179.4</v>
      </c>
      <c r="E80" s="749">
        <v>170</v>
      </c>
    </row>
    <row r="81" spans="1:5" ht="26.1" customHeight="1" x14ac:dyDescent="0.25">
      <c r="A81" s="742">
        <v>2</v>
      </c>
      <c r="B81" s="743" t="s">
        <v>616</v>
      </c>
      <c r="C81" s="749">
        <v>9.3000000000000007</v>
      </c>
      <c r="D81" s="749">
        <v>11.4</v>
      </c>
      <c r="E81" s="749">
        <v>9.4</v>
      </c>
    </row>
    <row r="82" spans="1:5" ht="26.1" customHeight="1" x14ac:dyDescent="0.25">
      <c r="A82" s="742">
        <v>3</v>
      </c>
      <c r="B82" s="743" t="s">
        <v>981</v>
      </c>
      <c r="C82" s="749">
        <v>389.6</v>
      </c>
      <c r="D82" s="749">
        <v>410.8</v>
      </c>
      <c r="E82" s="749">
        <v>397.7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607.5</v>
      </c>
      <c r="D83" s="759">
        <f>D80+D81+D82</f>
        <v>601.6</v>
      </c>
      <c r="E83" s="759">
        <f>E80+E81+E82</f>
        <v>577.1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60271.232023010547</v>
      </c>
      <c r="D86" s="752">
        <f>IF(D80=0,0,D59/D80)</f>
        <v>76697.324414715724</v>
      </c>
      <c r="E86" s="752">
        <f>IF(E80=0,0,E59/E80)</f>
        <v>78530.841176470582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23447.583892617451</v>
      </c>
      <c r="D87" s="752">
        <f>IF(D80=0,0,D60/D80)</f>
        <v>27414.069119286509</v>
      </c>
      <c r="E87" s="752">
        <f>IF(E80=0,0,E60/E80)</f>
        <v>23837.305882352943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83718.815915628002</v>
      </c>
      <c r="D88" s="755">
        <f>+D86+D87</f>
        <v>104111.39353400223</v>
      </c>
      <c r="E88" s="755">
        <f>+E86+E87</f>
        <v>102368.14705882352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220946.02150537632</v>
      </c>
      <c r="D91" s="744">
        <f>IF(D81=0,0,D64/D81)</f>
        <v>225694.64912280702</v>
      </c>
      <c r="E91" s="744">
        <f>IF(E81=0,0,E64/E81)</f>
        <v>211427.02127659574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85955.59139784945</v>
      </c>
      <c r="D92" s="744">
        <f>IF(D81=0,0,D65/D81)</f>
        <v>80670.438596491222</v>
      </c>
      <c r="E92" s="744">
        <f>IF(E81=0,0,E65/E81)</f>
        <v>64176.70212765957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306901.61290322576</v>
      </c>
      <c r="D93" s="757">
        <f>+D91+D92</f>
        <v>306365.08771929826</v>
      </c>
      <c r="E93" s="757">
        <f>+E91+E92</f>
        <v>275603.72340425529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68579.104209445577</v>
      </c>
      <c r="D96" s="752">
        <f>IF(D82=0,0,D69/D82)</f>
        <v>64690.618305744887</v>
      </c>
      <c r="E96" s="752">
        <f>IF(E82=0,0,E69/E82)</f>
        <v>66363.351772692986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26679.635523613961</v>
      </c>
      <c r="D97" s="752">
        <f>IF(D82=0,0,D70/D82)</f>
        <v>23122.490262901654</v>
      </c>
      <c r="E97" s="752">
        <f>IF(E82=0,0,E70/E82)</f>
        <v>20143.980387226555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95258.739733059541</v>
      </c>
      <c r="D98" s="757">
        <f>+D96+D97</f>
        <v>87813.108568646538</v>
      </c>
      <c r="E98" s="757">
        <f>+E96+E97</f>
        <v>86507.332159919548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68058.923456790129</v>
      </c>
      <c r="D101" s="744">
        <f>IF(D83=0,0,D75/D83)</f>
        <v>71322.016289893611</v>
      </c>
      <c r="E101" s="744">
        <f>IF(E83=0,0,E75/E83)</f>
        <v>72310.452261306535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26477.265843621401</v>
      </c>
      <c r="D102" s="761">
        <f>IF(D83=0,0,D76/D83)</f>
        <v>25492.762632978724</v>
      </c>
      <c r="E102" s="761">
        <f>IF(E83=0,0,E76/E83)</f>
        <v>21949.166522266503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94536.189300411526</v>
      </c>
      <c r="D103" s="757">
        <f>+D101+D102</f>
        <v>96814.778922872327</v>
      </c>
      <c r="E103" s="757">
        <f>+E101+E102</f>
        <v>94259.618783573038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2872.1111722344467</v>
      </c>
      <c r="D108" s="744">
        <f>IF(D19=0,0,D77/D19)</f>
        <v>3119.1437369463933</v>
      </c>
      <c r="E108" s="744">
        <f>IF(E19=0,0,E77/E19)</f>
        <v>3134.3835205992509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12216.706019995745</v>
      </c>
      <c r="D109" s="744">
        <f>IF(D20=0,0,D77/D20)</f>
        <v>12925.825787838437</v>
      </c>
      <c r="E109" s="744">
        <f>IF(E20=0,0,E77/E20)</f>
        <v>13148.95479816292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1040.3643636470854</v>
      </c>
      <c r="D110" s="744">
        <f>IF(D22=0,0,D77/D22)</f>
        <v>1023.2387189969181</v>
      </c>
      <c r="E110" s="744">
        <f>IF(E22=0,0,E77/E22)</f>
        <v>1038.6913902242566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4425.2554383082579</v>
      </c>
      <c r="D111" s="744">
        <f>IF(D23=0,0,D77/D23)</f>
        <v>4240.3321348933532</v>
      </c>
      <c r="E111" s="744">
        <f>IF(E23=0,0,E77/E23)</f>
        <v>4357.381937960351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944.2033484530524</v>
      </c>
      <c r="D112" s="744">
        <f>IF(D29=0,0,D77/D29)</f>
        <v>877.75069743110737</v>
      </c>
      <c r="E112" s="744">
        <f>IF(E29=0,0,E77/E29)</f>
        <v>864.98492867181994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4016.2284951429988</v>
      </c>
      <c r="D113" s="744">
        <f>IF(D30=0,0,D77/D30)</f>
        <v>3637.4253824081375</v>
      </c>
      <c r="E113" s="744">
        <f>IF(E30=0,0,E77/E30)</f>
        <v>3628.6713650228276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210150089</v>
      </c>
      <c r="D12" s="76">
        <v>205409386</v>
      </c>
      <c r="E12" s="76">
        <f t="shared" ref="E12:E21" si="0">D12-C12</f>
        <v>-4740703</v>
      </c>
      <c r="F12" s="77">
        <f t="shared" ref="F12:F21" si="1">IF(C12=0,0,E12/C12)</f>
        <v>-2.2558653306113993E-2</v>
      </c>
    </row>
    <row r="13" spans="1:8" ht="23.1" customHeight="1" x14ac:dyDescent="0.2">
      <c r="A13" s="74">
        <v>2</v>
      </c>
      <c r="B13" s="75" t="s">
        <v>72</v>
      </c>
      <c r="C13" s="76">
        <v>116283387</v>
      </c>
      <c r="D13" s="76">
        <v>121754445</v>
      </c>
      <c r="E13" s="76">
        <f t="shared" si="0"/>
        <v>5471058</v>
      </c>
      <c r="F13" s="77">
        <f t="shared" si="1"/>
        <v>4.7049351942251218E-2</v>
      </c>
    </row>
    <row r="14" spans="1:8" ht="23.1" customHeight="1" x14ac:dyDescent="0.2">
      <c r="A14" s="74">
        <v>3</v>
      </c>
      <c r="B14" s="75" t="s">
        <v>73</v>
      </c>
      <c r="C14" s="76">
        <v>3706321</v>
      </c>
      <c r="D14" s="76">
        <v>2861240</v>
      </c>
      <c r="E14" s="76">
        <f t="shared" si="0"/>
        <v>-845081</v>
      </c>
      <c r="F14" s="77">
        <f t="shared" si="1"/>
        <v>-0.22801074164919877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90160381</v>
      </c>
      <c r="D16" s="79">
        <f>D12-D13-D14-D15</f>
        <v>80793701</v>
      </c>
      <c r="E16" s="79">
        <f t="shared" si="0"/>
        <v>-9366680</v>
      </c>
      <c r="F16" s="80">
        <f t="shared" si="1"/>
        <v>-0.10388909070825687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4079212</v>
      </c>
      <c r="E17" s="76">
        <f t="shared" si="0"/>
        <v>4079212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90160381</v>
      </c>
      <c r="D18" s="79">
        <f>D16-D17</f>
        <v>76714489</v>
      </c>
      <c r="E18" s="79">
        <f t="shared" si="0"/>
        <v>-13445892</v>
      </c>
      <c r="F18" s="80">
        <f t="shared" si="1"/>
        <v>-0.14913304325987708</v>
      </c>
    </row>
    <row r="19" spans="1:7" ht="23.1" customHeight="1" x14ac:dyDescent="0.2">
      <c r="A19" s="74">
        <v>6</v>
      </c>
      <c r="B19" s="75" t="s">
        <v>78</v>
      </c>
      <c r="C19" s="76">
        <v>5761698</v>
      </c>
      <c r="D19" s="76">
        <v>5866110</v>
      </c>
      <c r="E19" s="76">
        <f t="shared" si="0"/>
        <v>104412</v>
      </c>
      <c r="F19" s="77">
        <f t="shared" si="1"/>
        <v>1.8121741195043544E-2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95922079</v>
      </c>
      <c r="D21" s="79">
        <f>SUM(D18:D20)</f>
        <v>82580599</v>
      </c>
      <c r="E21" s="79">
        <f t="shared" si="0"/>
        <v>-13341480</v>
      </c>
      <c r="F21" s="80">
        <f t="shared" si="1"/>
        <v>-0.13908664344107888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42907325</v>
      </c>
      <c r="D24" s="76">
        <v>41730362</v>
      </c>
      <c r="E24" s="76">
        <f t="shared" ref="E24:E33" si="2">D24-C24</f>
        <v>-1176963</v>
      </c>
      <c r="F24" s="77">
        <f t="shared" ref="F24:F33" si="3">IF(C24=0,0,E24/C24)</f>
        <v>-2.7430351344438275E-2</v>
      </c>
    </row>
    <row r="25" spans="1:7" ht="23.1" customHeight="1" x14ac:dyDescent="0.2">
      <c r="A25" s="74">
        <v>2</v>
      </c>
      <c r="B25" s="75" t="s">
        <v>83</v>
      </c>
      <c r="C25" s="76">
        <v>15336446</v>
      </c>
      <c r="D25" s="76">
        <v>12666864</v>
      </c>
      <c r="E25" s="76">
        <f t="shared" si="2"/>
        <v>-2669582</v>
      </c>
      <c r="F25" s="77">
        <f t="shared" si="3"/>
        <v>-0.17406783814190066</v>
      </c>
    </row>
    <row r="26" spans="1:7" ht="23.1" customHeight="1" x14ac:dyDescent="0.2">
      <c r="A26" s="74">
        <v>3</v>
      </c>
      <c r="B26" s="75" t="s">
        <v>84</v>
      </c>
      <c r="C26" s="76">
        <v>930637</v>
      </c>
      <c r="D26" s="76">
        <v>909098</v>
      </c>
      <c r="E26" s="76">
        <f t="shared" si="2"/>
        <v>-21539</v>
      </c>
      <c r="F26" s="77">
        <f t="shared" si="3"/>
        <v>-2.3144362409833266E-2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7642658</v>
      </c>
      <c r="D27" s="76">
        <v>7826904</v>
      </c>
      <c r="E27" s="76">
        <f t="shared" si="2"/>
        <v>184246</v>
      </c>
      <c r="F27" s="77">
        <f t="shared" si="3"/>
        <v>2.4107581419971953E-2</v>
      </c>
    </row>
    <row r="28" spans="1:7" ht="23.1" customHeight="1" x14ac:dyDescent="0.2">
      <c r="A28" s="74">
        <v>5</v>
      </c>
      <c r="B28" s="75" t="s">
        <v>86</v>
      </c>
      <c r="C28" s="76">
        <v>4147105</v>
      </c>
      <c r="D28" s="76">
        <v>4154949</v>
      </c>
      <c r="E28" s="76">
        <f t="shared" si="2"/>
        <v>7844</v>
      </c>
      <c r="F28" s="77">
        <f t="shared" si="3"/>
        <v>1.8914399321936627E-3</v>
      </c>
    </row>
    <row r="29" spans="1:7" ht="23.1" customHeight="1" x14ac:dyDescent="0.2">
      <c r="A29" s="74">
        <v>6</v>
      </c>
      <c r="B29" s="75" t="s">
        <v>87</v>
      </c>
      <c r="C29" s="76">
        <v>3839277</v>
      </c>
      <c r="D29" s="76">
        <v>0</v>
      </c>
      <c r="E29" s="76">
        <f t="shared" si="2"/>
        <v>-3839277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1325543</v>
      </c>
      <c r="D30" s="76">
        <v>1107869</v>
      </c>
      <c r="E30" s="76">
        <f t="shared" si="2"/>
        <v>-217674</v>
      </c>
      <c r="F30" s="77">
        <f t="shared" si="3"/>
        <v>-0.16421496699843008</v>
      </c>
    </row>
    <row r="31" spans="1:7" ht="23.1" customHeight="1" x14ac:dyDescent="0.2">
      <c r="A31" s="74">
        <v>8</v>
      </c>
      <c r="B31" s="75" t="s">
        <v>89</v>
      </c>
      <c r="C31" s="76">
        <v>659252</v>
      </c>
      <c r="D31" s="76">
        <v>400452</v>
      </c>
      <c r="E31" s="76">
        <f t="shared" si="2"/>
        <v>-258800</v>
      </c>
      <c r="F31" s="77">
        <f t="shared" si="3"/>
        <v>-0.39256612039098859</v>
      </c>
    </row>
    <row r="32" spans="1:7" ht="23.1" customHeight="1" x14ac:dyDescent="0.2">
      <c r="A32" s="74">
        <v>9</v>
      </c>
      <c r="B32" s="75" t="s">
        <v>90</v>
      </c>
      <c r="C32" s="76">
        <v>19661874</v>
      </c>
      <c r="D32" s="76">
        <v>22571420</v>
      </c>
      <c r="E32" s="76">
        <f t="shared" si="2"/>
        <v>2909546</v>
      </c>
      <c r="F32" s="77">
        <f t="shared" si="3"/>
        <v>0.14797907869819529</v>
      </c>
    </row>
    <row r="33" spans="1:6" ht="23.1" customHeight="1" x14ac:dyDescent="0.25">
      <c r="A33" s="71"/>
      <c r="B33" s="78" t="s">
        <v>91</v>
      </c>
      <c r="C33" s="79">
        <f>SUM(C24:C32)</f>
        <v>96450117</v>
      </c>
      <c r="D33" s="79">
        <f>SUM(D24:D32)</f>
        <v>91367918</v>
      </c>
      <c r="E33" s="79">
        <f t="shared" si="2"/>
        <v>-5082199</v>
      </c>
      <c r="F33" s="80">
        <f t="shared" si="3"/>
        <v>-5.2692512545111793E-2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-528038</v>
      </c>
      <c r="D35" s="79">
        <f>+D21-D33</f>
        <v>-8787319</v>
      </c>
      <c r="E35" s="79">
        <f>D35-C35</f>
        <v>-8259281</v>
      </c>
      <c r="F35" s="80">
        <f>IF(C35=0,0,E35/C35)</f>
        <v>15.641451940958795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-163</v>
      </c>
      <c r="D38" s="76">
        <v>9049</v>
      </c>
      <c r="E38" s="76">
        <f>D38-C38</f>
        <v>9212</v>
      </c>
      <c r="F38" s="77">
        <f>IF(C38=0,0,E38/C38)</f>
        <v>-56.515337423312886</v>
      </c>
    </row>
    <row r="39" spans="1:6" ht="23.1" customHeight="1" x14ac:dyDescent="0.2">
      <c r="A39" s="85">
        <v>2</v>
      </c>
      <c r="B39" s="75" t="s">
        <v>95</v>
      </c>
      <c r="C39" s="76">
        <v>698728</v>
      </c>
      <c r="D39" s="76">
        <v>449084</v>
      </c>
      <c r="E39" s="76">
        <f>D39-C39</f>
        <v>-249644</v>
      </c>
      <c r="F39" s="77">
        <f>IF(C39=0,0,E39/C39)</f>
        <v>-0.35728352091228632</v>
      </c>
    </row>
    <row r="40" spans="1:6" ht="23.1" customHeight="1" x14ac:dyDescent="0.2">
      <c r="A40" s="85">
        <v>3</v>
      </c>
      <c r="B40" s="75" t="s">
        <v>96</v>
      </c>
      <c r="C40" s="76">
        <v>-936114</v>
      </c>
      <c r="D40" s="76">
        <v>1084113</v>
      </c>
      <c r="E40" s="76">
        <f>D40-C40</f>
        <v>2020227</v>
      </c>
      <c r="F40" s="77">
        <f>IF(C40=0,0,E40/C40)</f>
        <v>-2.1580993340554677</v>
      </c>
    </row>
    <row r="41" spans="1:6" ht="23.1" customHeight="1" x14ac:dyDescent="0.25">
      <c r="A41" s="83"/>
      <c r="B41" s="78" t="s">
        <v>97</v>
      </c>
      <c r="C41" s="79">
        <f>SUM(C38:C40)</f>
        <v>-237549</v>
      </c>
      <c r="D41" s="79">
        <f>SUM(D38:D40)</f>
        <v>1542246</v>
      </c>
      <c r="E41" s="79">
        <f>D41-C41</f>
        <v>1779795</v>
      </c>
      <c r="F41" s="80">
        <f>IF(C41=0,0,E41/C41)</f>
        <v>-7.4923278986651178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-765587</v>
      </c>
      <c r="D43" s="79">
        <f>D35+D41</f>
        <v>-7245073</v>
      </c>
      <c r="E43" s="79">
        <f>D43-C43</f>
        <v>-6479486</v>
      </c>
      <c r="F43" s="80">
        <f>IF(C43=0,0,E43/C43)</f>
        <v>8.4634221845459763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52251</v>
      </c>
      <c r="D46" s="76">
        <v>26529</v>
      </c>
      <c r="E46" s="76">
        <f>D46-C46</f>
        <v>-25722</v>
      </c>
      <c r="F46" s="77">
        <f>IF(C46=0,0,E46/C46)</f>
        <v>-0.49227765975770799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52251</v>
      </c>
      <c r="D48" s="79">
        <f>SUM(D46:D47)</f>
        <v>26529</v>
      </c>
      <c r="E48" s="79">
        <f>D48-C48</f>
        <v>-25722</v>
      </c>
      <c r="F48" s="80">
        <f>IF(C48=0,0,E48/C48)</f>
        <v>-0.49227765975770799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-713336</v>
      </c>
      <c r="D50" s="79">
        <f>D43+D48</f>
        <v>-7218544</v>
      </c>
      <c r="E50" s="79">
        <f>D50-C50</f>
        <v>-6505208</v>
      </c>
      <c r="F50" s="80">
        <f>IF(C50=0,0,E50/C50)</f>
        <v>9.1194163760135485</v>
      </c>
    </row>
    <row r="51" spans="1:6" ht="23.1" customHeight="1" x14ac:dyDescent="0.2">
      <c r="A51" s="85"/>
      <c r="B51" s="75" t="s">
        <v>104</v>
      </c>
      <c r="C51" s="76">
        <v>5571922</v>
      </c>
      <c r="D51" s="76">
        <v>568113</v>
      </c>
      <c r="E51" s="76">
        <f>D51-C51</f>
        <v>-5003809</v>
      </c>
      <c r="F51" s="77">
        <f>IF(C51=0,0,E51/C51)</f>
        <v>-0.89804002999324106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37135345</v>
      </c>
      <c r="D14" s="113">
        <v>36948181</v>
      </c>
      <c r="E14" s="113">
        <f t="shared" ref="E14:E25" si="0">D14-C14</f>
        <v>-187164</v>
      </c>
      <c r="F14" s="114">
        <f t="shared" ref="F14:F25" si="1">IF(C14=0,0,E14/C14)</f>
        <v>-5.0400501193674117E-3</v>
      </c>
    </row>
    <row r="15" spans="1:6" x14ac:dyDescent="0.2">
      <c r="A15" s="115">
        <v>2</v>
      </c>
      <c r="B15" s="116" t="s">
        <v>114</v>
      </c>
      <c r="C15" s="113">
        <v>6084216</v>
      </c>
      <c r="D15" s="113">
        <v>6567170</v>
      </c>
      <c r="E15" s="113">
        <f t="shared" si="0"/>
        <v>482954</v>
      </c>
      <c r="F15" s="114">
        <f t="shared" si="1"/>
        <v>7.9378181182259144E-2</v>
      </c>
    </row>
    <row r="16" spans="1:6" x14ac:dyDescent="0.2">
      <c r="A16" s="115">
        <v>3</v>
      </c>
      <c r="B16" s="116" t="s">
        <v>115</v>
      </c>
      <c r="C16" s="113">
        <v>9570502</v>
      </c>
      <c r="D16" s="113">
        <v>11232147</v>
      </c>
      <c r="E16" s="113">
        <f t="shared" si="0"/>
        <v>1661645</v>
      </c>
      <c r="F16" s="114">
        <f t="shared" si="1"/>
        <v>0.17362150909116367</v>
      </c>
    </row>
    <row r="17" spans="1:6" x14ac:dyDescent="0.2">
      <c r="A17" s="115">
        <v>4</v>
      </c>
      <c r="B17" s="116" t="s">
        <v>116</v>
      </c>
      <c r="C17" s="113">
        <v>693574</v>
      </c>
      <c r="D17" s="113">
        <v>0</v>
      </c>
      <c r="E17" s="113">
        <f t="shared" si="0"/>
        <v>-693574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211837</v>
      </c>
      <c r="D18" s="113">
        <v>123913</v>
      </c>
      <c r="E18" s="113">
        <f t="shared" si="0"/>
        <v>-87924</v>
      </c>
      <c r="F18" s="114">
        <f t="shared" si="1"/>
        <v>-0.4150549715111147</v>
      </c>
    </row>
    <row r="19" spans="1:6" x14ac:dyDescent="0.2">
      <c r="A19" s="115">
        <v>6</v>
      </c>
      <c r="B19" s="116" t="s">
        <v>118</v>
      </c>
      <c r="C19" s="113">
        <v>14076588</v>
      </c>
      <c r="D19" s="113">
        <v>11638160</v>
      </c>
      <c r="E19" s="113">
        <f t="shared" si="0"/>
        <v>-2438428</v>
      </c>
      <c r="F19" s="114">
        <f t="shared" si="1"/>
        <v>-0.17322578454381132</v>
      </c>
    </row>
    <row r="20" spans="1:6" x14ac:dyDescent="0.2">
      <c r="A20" s="115">
        <v>7</v>
      </c>
      <c r="B20" s="116" t="s">
        <v>119</v>
      </c>
      <c r="C20" s="113">
        <v>0</v>
      </c>
      <c r="D20" s="113">
        <v>0</v>
      </c>
      <c r="E20" s="113">
        <f t="shared" si="0"/>
        <v>0</v>
      </c>
      <c r="F20" s="114">
        <f t="shared" si="1"/>
        <v>0</v>
      </c>
    </row>
    <row r="21" spans="1:6" x14ac:dyDescent="0.2">
      <c r="A21" s="115">
        <v>8</v>
      </c>
      <c r="B21" s="116" t="s">
        <v>120</v>
      </c>
      <c r="C21" s="113">
        <v>235492</v>
      </c>
      <c r="D21" s="113">
        <v>217421</v>
      </c>
      <c r="E21" s="113">
        <f t="shared" si="0"/>
        <v>-18071</v>
      </c>
      <c r="F21" s="114">
        <f t="shared" si="1"/>
        <v>-7.6737214003023455E-2</v>
      </c>
    </row>
    <row r="22" spans="1:6" x14ac:dyDescent="0.2">
      <c r="A22" s="115">
        <v>9</v>
      </c>
      <c r="B22" s="116" t="s">
        <v>121</v>
      </c>
      <c r="C22" s="113">
        <v>751105</v>
      </c>
      <c r="D22" s="113">
        <v>760706</v>
      </c>
      <c r="E22" s="113">
        <f t="shared" si="0"/>
        <v>9601</v>
      </c>
      <c r="F22" s="114">
        <f t="shared" si="1"/>
        <v>1.2782500449337975E-2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181321</v>
      </c>
      <c r="D24" s="113">
        <v>582135</v>
      </c>
      <c r="E24" s="113">
        <f t="shared" si="0"/>
        <v>400814</v>
      </c>
      <c r="F24" s="114">
        <f t="shared" si="1"/>
        <v>2.2105216715107461</v>
      </c>
    </row>
    <row r="25" spans="1:6" ht="15.75" x14ac:dyDescent="0.25">
      <c r="A25" s="117"/>
      <c r="B25" s="118" t="s">
        <v>124</v>
      </c>
      <c r="C25" s="119">
        <f>SUM(C14:C24)</f>
        <v>68939980</v>
      </c>
      <c r="D25" s="119">
        <f>SUM(D14:D24)</f>
        <v>68069833</v>
      </c>
      <c r="E25" s="119">
        <f t="shared" si="0"/>
        <v>-870147</v>
      </c>
      <c r="F25" s="120">
        <f t="shared" si="1"/>
        <v>-1.2621805228257971E-2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36340316</v>
      </c>
      <c r="D27" s="113">
        <v>34337194</v>
      </c>
      <c r="E27" s="113">
        <f t="shared" ref="E27:E38" si="2">D27-C27</f>
        <v>-2003122</v>
      </c>
      <c r="F27" s="114">
        <f t="shared" ref="F27:F38" si="3">IF(C27=0,0,E27/C27)</f>
        <v>-5.5121204779837354E-2</v>
      </c>
    </row>
    <row r="28" spans="1:6" x14ac:dyDescent="0.2">
      <c r="A28" s="115">
        <v>2</v>
      </c>
      <c r="B28" s="116" t="s">
        <v>114</v>
      </c>
      <c r="C28" s="113">
        <v>7012100</v>
      </c>
      <c r="D28" s="113">
        <v>7060199</v>
      </c>
      <c r="E28" s="113">
        <f t="shared" si="2"/>
        <v>48099</v>
      </c>
      <c r="F28" s="114">
        <f t="shared" si="3"/>
        <v>6.8594287018154329E-3</v>
      </c>
    </row>
    <row r="29" spans="1:6" x14ac:dyDescent="0.2">
      <c r="A29" s="115">
        <v>3</v>
      </c>
      <c r="B29" s="116" t="s">
        <v>115</v>
      </c>
      <c r="C29" s="113">
        <v>28407771</v>
      </c>
      <c r="D29" s="113">
        <v>35458130</v>
      </c>
      <c r="E29" s="113">
        <f t="shared" si="2"/>
        <v>7050359</v>
      </c>
      <c r="F29" s="114">
        <f t="shared" si="3"/>
        <v>0.24818416763497567</v>
      </c>
    </row>
    <row r="30" spans="1:6" x14ac:dyDescent="0.2">
      <c r="A30" s="115">
        <v>4</v>
      </c>
      <c r="B30" s="116" t="s">
        <v>116</v>
      </c>
      <c r="C30" s="113">
        <v>3318606</v>
      </c>
      <c r="D30" s="113">
        <v>0</v>
      </c>
      <c r="E30" s="113">
        <f t="shared" si="2"/>
        <v>-3318606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459513</v>
      </c>
      <c r="D31" s="113">
        <v>409389</v>
      </c>
      <c r="E31" s="113">
        <f t="shared" si="2"/>
        <v>-50124</v>
      </c>
      <c r="F31" s="114">
        <f t="shared" si="3"/>
        <v>-0.1090807006548237</v>
      </c>
    </row>
    <row r="32" spans="1:6" x14ac:dyDescent="0.2">
      <c r="A32" s="115">
        <v>6</v>
      </c>
      <c r="B32" s="116" t="s">
        <v>118</v>
      </c>
      <c r="C32" s="113">
        <v>58832726</v>
      </c>
      <c r="D32" s="113">
        <v>53285004</v>
      </c>
      <c r="E32" s="113">
        <f t="shared" si="2"/>
        <v>-5547722</v>
      </c>
      <c r="F32" s="114">
        <f t="shared" si="3"/>
        <v>-9.4296531491673524E-2</v>
      </c>
    </row>
    <row r="33" spans="1:6" x14ac:dyDescent="0.2">
      <c r="A33" s="115">
        <v>7</v>
      </c>
      <c r="B33" s="116" t="s">
        <v>119</v>
      </c>
      <c r="C33" s="113">
        <v>0</v>
      </c>
      <c r="D33" s="113">
        <v>0</v>
      </c>
      <c r="E33" s="113">
        <f t="shared" si="2"/>
        <v>0</v>
      </c>
      <c r="F33" s="114">
        <f t="shared" si="3"/>
        <v>0</v>
      </c>
    </row>
    <row r="34" spans="1:6" x14ac:dyDescent="0.2">
      <c r="A34" s="115">
        <v>8</v>
      </c>
      <c r="B34" s="116" t="s">
        <v>120</v>
      </c>
      <c r="C34" s="113">
        <v>2293820</v>
      </c>
      <c r="D34" s="113">
        <v>2466684</v>
      </c>
      <c r="E34" s="113">
        <f t="shared" si="2"/>
        <v>172864</v>
      </c>
      <c r="F34" s="114">
        <f t="shared" si="3"/>
        <v>7.5360751933455983E-2</v>
      </c>
    </row>
    <row r="35" spans="1:6" x14ac:dyDescent="0.2">
      <c r="A35" s="115">
        <v>9</v>
      </c>
      <c r="B35" s="116" t="s">
        <v>121</v>
      </c>
      <c r="C35" s="113">
        <v>4287134</v>
      </c>
      <c r="D35" s="113">
        <v>4026998</v>
      </c>
      <c r="E35" s="113">
        <f t="shared" si="2"/>
        <v>-260136</v>
      </c>
      <c r="F35" s="114">
        <f t="shared" si="3"/>
        <v>-6.0678299302051208E-2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258122</v>
      </c>
      <c r="D37" s="113">
        <v>295954</v>
      </c>
      <c r="E37" s="113">
        <f t="shared" si="2"/>
        <v>37832</v>
      </c>
      <c r="F37" s="114">
        <f t="shared" si="3"/>
        <v>0.14656635234501514</v>
      </c>
    </row>
    <row r="38" spans="1:6" ht="15.75" x14ac:dyDescent="0.25">
      <c r="A38" s="117"/>
      <c r="B38" s="118" t="s">
        <v>126</v>
      </c>
      <c r="C38" s="119">
        <f>SUM(C27:C37)</f>
        <v>141210108</v>
      </c>
      <c r="D38" s="119">
        <f>SUM(D27:D37)</f>
        <v>137339552</v>
      </c>
      <c r="E38" s="119">
        <f t="shared" si="2"/>
        <v>-3870556</v>
      </c>
      <c r="F38" s="120">
        <f t="shared" si="3"/>
        <v>-2.7409907511720052E-2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73475661</v>
      </c>
      <c r="D41" s="119">
        <f t="shared" si="4"/>
        <v>71285375</v>
      </c>
      <c r="E41" s="123">
        <f t="shared" ref="E41:E52" si="5">D41-C41</f>
        <v>-2190286</v>
      </c>
      <c r="F41" s="124">
        <f t="shared" ref="F41:F52" si="6">IF(C41=0,0,E41/C41)</f>
        <v>-2.980968078667574E-2</v>
      </c>
    </row>
    <row r="42" spans="1:6" ht="15.75" x14ac:dyDescent="0.25">
      <c r="A42" s="121">
        <v>2</v>
      </c>
      <c r="B42" s="122" t="s">
        <v>114</v>
      </c>
      <c r="C42" s="119">
        <f t="shared" si="4"/>
        <v>13096316</v>
      </c>
      <c r="D42" s="119">
        <f t="shared" si="4"/>
        <v>13627369</v>
      </c>
      <c r="E42" s="123">
        <f t="shared" si="5"/>
        <v>531053</v>
      </c>
      <c r="F42" s="124">
        <f t="shared" si="6"/>
        <v>4.0549800417155481E-2</v>
      </c>
    </row>
    <row r="43" spans="1:6" ht="15.75" x14ac:dyDescent="0.25">
      <c r="A43" s="121">
        <v>3</v>
      </c>
      <c r="B43" s="122" t="s">
        <v>115</v>
      </c>
      <c r="C43" s="119">
        <f t="shared" si="4"/>
        <v>37978273</v>
      </c>
      <c r="D43" s="119">
        <f t="shared" si="4"/>
        <v>46690277</v>
      </c>
      <c r="E43" s="123">
        <f t="shared" si="5"/>
        <v>8712004</v>
      </c>
      <c r="F43" s="124">
        <f t="shared" si="6"/>
        <v>0.2293944224372709</v>
      </c>
    </row>
    <row r="44" spans="1:6" ht="15.75" x14ac:dyDescent="0.25">
      <c r="A44" s="121">
        <v>4</v>
      </c>
      <c r="B44" s="122" t="s">
        <v>116</v>
      </c>
      <c r="C44" s="119">
        <f t="shared" si="4"/>
        <v>4012180</v>
      </c>
      <c r="D44" s="119">
        <f t="shared" si="4"/>
        <v>0</v>
      </c>
      <c r="E44" s="123">
        <f t="shared" si="5"/>
        <v>-4012180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671350</v>
      </c>
      <c r="D45" s="119">
        <f t="shared" si="4"/>
        <v>533302</v>
      </c>
      <c r="E45" s="123">
        <f t="shared" si="5"/>
        <v>-138048</v>
      </c>
      <c r="F45" s="124">
        <f t="shared" si="6"/>
        <v>-0.2056274670440158</v>
      </c>
    </row>
    <row r="46" spans="1:6" ht="15.75" x14ac:dyDescent="0.25">
      <c r="A46" s="121">
        <v>6</v>
      </c>
      <c r="B46" s="122" t="s">
        <v>118</v>
      </c>
      <c r="C46" s="119">
        <f t="shared" si="4"/>
        <v>72909314</v>
      </c>
      <c r="D46" s="119">
        <f t="shared" si="4"/>
        <v>64923164</v>
      </c>
      <c r="E46" s="123">
        <f t="shared" si="5"/>
        <v>-7986150</v>
      </c>
      <c r="F46" s="124">
        <f t="shared" si="6"/>
        <v>-0.10953538803012192</v>
      </c>
    </row>
    <row r="47" spans="1:6" ht="15.75" x14ac:dyDescent="0.25">
      <c r="A47" s="121">
        <v>7</v>
      </c>
      <c r="B47" s="122" t="s">
        <v>119</v>
      </c>
      <c r="C47" s="119">
        <f t="shared" si="4"/>
        <v>0</v>
      </c>
      <c r="D47" s="119">
        <f t="shared" si="4"/>
        <v>0</v>
      </c>
      <c r="E47" s="123">
        <f t="shared" si="5"/>
        <v>0</v>
      </c>
      <c r="F47" s="124">
        <f t="shared" si="6"/>
        <v>0</v>
      </c>
    </row>
    <row r="48" spans="1:6" ht="15.75" x14ac:dyDescent="0.25">
      <c r="A48" s="121">
        <v>8</v>
      </c>
      <c r="B48" s="122" t="s">
        <v>120</v>
      </c>
      <c r="C48" s="119">
        <f t="shared" si="4"/>
        <v>2529312</v>
      </c>
      <c r="D48" s="119">
        <f t="shared" si="4"/>
        <v>2684105</v>
      </c>
      <c r="E48" s="123">
        <f t="shared" si="5"/>
        <v>154793</v>
      </c>
      <c r="F48" s="124">
        <f t="shared" si="6"/>
        <v>6.1199646386052811E-2</v>
      </c>
    </row>
    <row r="49" spans="1:6" ht="15.75" x14ac:dyDescent="0.25">
      <c r="A49" s="121">
        <v>9</v>
      </c>
      <c r="B49" s="122" t="s">
        <v>121</v>
      </c>
      <c r="C49" s="119">
        <f t="shared" si="4"/>
        <v>5038239</v>
      </c>
      <c r="D49" s="119">
        <f t="shared" si="4"/>
        <v>4787704</v>
      </c>
      <c r="E49" s="123">
        <f t="shared" si="5"/>
        <v>-250535</v>
      </c>
      <c r="F49" s="124">
        <f t="shared" si="6"/>
        <v>-4.9726700142649051E-2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439443</v>
      </c>
      <c r="D51" s="119">
        <f t="shared" si="4"/>
        <v>878089</v>
      </c>
      <c r="E51" s="123">
        <f t="shared" si="5"/>
        <v>438646</v>
      </c>
      <c r="F51" s="124">
        <f t="shared" si="6"/>
        <v>0.9981863404355058</v>
      </c>
    </row>
    <row r="52" spans="1:6" ht="18.75" customHeight="1" thickBot="1" x14ac:dyDescent="0.3">
      <c r="A52" s="125"/>
      <c r="B52" s="126" t="s">
        <v>128</v>
      </c>
      <c r="C52" s="127">
        <f>SUM(C41:C51)</f>
        <v>210150088</v>
      </c>
      <c r="D52" s="128">
        <f>SUM(D41:D51)</f>
        <v>205409385</v>
      </c>
      <c r="E52" s="127">
        <f t="shared" si="5"/>
        <v>-4740703</v>
      </c>
      <c r="F52" s="129">
        <f t="shared" si="6"/>
        <v>-2.2558653413459431E-2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24278572</v>
      </c>
      <c r="D57" s="113">
        <v>21448167</v>
      </c>
      <c r="E57" s="113">
        <f t="shared" ref="E57:E68" si="7">D57-C57</f>
        <v>-2830405</v>
      </c>
      <c r="F57" s="114">
        <f t="shared" ref="F57:F68" si="8">IF(C57=0,0,E57/C57)</f>
        <v>-0.11658037383747281</v>
      </c>
    </row>
    <row r="58" spans="1:6" x14ac:dyDescent="0.2">
      <c r="A58" s="115">
        <v>2</v>
      </c>
      <c r="B58" s="116" t="s">
        <v>114</v>
      </c>
      <c r="C58" s="113">
        <v>3705836</v>
      </c>
      <c r="D58" s="113">
        <v>3346918</v>
      </c>
      <c r="E58" s="113">
        <f t="shared" si="7"/>
        <v>-358918</v>
      </c>
      <c r="F58" s="114">
        <f t="shared" si="8"/>
        <v>-9.685210030881021E-2</v>
      </c>
    </row>
    <row r="59" spans="1:6" x14ac:dyDescent="0.2">
      <c r="A59" s="115">
        <v>3</v>
      </c>
      <c r="B59" s="116" t="s">
        <v>115</v>
      </c>
      <c r="C59" s="113">
        <v>4029946</v>
      </c>
      <c r="D59" s="113">
        <v>4108612</v>
      </c>
      <c r="E59" s="113">
        <f t="shared" si="7"/>
        <v>78666</v>
      </c>
      <c r="F59" s="114">
        <f t="shared" si="8"/>
        <v>1.9520360818730573E-2</v>
      </c>
    </row>
    <row r="60" spans="1:6" x14ac:dyDescent="0.2">
      <c r="A60" s="115">
        <v>4</v>
      </c>
      <c r="B60" s="116" t="s">
        <v>116</v>
      </c>
      <c r="C60" s="113">
        <v>290987</v>
      </c>
      <c r="D60" s="113">
        <v>0</v>
      </c>
      <c r="E60" s="113">
        <f t="shared" si="7"/>
        <v>-290987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80646</v>
      </c>
      <c r="D61" s="113">
        <v>64966</v>
      </c>
      <c r="E61" s="113">
        <f t="shared" si="7"/>
        <v>-15680</v>
      </c>
      <c r="F61" s="114">
        <f t="shared" si="8"/>
        <v>-0.19442997792822955</v>
      </c>
    </row>
    <row r="62" spans="1:6" x14ac:dyDescent="0.2">
      <c r="A62" s="115">
        <v>6</v>
      </c>
      <c r="B62" s="116" t="s">
        <v>118</v>
      </c>
      <c r="C62" s="113">
        <v>9061085</v>
      </c>
      <c r="D62" s="113">
        <v>7012271</v>
      </c>
      <c r="E62" s="113">
        <f t="shared" si="7"/>
        <v>-2048814</v>
      </c>
      <c r="F62" s="114">
        <f t="shared" si="8"/>
        <v>-0.22611133214179097</v>
      </c>
    </row>
    <row r="63" spans="1:6" x14ac:dyDescent="0.2">
      <c r="A63" s="115">
        <v>7</v>
      </c>
      <c r="B63" s="116" t="s">
        <v>119</v>
      </c>
      <c r="C63" s="113">
        <v>0</v>
      </c>
      <c r="D63" s="113">
        <v>0</v>
      </c>
      <c r="E63" s="113">
        <f t="shared" si="7"/>
        <v>0</v>
      </c>
      <c r="F63" s="114">
        <f t="shared" si="8"/>
        <v>0</v>
      </c>
    </row>
    <row r="64" spans="1:6" x14ac:dyDescent="0.2">
      <c r="A64" s="115">
        <v>8</v>
      </c>
      <c r="B64" s="116" t="s">
        <v>120</v>
      </c>
      <c r="C64" s="113">
        <v>136525</v>
      </c>
      <c r="D64" s="113">
        <v>144370</v>
      </c>
      <c r="E64" s="113">
        <f t="shared" si="7"/>
        <v>7845</v>
      </c>
      <c r="F64" s="114">
        <f t="shared" si="8"/>
        <v>5.7462003296099615E-2</v>
      </c>
    </row>
    <row r="65" spans="1:6" x14ac:dyDescent="0.2">
      <c r="A65" s="115">
        <v>9</v>
      </c>
      <c r="B65" s="116" t="s">
        <v>121</v>
      </c>
      <c r="C65" s="113">
        <v>15020</v>
      </c>
      <c r="D65" s="113">
        <v>14644</v>
      </c>
      <c r="E65" s="113">
        <f t="shared" si="7"/>
        <v>-376</v>
      </c>
      <c r="F65" s="114">
        <f t="shared" si="8"/>
        <v>-2.5033288948069242E-2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43905</v>
      </c>
      <c r="D67" s="113">
        <v>88061</v>
      </c>
      <c r="E67" s="113">
        <f t="shared" si="7"/>
        <v>44156</v>
      </c>
      <c r="F67" s="114">
        <f t="shared" si="8"/>
        <v>1.0057168887370458</v>
      </c>
    </row>
    <row r="68" spans="1:6" ht="15.75" x14ac:dyDescent="0.25">
      <c r="A68" s="117"/>
      <c r="B68" s="118" t="s">
        <v>131</v>
      </c>
      <c r="C68" s="119">
        <f>SUM(C57:C67)</f>
        <v>41642522</v>
      </c>
      <c r="D68" s="119">
        <f>SUM(D57:D67)</f>
        <v>36228009</v>
      </c>
      <c r="E68" s="119">
        <f t="shared" si="7"/>
        <v>-5414513</v>
      </c>
      <c r="F68" s="120">
        <f t="shared" si="8"/>
        <v>-0.13002365706860886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8305309</v>
      </c>
      <c r="D70" s="113">
        <v>7407665</v>
      </c>
      <c r="E70" s="113">
        <f t="shared" ref="E70:E81" si="9">D70-C70</f>
        <v>-897644</v>
      </c>
      <c r="F70" s="114">
        <f t="shared" ref="F70:F81" si="10">IF(C70=0,0,E70/C70)</f>
        <v>-0.10808074690538305</v>
      </c>
    </row>
    <row r="71" spans="1:6" x14ac:dyDescent="0.2">
      <c r="A71" s="115">
        <v>2</v>
      </c>
      <c r="B71" s="116" t="s">
        <v>114</v>
      </c>
      <c r="C71" s="113">
        <v>1512586</v>
      </c>
      <c r="D71" s="113">
        <v>1427302</v>
      </c>
      <c r="E71" s="113">
        <f t="shared" si="9"/>
        <v>-85284</v>
      </c>
      <c r="F71" s="114">
        <f t="shared" si="10"/>
        <v>-5.6382909798186678E-2</v>
      </c>
    </row>
    <row r="72" spans="1:6" x14ac:dyDescent="0.2">
      <c r="A72" s="115">
        <v>3</v>
      </c>
      <c r="B72" s="116" t="s">
        <v>115</v>
      </c>
      <c r="C72" s="113">
        <v>6788311</v>
      </c>
      <c r="D72" s="113">
        <v>7346857</v>
      </c>
      <c r="E72" s="113">
        <f t="shared" si="9"/>
        <v>558546</v>
      </c>
      <c r="F72" s="114">
        <f t="shared" si="10"/>
        <v>8.2280555501950334E-2</v>
      </c>
    </row>
    <row r="73" spans="1:6" x14ac:dyDescent="0.2">
      <c r="A73" s="115">
        <v>4</v>
      </c>
      <c r="B73" s="116" t="s">
        <v>116</v>
      </c>
      <c r="C73" s="113">
        <v>819557</v>
      </c>
      <c r="D73" s="113">
        <v>0</v>
      </c>
      <c r="E73" s="113">
        <f t="shared" si="9"/>
        <v>-819557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115885</v>
      </c>
      <c r="D74" s="113">
        <v>89032</v>
      </c>
      <c r="E74" s="113">
        <f t="shared" si="9"/>
        <v>-26853</v>
      </c>
      <c r="F74" s="114">
        <f t="shared" si="10"/>
        <v>-0.23172110281744834</v>
      </c>
    </row>
    <row r="75" spans="1:6" x14ac:dyDescent="0.2">
      <c r="A75" s="115">
        <v>6</v>
      </c>
      <c r="B75" s="116" t="s">
        <v>118</v>
      </c>
      <c r="C75" s="113">
        <v>25929632</v>
      </c>
      <c r="D75" s="113">
        <v>22666689</v>
      </c>
      <c r="E75" s="113">
        <f t="shared" si="9"/>
        <v>-3262943</v>
      </c>
      <c r="F75" s="114">
        <f t="shared" si="10"/>
        <v>-0.12583838443985629</v>
      </c>
    </row>
    <row r="76" spans="1:6" x14ac:dyDescent="0.2">
      <c r="A76" s="115">
        <v>7</v>
      </c>
      <c r="B76" s="116" t="s">
        <v>119</v>
      </c>
      <c r="C76" s="113">
        <v>0</v>
      </c>
      <c r="D76" s="113">
        <v>0</v>
      </c>
      <c r="E76" s="113">
        <f t="shared" si="9"/>
        <v>0</v>
      </c>
      <c r="F76" s="114">
        <f t="shared" si="10"/>
        <v>0</v>
      </c>
    </row>
    <row r="77" spans="1:6" x14ac:dyDescent="0.2">
      <c r="A77" s="115">
        <v>8</v>
      </c>
      <c r="B77" s="116" t="s">
        <v>120</v>
      </c>
      <c r="C77" s="113">
        <v>1652741</v>
      </c>
      <c r="D77" s="113">
        <v>1412982</v>
      </c>
      <c r="E77" s="113">
        <f t="shared" si="9"/>
        <v>-239759</v>
      </c>
      <c r="F77" s="114">
        <f t="shared" si="10"/>
        <v>-0.14506749696413412</v>
      </c>
    </row>
    <row r="78" spans="1:6" x14ac:dyDescent="0.2">
      <c r="A78" s="115">
        <v>9</v>
      </c>
      <c r="B78" s="116" t="s">
        <v>121</v>
      </c>
      <c r="C78" s="113">
        <v>108762</v>
      </c>
      <c r="D78" s="113">
        <v>101392</v>
      </c>
      <c r="E78" s="113">
        <f t="shared" si="9"/>
        <v>-7370</v>
      </c>
      <c r="F78" s="114">
        <f t="shared" si="10"/>
        <v>-6.7762637685956487E-2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30210</v>
      </c>
      <c r="D80" s="113">
        <v>34562</v>
      </c>
      <c r="E80" s="113">
        <f t="shared" si="9"/>
        <v>4352</v>
      </c>
      <c r="F80" s="114">
        <f t="shared" si="10"/>
        <v>0.14405825885468387</v>
      </c>
    </row>
    <row r="81" spans="1:6" ht="15.75" x14ac:dyDescent="0.25">
      <c r="A81" s="117"/>
      <c r="B81" s="118" t="s">
        <v>133</v>
      </c>
      <c r="C81" s="119">
        <f>SUM(C70:C80)</f>
        <v>45262993</v>
      </c>
      <c r="D81" s="119">
        <f>SUM(D70:D80)</f>
        <v>40486481</v>
      </c>
      <c r="E81" s="119">
        <f t="shared" si="9"/>
        <v>-4776512</v>
      </c>
      <c r="F81" s="120">
        <f t="shared" si="10"/>
        <v>-0.10552797513854199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32583881</v>
      </c>
      <c r="D84" s="119">
        <f t="shared" si="11"/>
        <v>28855832</v>
      </c>
      <c r="E84" s="119">
        <f t="shared" ref="E84:E95" si="12">D84-C84</f>
        <v>-3728049</v>
      </c>
      <c r="F84" s="120">
        <f t="shared" ref="F84:F95" si="13">IF(C84=0,0,E84/C84)</f>
        <v>-0.11441390299700641</v>
      </c>
    </row>
    <row r="85" spans="1:6" ht="15.75" x14ac:dyDescent="0.25">
      <c r="A85" s="130">
        <v>2</v>
      </c>
      <c r="B85" s="122" t="s">
        <v>114</v>
      </c>
      <c r="C85" s="119">
        <f t="shared" si="11"/>
        <v>5218422</v>
      </c>
      <c r="D85" s="119">
        <f t="shared" si="11"/>
        <v>4774220</v>
      </c>
      <c r="E85" s="119">
        <f t="shared" si="12"/>
        <v>-444202</v>
      </c>
      <c r="F85" s="120">
        <f t="shared" si="13"/>
        <v>-8.512190083515668E-2</v>
      </c>
    </row>
    <row r="86" spans="1:6" ht="15.75" x14ac:dyDescent="0.25">
      <c r="A86" s="130">
        <v>3</v>
      </c>
      <c r="B86" s="122" t="s">
        <v>115</v>
      </c>
      <c r="C86" s="119">
        <f t="shared" si="11"/>
        <v>10818257</v>
      </c>
      <c r="D86" s="119">
        <f t="shared" si="11"/>
        <v>11455469</v>
      </c>
      <c r="E86" s="119">
        <f t="shared" si="12"/>
        <v>637212</v>
      </c>
      <c r="F86" s="120">
        <f t="shared" si="13"/>
        <v>5.8901540238875817E-2</v>
      </c>
    </row>
    <row r="87" spans="1:6" ht="15.75" x14ac:dyDescent="0.25">
      <c r="A87" s="130">
        <v>4</v>
      </c>
      <c r="B87" s="122" t="s">
        <v>116</v>
      </c>
      <c r="C87" s="119">
        <f t="shared" si="11"/>
        <v>1110544</v>
      </c>
      <c r="D87" s="119">
        <f t="shared" si="11"/>
        <v>0</v>
      </c>
      <c r="E87" s="119">
        <f t="shared" si="12"/>
        <v>-1110544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196531</v>
      </c>
      <c r="D88" s="119">
        <f t="shared" si="11"/>
        <v>153998</v>
      </c>
      <c r="E88" s="119">
        <f t="shared" si="12"/>
        <v>-42533</v>
      </c>
      <c r="F88" s="120">
        <f t="shared" si="13"/>
        <v>-0.21641878380509946</v>
      </c>
    </row>
    <row r="89" spans="1:6" ht="15.75" x14ac:dyDescent="0.25">
      <c r="A89" s="130">
        <v>6</v>
      </c>
      <c r="B89" s="122" t="s">
        <v>118</v>
      </c>
      <c r="C89" s="119">
        <f t="shared" si="11"/>
        <v>34990717</v>
      </c>
      <c r="D89" s="119">
        <f t="shared" si="11"/>
        <v>29678960</v>
      </c>
      <c r="E89" s="119">
        <f t="shared" si="12"/>
        <v>-5311757</v>
      </c>
      <c r="F89" s="120">
        <f t="shared" si="13"/>
        <v>-0.15180474867091176</v>
      </c>
    </row>
    <row r="90" spans="1:6" ht="15.75" x14ac:dyDescent="0.25">
      <c r="A90" s="130">
        <v>7</v>
      </c>
      <c r="B90" s="122" t="s">
        <v>119</v>
      </c>
      <c r="C90" s="119">
        <f t="shared" si="11"/>
        <v>0</v>
      </c>
      <c r="D90" s="119">
        <f t="shared" si="11"/>
        <v>0</v>
      </c>
      <c r="E90" s="119">
        <f t="shared" si="12"/>
        <v>0</v>
      </c>
      <c r="F90" s="120">
        <f t="shared" si="13"/>
        <v>0</v>
      </c>
    </row>
    <row r="91" spans="1:6" ht="15.75" x14ac:dyDescent="0.25">
      <c r="A91" s="130">
        <v>8</v>
      </c>
      <c r="B91" s="122" t="s">
        <v>120</v>
      </c>
      <c r="C91" s="119">
        <f t="shared" si="11"/>
        <v>1789266</v>
      </c>
      <c r="D91" s="119">
        <f t="shared" si="11"/>
        <v>1557352</v>
      </c>
      <c r="E91" s="119">
        <f t="shared" si="12"/>
        <v>-231914</v>
      </c>
      <c r="F91" s="120">
        <f t="shared" si="13"/>
        <v>-0.12961404285332645</v>
      </c>
    </row>
    <row r="92" spans="1:6" ht="15.75" x14ac:dyDescent="0.25">
      <c r="A92" s="130">
        <v>9</v>
      </c>
      <c r="B92" s="122" t="s">
        <v>121</v>
      </c>
      <c r="C92" s="119">
        <f t="shared" si="11"/>
        <v>123782</v>
      </c>
      <c r="D92" s="119">
        <f t="shared" si="11"/>
        <v>116036</v>
      </c>
      <c r="E92" s="119">
        <f t="shared" si="12"/>
        <v>-7746</v>
      </c>
      <c r="F92" s="120">
        <f t="shared" si="13"/>
        <v>-6.2577757670743722E-2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74115</v>
      </c>
      <c r="D94" s="119">
        <f t="shared" si="11"/>
        <v>122623</v>
      </c>
      <c r="E94" s="119">
        <f t="shared" si="12"/>
        <v>48508</v>
      </c>
      <c r="F94" s="120">
        <f t="shared" si="13"/>
        <v>0.65449639074411392</v>
      </c>
    </row>
    <row r="95" spans="1:6" ht="18.75" customHeight="1" thickBot="1" x14ac:dyDescent="0.3">
      <c r="A95" s="131"/>
      <c r="B95" s="132" t="s">
        <v>134</v>
      </c>
      <c r="C95" s="128">
        <f>SUM(C84:C94)</f>
        <v>86905515</v>
      </c>
      <c r="D95" s="128">
        <f>SUM(D84:D94)</f>
        <v>76714490</v>
      </c>
      <c r="E95" s="128">
        <f t="shared" si="12"/>
        <v>-10191025</v>
      </c>
      <c r="F95" s="129">
        <f t="shared" si="13"/>
        <v>-0.11726557284655641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2009</v>
      </c>
      <c r="D100" s="133">
        <v>1864</v>
      </c>
      <c r="E100" s="133">
        <f t="shared" ref="E100:E111" si="14">D100-C100</f>
        <v>-145</v>
      </c>
      <c r="F100" s="114">
        <f t="shared" ref="F100:F111" si="15">IF(C100=0,0,E100/C100)</f>
        <v>-7.2175211548033844E-2</v>
      </c>
    </row>
    <row r="101" spans="1:6" x14ac:dyDescent="0.2">
      <c r="A101" s="115">
        <v>2</v>
      </c>
      <c r="B101" s="116" t="s">
        <v>114</v>
      </c>
      <c r="C101" s="133">
        <v>317</v>
      </c>
      <c r="D101" s="133">
        <v>346</v>
      </c>
      <c r="E101" s="133">
        <f t="shared" si="14"/>
        <v>29</v>
      </c>
      <c r="F101" s="114">
        <f t="shared" si="15"/>
        <v>9.1482649842271294E-2</v>
      </c>
    </row>
    <row r="102" spans="1:6" x14ac:dyDescent="0.2">
      <c r="A102" s="115">
        <v>3</v>
      </c>
      <c r="B102" s="116" t="s">
        <v>115</v>
      </c>
      <c r="C102" s="133">
        <v>889</v>
      </c>
      <c r="D102" s="133">
        <v>965</v>
      </c>
      <c r="E102" s="133">
        <f t="shared" si="14"/>
        <v>76</v>
      </c>
      <c r="F102" s="114">
        <f t="shared" si="15"/>
        <v>8.5489313835770533E-2</v>
      </c>
    </row>
    <row r="103" spans="1:6" x14ac:dyDescent="0.2">
      <c r="A103" s="115">
        <v>4</v>
      </c>
      <c r="B103" s="116" t="s">
        <v>116</v>
      </c>
      <c r="C103" s="133">
        <v>81</v>
      </c>
      <c r="D103" s="133">
        <v>0</v>
      </c>
      <c r="E103" s="133">
        <f t="shared" si="14"/>
        <v>-81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17</v>
      </c>
      <c r="D104" s="133">
        <v>18</v>
      </c>
      <c r="E104" s="133">
        <f t="shared" si="14"/>
        <v>1</v>
      </c>
      <c r="F104" s="114">
        <f t="shared" si="15"/>
        <v>5.8823529411764705E-2</v>
      </c>
    </row>
    <row r="105" spans="1:6" x14ac:dyDescent="0.2">
      <c r="A105" s="115">
        <v>6</v>
      </c>
      <c r="B105" s="116" t="s">
        <v>118</v>
      </c>
      <c r="C105" s="133">
        <v>1110</v>
      </c>
      <c r="D105" s="133">
        <v>865</v>
      </c>
      <c r="E105" s="133">
        <f t="shared" si="14"/>
        <v>-245</v>
      </c>
      <c r="F105" s="114">
        <f t="shared" si="15"/>
        <v>-0.22072072072072071</v>
      </c>
    </row>
    <row r="106" spans="1:6" x14ac:dyDescent="0.2">
      <c r="A106" s="115">
        <v>7</v>
      </c>
      <c r="B106" s="116" t="s">
        <v>119</v>
      </c>
      <c r="C106" s="133">
        <v>0</v>
      </c>
      <c r="D106" s="133">
        <v>0</v>
      </c>
      <c r="E106" s="133">
        <f t="shared" si="14"/>
        <v>0</v>
      </c>
      <c r="F106" s="114">
        <f t="shared" si="15"/>
        <v>0</v>
      </c>
    </row>
    <row r="107" spans="1:6" x14ac:dyDescent="0.2">
      <c r="A107" s="115">
        <v>8</v>
      </c>
      <c r="B107" s="116" t="s">
        <v>120</v>
      </c>
      <c r="C107" s="133">
        <v>12</v>
      </c>
      <c r="D107" s="133">
        <v>13</v>
      </c>
      <c r="E107" s="133">
        <f t="shared" si="14"/>
        <v>1</v>
      </c>
      <c r="F107" s="114">
        <f t="shared" si="15"/>
        <v>8.3333333333333329E-2</v>
      </c>
    </row>
    <row r="108" spans="1:6" x14ac:dyDescent="0.2">
      <c r="A108" s="115">
        <v>9</v>
      </c>
      <c r="B108" s="116" t="s">
        <v>121</v>
      </c>
      <c r="C108" s="133">
        <v>56</v>
      </c>
      <c r="D108" s="133">
        <v>48</v>
      </c>
      <c r="E108" s="133">
        <f t="shared" si="14"/>
        <v>-8</v>
      </c>
      <c r="F108" s="114">
        <f t="shared" si="15"/>
        <v>-0.14285714285714285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15</v>
      </c>
      <c r="D110" s="133">
        <v>19</v>
      </c>
      <c r="E110" s="133">
        <f t="shared" si="14"/>
        <v>4</v>
      </c>
      <c r="F110" s="114">
        <f t="shared" si="15"/>
        <v>0.26666666666666666</v>
      </c>
    </row>
    <row r="111" spans="1:6" ht="15.75" x14ac:dyDescent="0.25">
      <c r="A111" s="117"/>
      <c r="B111" s="118" t="s">
        <v>138</v>
      </c>
      <c r="C111" s="134">
        <f>SUM(C100:C110)</f>
        <v>4506</v>
      </c>
      <c r="D111" s="134">
        <f>SUM(D100:D110)</f>
        <v>4138</v>
      </c>
      <c r="E111" s="134">
        <f t="shared" si="14"/>
        <v>-368</v>
      </c>
      <c r="F111" s="120">
        <f t="shared" si="15"/>
        <v>-8.1668885929871288E-2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10009</v>
      </c>
      <c r="D113" s="133">
        <v>9356</v>
      </c>
      <c r="E113" s="133">
        <f t="shared" ref="E113:E124" si="16">D113-C113</f>
        <v>-653</v>
      </c>
      <c r="F113" s="114">
        <f t="shared" ref="F113:F124" si="17">IF(C113=0,0,E113/C113)</f>
        <v>-6.5241282845439105E-2</v>
      </c>
    </row>
    <row r="114" spans="1:6" x14ac:dyDescent="0.2">
      <c r="A114" s="115">
        <v>2</v>
      </c>
      <c r="B114" s="116" t="s">
        <v>114</v>
      </c>
      <c r="C114" s="133">
        <v>1740</v>
      </c>
      <c r="D114" s="133">
        <v>1698</v>
      </c>
      <c r="E114" s="133">
        <f t="shared" si="16"/>
        <v>-42</v>
      </c>
      <c r="F114" s="114">
        <f t="shared" si="17"/>
        <v>-2.4137931034482758E-2</v>
      </c>
    </row>
    <row r="115" spans="1:6" x14ac:dyDescent="0.2">
      <c r="A115" s="115">
        <v>3</v>
      </c>
      <c r="B115" s="116" t="s">
        <v>115</v>
      </c>
      <c r="C115" s="133">
        <v>2936</v>
      </c>
      <c r="D115" s="133">
        <v>3237</v>
      </c>
      <c r="E115" s="133">
        <f t="shared" si="16"/>
        <v>301</v>
      </c>
      <c r="F115" s="114">
        <f t="shared" si="17"/>
        <v>0.10252043596730245</v>
      </c>
    </row>
    <row r="116" spans="1:6" x14ac:dyDescent="0.2">
      <c r="A116" s="115">
        <v>4</v>
      </c>
      <c r="B116" s="116" t="s">
        <v>116</v>
      </c>
      <c r="C116" s="133">
        <v>219</v>
      </c>
      <c r="D116" s="133">
        <v>0</v>
      </c>
      <c r="E116" s="133">
        <f t="shared" si="16"/>
        <v>-219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66</v>
      </c>
      <c r="D117" s="133">
        <v>37</v>
      </c>
      <c r="E117" s="133">
        <f t="shared" si="16"/>
        <v>-29</v>
      </c>
      <c r="F117" s="114">
        <f t="shared" si="17"/>
        <v>-0.43939393939393939</v>
      </c>
    </row>
    <row r="118" spans="1:6" x14ac:dyDescent="0.2">
      <c r="A118" s="115">
        <v>6</v>
      </c>
      <c r="B118" s="116" t="s">
        <v>118</v>
      </c>
      <c r="C118" s="133">
        <v>3458</v>
      </c>
      <c r="D118" s="133">
        <v>2684</v>
      </c>
      <c r="E118" s="133">
        <f t="shared" si="16"/>
        <v>-774</v>
      </c>
      <c r="F118" s="114">
        <f t="shared" si="17"/>
        <v>-0.2238288027761712</v>
      </c>
    </row>
    <row r="119" spans="1:6" x14ac:dyDescent="0.2">
      <c r="A119" s="115">
        <v>7</v>
      </c>
      <c r="B119" s="116" t="s">
        <v>119</v>
      </c>
      <c r="C119" s="133">
        <v>0</v>
      </c>
      <c r="D119" s="133">
        <v>0</v>
      </c>
      <c r="E119" s="133">
        <f t="shared" si="16"/>
        <v>0</v>
      </c>
      <c r="F119" s="114">
        <f t="shared" si="17"/>
        <v>0</v>
      </c>
    </row>
    <row r="120" spans="1:6" x14ac:dyDescent="0.2">
      <c r="A120" s="115">
        <v>8</v>
      </c>
      <c r="B120" s="116" t="s">
        <v>120</v>
      </c>
      <c r="C120" s="133">
        <v>42</v>
      </c>
      <c r="D120" s="133">
        <v>45</v>
      </c>
      <c r="E120" s="133">
        <f t="shared" si="16"/>
        <v>3</v>
      </c>
      <c r="F120" s="114">
        <f t="shared" si="17"/>
        <v>7.1428571428571425E-2</v>
      </c>
    </row>
    <row r="121" spans="1:6" x14ac:dyDescent="0.2">
      <c r="A121" s="115">
        <v>9</v>
      </c>
      <c r="B121" s="116" t="s">
        <v>121</v>
      </c>
      <c r="C121" s="133">
        <v>156</v>
      </c>
      <c r="D121" s="133">
        <v>147</v>
      </c>
      <c r="E121" s="133">
        <f t="shared" si="16"/>
        <v>-9</v>
      </c>
      <c r="F121" s="114">
        <f t="shared" si="17"/>
        <v>-5.7692307692307696E-2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47</v>
      </c>
      <c r="D123" s="133">
        <v>151</v>
      </c>
      <c r="E123" s="133">
        <f t="shared" si="16"/>
        <v>104</v>
      </c>
      <c r="F123" s="114">
        <f t="shared" si="17"/>
        <v>2.2127659574468086</v>
      </c>
    </row>
    <row r="124" spans="1:6" ht="15.75" x14ac:dyDescent="0.25">
      <c r="A124" s="117"/>
      <c r="B124" s="118" t="s">
        <v>140</v>
      </c>
      <c r="C124" s="134">
        <f>SUM(C113:C123)</f>
        <v>18673</v>
      </c>
      <c r="D124" s="134">
        <f>SUM(D113:D123)</f>
        <v>17355</v>
      </c>
      <c r="E124" s="134">
        <f t="shared" si="16"/>
        <v>-1318</v>
      </c>
      <c r="F124" s="120">
        <f t="shared" si="17"/>
        <v>-7.0583194987414985E-2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40322</v>
      </c>
      <c r="D126" s="133">
        <v>30606</v>
      </c>
      <c r="E126" s="133">
        <f t="shared" ref="E126:E137" si="18">D126-C126</f>
        <v>-9716</v>
      </c>
      <c r="F126" s="114">
        <f t="shared" ref="F126:F137" si="19">IF(C126=0,0,E126/C126)</f>
        <v>-0.24096026982788551</v>
      </c>
    </row>
    <row r="127" spans="1:6" x14ac:dyDescent="0.2">
      <c r="A127" s="115">
        <v>2</v>
      </c>
      <c r="B127" s="116" t="s">
        <v>114</v>
      </c>
      <c r="C127" s="133">
        <v>8175</v>
      </c>
      <c r="D127" s="133">
        <v>6533</v>
      </c>
      <c r="E127" s="133">
        <f t="shared" si="18"/>
        <v>-1642</v>
      </c>
      <c r="F127" s="114">
        <f t="shared" si="19"/>
        <v>-0.20085626911314985</v>
      </c>
    </row>
    <row r="128" spans="1:6" x14ac:dyDescent="0.2">
      <c r="A128" s="115">
        <v>3</v>
      </c>
      <c r="B128" s="116" t="s">
        <v>115</v>
      </c>
      <c r="C128" s="133">
        <v>29740</v>
      </c>
      <c r="D128" s="133">
        <v>31625</v>
      </c>
      <c r="E128" s="133">
        <f t="shared" si="18"/>
        <v>1885</v>
      </c>
      <c r="F128" s="114">
        <f t="shared" si="19"/>
        <v>6.3382649630127769E-2</v>
      </c>
    </row>
    <row r="129" spans="1:6" x14ac:dyDescent="0.2">
      <c r="A129" s="115">
        <v>4</v>
      </c>
      <c r="B129" s="116" t="s">
        <v>116</v>
      </c>
      <c r="C129" s="133">
        <v>4351</v>
      </c>
      <c r="D129" s="133">
        <v>0</v>
      </c>
      <c r="E129" s="133">
        <f t="shared" si="18"/>
        <v>-4351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526</v>
      </c>
      <c r="D130" s="133">
        <v>413</v>
      </c>
      <c r="E130" s="133">
        <f t="shared" si="18"/>
        <v>-113</v>
      </c>
      <c r="F130" s="114">
        <f t="shared" si="19"/>
        <v>-0.21482889733840305</v>
      </c>
    </row>
    <row r="131" spans="1:6" x14ac:dyDescent="0.2">
      <c r="A131" s="115">
        <v>6</v>
      </c>
      <c r="B131" s="116" t="s">
        <v>118</v>
      </c>
      <c r="C131" s="133">
        <v>69340</v>
      </c>
      <c r="D131" s="133">
        <v>52358</v>
      </c>
      <c r="E131" s="133">
        <f t="shared" si="18"/>
        <v>-16982</v>
      </c>
      <c r="F131" s="114">
        <f t="shared" si="19"/>
        <v>-0.2449091433516008</v>
      </c>
    </row>
    <row r="132" spans="1:6" x14ac:dyDescent="0.2">
      <c r="A132" s="115">
        <v>7</v>
      </c>
      <c r="B132" s="116" t="s">
        <v>119</v>
      </c>
      <c r="C132" s="133">
        <v>0</v>
      </c>
      <c r="D132" s="133">
        <v>0</v>
      </c>
      <c r="E132" s="133">
        <f t="shared" si="18"/>
        <v>0</v>
      </c>
      <c r="F132" s="114">
        <f t="shared" si="19"/>
        <v>0</v>
      </c>
    </row>
    <row r="133" spans="1:6" x14ac:dyDescent="0.2">
      <c r="A133" s="115">
        <v>8</v>
      </c>
      <c r="B133" s="116" t="s">
        <v>120</v>
      </c>
      <c r="C133" s="133">
        <v>1917</v>
      </c>
      <c r="D133" s="133">
        <v>1909</v>
      </c>
      <c r="E133" s="133">
        <f t="shared" si="18"/>
        <v>-8</v>
      </c>
      <c r="F133" s="114">
        <f t="shared" si="19"/>
        <v>-4.1731872717788209E-3</v>
      </c>
    </row>
    <row r="134" spans="1:6" x14ac:dyDescent="0.2">
      <c r="A134" s="115">
        <v>9</v>
      </c>
      <c r="B134" s="116" t="s">
        <v>121</v>
      </c>
      <c r="C134" s="133">
        <v>5576</v>
      </c>
      <c r="D134" s="133">
        <v>4395</v>
      </c>
      <c r="E134" s="133">
        <f t="shared" si="18"/>
        <v>-1181</v>
      </c>
      <c r="F134" s="114">
        <f t="shared" si="19"/>
        <v>-0.21180057388809181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228</v>
      </c>
      <c r="D136" s="133">
        <v>192</v>
      </c>
      <c r="E136" s="133">
        <f t="shared" si="18"/>
        <v>-36</v>
      </c>
      <c r="F136" s="114">
        <f t="shared" si="19"/>
        <v>-0.15789473684210525</v>
      </c>
    </row>
    <row r="137" spans="1:6" ht="15.75" x14ac:dyDescent="0.25">
      <c r="A137" s="117"/>
      <c r="B137" s="118" t="s">
        <v>142</v>
      </c>
      <c r="C137" s="134">
        <f>SUM(C126:C136)</f>
        <v>160175</v>
      </c>
      <c r="D137" s="134">
        <f>SUM(D126:D136)</f>
        <v>128031</v>
      </c>
      <c r="E137" s="134">
        <f t="shared" si="18"/>
        <v>-32144</v>
      </c>
      <c r="F137" s="120">
        <f t="shared" si="19"/>
        <v>-0.20068050569689402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6843655</v>
      </c>
      <c r="D142" s="113">
        <v>7349455</v>
      </c>
      <c r="E142" s="113">
        <f t="shared" ref="E142:E153" si="20">D142-C142</f>
        <v>505800</v>
      </c>
      <c r="F142" s="114">
        <f t="shared" ref="F142:F153" si="21">IF(C142=0,0,E142/C142)</f>
        <v>7.3907875250871058E-2</v>
      </c>
    </row>
    <row r="143" spans="1:6" x14ac:dyDescent="0.2">
      <c r="A143" s="115">
        <v>2</v>
      </c>
      <c r="B143" s="116" t="s">
        <v>114</v>
      </c>
      <c r="C143" s="113">
        <v>1223715</v>
      </c>
      <c r="D143" s="113">
        <v>1201544</v>
      </c>
      <c r="E143" s="113">
        <f t="shared" si="20"/>
        <v>-22171</v>
      </c>
      <c r="F143" s="114">
        <f t="shared" si="21"/>
        <v>-1.8117780692399783E-2</v>
      </c>
    </row>
    <row r="144" spans="1:6" x14ac:dyDescent="0.2">
      <c r="A144" s="115">
        <v>3</v>
      </c>
      <c r="B144" s="116" t="s">
        <v>115</v>
      </c>
      <c r="C144" s="113">
        <v>14717702</v>
      </c>
      <c r="D144" s="113">
        <v>20784251</v>
      </c>
      <c r="E144" s="113">
        <f t="shared" si="20"/>
        <v>6066549</v>
      </c>
      <c r="F144" s="114">
        <f t="shared" si="21"/>
        <v>0.41219403681362754</v>
      </c>
    </row>
    <row r="145" spans="1:6" x14ac:dyDescent="0.2">
      <c r="A145" s="115">
        <v>4</v>
      </c>
      <c r="B145" s="116" t="s">
        <v>116</v>
      </c>
      <c r="C145" s="113">
        <v>1647567</v>
      </c>
      <c r="D145" s="113">
        <v>0</v>
      </c>
      <c r="E145" s="113">
        <f t="shared" si="20"/>
        <v>-1647567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236780</v>
      </c>
      <c r="D146" s="113">
        <v>225818</v>
      </c>
      <c r="E146" s="113">
        <f t="shared" si="20"/>
        <v>-10962</v>
      </c>
      <c r="F146" s="114">
        <f t="shared" si="21"/>
        <v>-4.6296139876678771E-2</v>
      </c>
    </row>
    <row r="147" spans="1:6" x14ac:dyDescent="0.2">
      <c r="A147" s="115">
        <v>6</v>
      </c>
      <c r="B147" s="116" t="s">
        <v>118</v>
      </c>
      <c r="C147" s="113">
        <v>12260325</v>
      </c>
      <c r="D147" s="113">
        <v>12758376</v>
      </c>
      <c r="E147" s="113">
        <f t="shared" si="20"/>
        <v>498051</v>
      </c>
      <c r="F147" s="114">
        <f t="shared" si="21"/>
        <v>4.0622985116626188E-2</v>
      </c>
    </row>
    <row r="148" spans="1:6" x14ac:dyDescent="0.2">
      <c r="A148" s="115">
        <v>7</v>
      </c>
      <c r="B148" s="116" t="s">
        <v>119</v>
      </c>
      <c r="C148" s="113">
        <v>0</v>
      </c>
      <c r="D148" s="113">
        <v>0</v>
      </c>
      <c r="E148" s="113">
        <f t="shared" si="20"/>
        <v>0</v>
      </c>
      <c r="F148" s="114">
        <f t="shared" si="21"/>
        <v>0</v>
      </c>
    </row>
    <row r="149" spans="1:6" x14ac:dyDescent="0.2">
      <c r="A149" s="115">
        <v>8</v>
      </c>
      <c r="B149" s="116" t="s">
        <v>120</v>
      </c>
      <c r="C149" s="113">
        <v>589474</v>
      </c>
      <c r="D149" s="113">
        <v>736834</v>
      </c>
      <c r="E149" s="113">
        <f t="shared" si="20"/>
        <v>147360</v>
      </c>
      <c r="F149" s="114">
        <f t="shared" si="21"/>
        <v>0.24998558036486765</v>
      </c>
    </row>
    <row r="150" spans="1:6" x14ac:dyDescent="0.2">
      <c r="A150" s="115">
        <v>9</v>
      </c>
      <c r="B150" s="116" t="s">
        <v>121</v>
      </c>
      <c r="C150" s="113">
        <v>2784937</v>
      </c>
      <c r="D150" s="113">
        <v>2825283</v>
      </c>
      <c r="E150" s="113">
        <f t="shared" si="20"/>
        <v>40346</v>
      </c>
      <c r="F150" s="114">
        <f t="shared" si="21"/>
        <v>1.4487221793527107E-2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154660</v>
      </c>
      <c r="D152" s="113">
        <v>240440</v>
      </c>
      <c r="E152" s="113">
        <f t="shared" si="20"/>
        <v>85780</v>
      </c>
      <c r="F152" s="114">
        <f t="shared" si="21"/>
        <v>0.55463597568860723</v>
      </c>
    </row>
    <row r="153" spans="1:6" ht="33.75" customHeight="1" x14ac:dyDescent="0.25">
      <c r="A153" s="117"/>
      <c r="B153" s="118" t="s">
        <v>146</v>
      </c>
      <c r="C153" s="119">
        <f>SUM(C142:C152)</f>
        <v>40458815</v>
      </c>
      <c r="D153" s="119">
        <f>SUM(D142:D152)</f>
        <v>46122001</v>
      </c>
      <c r="E153" s="119">
        <f t="shared" si="20"/>
        <v>5663186</v>
      </c>
      <c r="F153" s="120">
        <f t="shared" si="21"/>
        <v>0.13997409464414615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1744090</v>
      </c>
      <c r="D155" s="113">
        <v>1643924</v>
      </c>
      <c r="E155" s="113">
        <f t="shared" ref="E155:E166" si="22">D155-C155</f>
        <v>-100166</v>
      </c>
      <c r="F155" s="114">
        <f t="shared" ref="F155:F166" si="23">IF(C155=0,0,E155/C155)</f>
        <v>-5.7431669237252667E-2</v>
      </c>
    </row>
    <row r="156" spans="1:6" x14ac:dyDescent="0.2">
      <c r="A156" s="115">
        <v>2</v>
      </c>
      <c r="B156" s="116" t="s">
        <v>114</v>
      </c>
      <c r="C156" s="113">
        <v>305248</v>
      </c>
      <c r="D156" s="113">
        <v>259897</v>
      </c>
      <c r="E156" s="113">
        <f t="shared" si="22"/>
        <v>-45351</v>
      </c>
      <c r="F156" s="114">
        <f t="shared" si="23"/>
        <v>-0.14857099800817697</v>
      </c>
    </row>
    <row r="157" spans="1:6" x14ac:dyDescent="0.2">
      <c r="A157" s="115">
        <v>3</v>
      </c>
      <c r="B157" s="116" t="s">
        <v>115</v>
      </c>
      <c r="C157" s="113">
        <v>3239228</v>
      </c>
      <c r="D157" s="113">
        <v>3967572</v>
      </c>
      <c r="E157" s="113">
        <f t="shared" si="22"/>
        <v>728344</v>
      </c>
      <c r="F157" s="114">
        <f t="shared" si="23"/>
        <v>0.22485110649821502</v>
      </c>
    </row>
    <row r="158" spans="1:6" x14ac:dyDescent="0.2">
      <c r="A158" s="115">
        <v>4</v>
      </c>
      <c r="B158" s="116" t="s">
        <v>116</v>
      </c>
      <c r="C158" s="113">
        <v>407089</v>
      </c>
      <c r="D158" s="113">
        <v>0</v>
      </c>
      <c r="E158" s="113">
        <f t="shared" si="22"/>
        <v>-407089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62294</v>
      </c>
      <c r="D159" s="113">
        <v>51251</v>
      </c>
      <c r="E159" s="113">
        <f t="shared" si="22"/>
        <v>-11043</v>
      </c>
      <c r="F159" s="114">
        <f t="shared" si="23"/>
        <v>-0.1772722894660802</v>
      </c>
    </row>
    <row r="160" spans="1:6" x14ac:dyDescent="0.2">
      <c r="A160" s="115">
        <v>6</v>
      </c>
      <c r="B160" s="116" t="s">
        <v>118</v>
      </c>
      <c r="C160" s="113">
        <v>5624669</v>
      </c>
      <c r="D160" s="113">
        <v>5812578</v>
      </c>
      <c r="E160" s="113">
        <f t="shared" si="22"/>
        <v>187909</v>
      </c>
      <c r="F160" s="114">
        <f t="shared" si="23"/>
        <v>3.3408010320251737E-2</v>
      </c>
    </row>
    <row r="161" spans="1:6" x14ac:dyDescent="0.2">
      <c r="A161" s="115">
        <v>7</v>
      </c>
      <c r="B161" s="116" t="s">
        <v>119</v>
      </c>
      <c r="C161" s="113">
        <v>0</v>
      </c>
      <c r="D161" s="113">
        <v>0</v>
      </c>
      <c r="E161" s="113">
        <f t="shared" si="22"/>
        <v>0</v>
      </c>
      <c r="F161" s="114">
        <f t="shared" si="23"/>
        <v>0</v>
      </c>
    </row>
    <row r="162" spans="1:6" x14ac:dyDescent="0.2">
      <c r="A162" s="115">
        <v>8</v>
      </c>
      <c r="B162" s="116" t="s">
        <v>120</v>
      </c>
      <c r="C162" s="113">
        <v>421845</v>
      </c>
      <c r="D162" s="113">
        <v>449878</v>
      </c>
      <c r="E162" s="113">
        <f t="shared" si="22"/>
        <v>28033</v>
      </c>
      <c r="F162" s="114">
        <f t="shared" si="23"/>
        <v>6.6453318161884101E-2</v>
      </c>
    </row>
    <row r="163" spans="1:6" x14ac:dyDescent="0.2">
      <c r="A163" s="115">
        <v>9</v>
      </c>
      <c r="B163" s="116" t="s">
        <v>121</v>
      </c>
      <c r="C163" s="113">
        <v>42031</v>
      </c>
      <c r="D163" s="113">
        <v>49338</v>
      </c>
      <c r="E163" s="113">
        <f t="shared" si="22"/>
        <v>7307</v>
      </c>
      <c r="F163" s="114">
        <f t="shared" si="23"/>
        <v>0.17384787418809927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14542</v>
      </c>
      <c r="D165" s="113">
        <v>26916</v>
      </c>
      <c r="E165" s="113">
        <f t="shared" si="22"/>
        <v>12374</v>
      </c>
      <c r="F165" s="114">
        <f t="shared" si="23"/>
        <v>0.85091459221565124</v>
      </c>
    </row>
    <row r="166" spans="1:6" ht="33.75" customHeight="1" x14ac:dyDescent="0.25">
      <c r="A166" s="117"/>
      <c r="B166" s="118" t="s">
        <v>148</v>
      </c>
      <c r="C166" s="119">
        <f>SUM(C155:C165)</f>
        <v>11861036</v>
      </c>
      <c r="D166" s="119">
        <f>SUM(D155:D165)</f>
        <v>12261354</v>
      </c>
      <c r="E166" s="119">
        <f t="shared" si="22"/>
        <v>400318</v>
      </c>
      <c r="F166" s="120">
        <f t="shared" si="23"/>
        <v>3.3750677428177438E-2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4716</v>
      </c>
      <c r="D168" s="133">
        <v>4291</v>
      </c>
      <c r="E168" s="133">
        <f t="shared" ref="E168:E179" si="24">D168-C168</f>
        <v>-425</v>
      </c>
      <c r="F168" s="114">
        <f t="shared" ref="F168:F179" si="25">IF(C168=0,0,E168/C168)</f>
        <v>-9.0118744698897371E-2</v>
      </c>
    </row>
    <row r="169" spans="1:6" x14ac:dyDescent="0.2">
      <c r="A169" s="115">
        <v>2</v>
      </c>
      <c r="B169" s="116" t="s">
        <v>114</v>
      </c>
      <c r="C169" s="133">
        <v>783</v>
      </c>
      <c r="D169" s="133">
        <v>687</v>
      </c>
      <c r="E169" s="133">
        <f t="shared" si="24"/>
        <v>-96</v>
      </c>
      <c r="F169" s="114">
        <f t="shared" si="25"/>
        <v>-0.12260536398467432</v>
      </c>
    </row>
    <row r="170" spans="1:6" x14ac:dyDescent="0.2">
      <c r="A170" s="115">
        <v>3</v>
      </c>
      <c r="B170" s="116" t="s">
        <v>115</v>
      </c>
      <c r="C170" s="133">
        <v>12461</v>
      </c>
      <c r="D170" s="133">
        <v>14424</v>
      </c>
      <c r="E170" s="133">
        <f t="shared" si="24"/>
        <v>1963</v>
      </c>
      <c r="F170" s="114">
        <f t="shared" si="25"/>
        <v>0.15753149827461679</v>
      </c>
    </row>
    <row r="171" spans="1:6" x14ac:dyDescent="0.2">
      <c r="A171" s="115">
        <v>4</v>
      </c>
      <c r="B171" s="116" t="s">
        <v>116</v>
      </c>
      <c r="C171" s="133">
        <v>1964</v>
      </c>
      <c r="D171" s="133">
        <v>0</v>
      </c>
      <c r="E171" s="133">
        <f t="shared" si="24"/>
        <v>-1964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219</v>
      </c>
      <c r="D172" s="133">
        <v>208</v>
      </c>
      <c r="E172" s="133">
        <f t="shared" si="24"/>
        <v>-11</v>
      </c>
      <c r="F172" s="114">
        <f t="shared" si="25"/>
        <v>-5.0228310502283102E-2</v>
      </c>
    </row>
    <row r="173" spans="1:6" x14ac:dyDescent="0.2">
      <c r="A173" s="115">
        <v>6</v>
      </c>
      <c r="B173" s="116" t="s">
        <v>118</v>
      </c>
      <c r="C173" s="133">
        <v>9895</v>
      </c>
      <c r="D173" s="133">
        <v>9192</v>
      </c>
      <c r="E173" s="133">
        <f t="shared" si="24"/>
        <v>-703</v>
      </c>
      <c r="F173" s="114">
        <f t="shared" si="25"/>
        <v>-7.1045982819605863E-2</v>
      </c>
    </row>
    <row r="174" spans="1:6" x14ac:dyDescent="0.2">
      <c r="A174" s="115">
        <v>7</v>
      </c>
      <c r="B174" s="116" t="s">
        <v>119</v>
      </c>
      <c r="C174" s="133">
        <v>0</v>
      </c>
      <c r="D174" s="133">
        <v>0</v>
      </c>
      <c r="E174" s="133">
        <f t="shared" si="24"/>
        <v>0</v>
      </c>
      <c r="F174" s="114">
        <f t="shared" si="25"/>
        <v>0</v>
      </c>
    </row>
    <row r="175" spans="1:6" x14ac:dyDescent="0.2">
      <c r="A175" s="115">
        <v>8</v>
      </c>
      <c r="B175" s="116" t="s">
        <v>120</v>
      </c>
      <c r="C175" s="133">
        <v>758</v>
      </c>
      <c r="D175" s="133">
        <v>748</v>
      </c>
      <c r="E175" s="133">
        <f t="shared" si="24"/>
        <v>-10</v>
      </c>
      <c r="F175" s="114">
        <f t="shared" si="25"/>
        <v>-1.3192612137203167E-2</v>
      </c>
    </row>
    <row r="176" spans="1:6" x14ac:dyDescent="0.2">
      <c r="A176" s="115">
        <v>9</v>
      </c>
      <c r="B176" s="116" t="s">
        <v>121</v>
      </c>
      <c r="C176" s="133">
        <v>2697</v>
      </c>
      <c r="D176" s="133">
        <v>2353</v>
      </c>
      <c r="E176" s="133">
        <f t="shared" si="24"/>
        <v>-344</v>
      </c>
      <c r="F176" s="114">
        <f t="shared" si="25"/>
        <v>-0.12754912866147572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125</v>
      </c>
      <c r="D178" s="133">
        <v>151</v>
      </c>
      <c r="E178" s="133">
        <f t="shared" si="24"/>
        <v>26</v>
      </c>
      <c r="F178" s="114">
        <f t="shared" si="25"/>
        <v>0.20799999999999999</v>
      </c>
    </row>
    <row r="179" spans="1:6" ht="33.75" customHeight="1" x14ac:dyDescent="0.25">
      <c r="A179" s="117"/>
      <c r="B179" s="118" t="s">
        <v>150</v>
      </c>
      <c r="C179" s="134">
        <f>SUM(C168:C178)</f>
        <v>33618</v>
      </c>
      <c r="D179" s="134">
        <f>SUM(D168:D178)</f>
        <v>32054</v>
      </c>
      <c r="E179" s="134">
        <f t="shared" si="24"/>
        <v>-1564</v>
      </c>
      <c r="F179" s="120">
        <f t="shared" si="25"/>
        <v>-4.6522696174668331E-2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13759500</v>
      </c>
      <c r="D15" s="157">
        <v>13350243</v>
      </c>
      <c r="E15" s="157">
        <f>+D15-C15</f>
        <v>-409257</v>
      </c>
      <c r="F15" s="161">
        <f>IF(C15=0,0,E15/C15)</f>
        <v>-2.9743595334132782E-2</v>
      </c>
    </row>
    <row r="16" spans="1:6" ht="15" customHeight="1" x14ac:dyDescent="0.2">
      <c r="A16" s="147">
        <v>2</v>
      </c>
      <c r="B16" s="160" t="s">
        <v>157</v>
      </c>
      <c r="C16" s="157">
        <v>2572919</v>
      </c>
      <c r="D16" s="157">
        <v>1987414</v>
      </c>
      <c r="E16" s="157">
        <f>+D16-C16</f>
        <v>-585505</v>
      </c>
      <c r="F16" s="161">
        <f>IF(C16=0,0,E16/C16)</f>
        <v>-0.22756448998200099</v>
      </c>
    </row>
    <row r="17" spans="1:6" ht="15" customHeight="1" x14ac:dyDescent="0.2">
      <c r="A17" s="147">
        <v>3</v>
      </c>
      <c r="B17" s="160" t="s">
        <v>158</v>
      </c>
      <c r="C17" s="157">
        <v>26574906</v>
      </c>
      <c r="D17" s="157">
        <v>26392705</v>
      </c>
      <c r="E17" s="157">
        <f>+D17-C17</f>
        <v>-182201</v>
      </c>
      <c r="F17" s="161">
        <f>IF(C17=0,0,E17/C17)</f>
        <v>-6.8561296134029602E-3</v>
      </c>
    </row>
    <row r="18" spans="1:6" ht="15.75" customHeight="1" x14ac:dyDescent="0.25">
      <c r="A18" s="147"/>
      <c r="B18" s="162" t="s">
        <v>159</v>
      </c>
      <c r="C18" s="158">
        <f>SUM(C15:C17)</f>
        <v>42907325</v>
      </c>
      <c r="D18" s="158">
        <f>SUM(D15:D17)</f>
        <v>41730362</v>
      </c>
      <c r="E18" s="158">
        <f>+D18-C18</f>
        <v>-1176963</v>
      </c>
      <c r="F18" s="159">
        <f>IF(C18=0,0,E18/C18)</f>
        <v>-2.7430351344438275E-2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4918084</v>
      </c>
      <c r="D21" s="157">
        <v>4052342</v>
      </c>
      <c r="E21" s="157">
        <f>+D21-C21</f>
        <v>-865742</v>
      </c>
      <c r="F21" s="161">
        <f>IF(C21=0,0,E21/C21)</f>
        <v>-0.17603237358288309</v>
      </c>
    </row>
    <row r="22" spans="1:6" ht="15" customHeight="1" x14ac:dyDescent="0.2">
      <c r="A22" s="147">
        <v>2</v>
      </c>
      <c r="B22" s="160" t="s">
        <v>162</v>
      </c>
      <c r="C22" s="157">
        <v>919643</v>
      </c>
      <c r="D22" s="157">
        <v>603261</v>
      </c>
      <c r="E22" s="157">
        <f>+D22-C22</f>
        <v>-316382</v>
      </c>
      <c r="F22" s="161">
        <f>IF(C22=0,0,E22/C22)</f>
        <v>-0.34402697568512997</v>
      </c>
    </row>
    <row r="23" spans="1:6" ht="15" customHeight="1" x14ac:dyDescent="0.2">
      <c r="A23" s="147">
        <v>3</v>
      </c>
      <c r="B23" s="160" t="s">
        <v>163</v>
      </c>
      <c r="C23" s="157">
        <v>9498719</v>
      </c>
      <c r="D23" s="157">
        <v>8011261</v>
      </c>
      <c r="E23" s="157">
        <f>+D23-C23</f>
        <v>-1487458</v>
      </c>
      <c r="F23" s="161">
        <f>IF(C23=0,0,E23/C23)</f>
        <v>-0.15659564200183204</v>
      </c>
    </row>
    <row r="24" spans="1:6" ht="15.75" customHeight="1" x14ac:dyDescent="0.25">
      <c r="A24" s="147"/>
      <c r="B24" s="162" t="s">
        <v>164</v>
      </c>
      <c r="C24" s="158">
        <f>SUM(C21:C23)</f>
        <v>15336446</v>
      </c>
      <c r="D24" s="158">
        <f>SUM(D21:D23)</f>
        <v>12666864</v>
      </c>
      <c r="E24" s="158">
        <f>+D24-C24</f>
        <v>-2669582</v>
      </c>
      <c r="F24" s="159">
        <f>IF(C24=0,0,E24/C24)</f>
        <v>-0.17406783814190066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693243</v>
      </c>
      <c r="D27" s="157">
        <v>315513</v>
      </c>
      <c r="E27" s="157">
        <f>+D27-C27</f>
        <v>-377730</v>
      </c>
      <c r="F27" s="161">
        <f>IF(C27=0,0,E27/C27)</f>
        <v>-0.54487387539434229</v>
      </c>
    </row>
    <row r="28" spans="1:6" ht="15" customHeight="1" x14ac:dyDescent="0.2">
      <c r="A28" s="147">
        <v>2</v>
      </c>
      <c r="B28" s="160" t="s">
        <v>167</v>
      </c>
      <c r="C28" s="157">
        <v>930637</v>
      </c>
      <c r="D28" s="157">
        <v>909098</v>
      </c>
      <c r="E28" s="157">
        <f>+D28-C28</f>
        <v>-21539</v>
      </c>
      <c r="F28" s="161">
        <f>IF(C28=0,0,E28/C28)</f>
        <v>-2.3144362409833266E-2</v>
      </c>
    </row>
    <row r="29" spans="1:6" ht="15" customHeight="1" x14ac:dyDescent="0.2">
      <c r="A29" s="147">
        <v>3</v>
      </c>
      <c r="B29" s="160" t="s">
        <v>168</v>
      </c>
      <c r="C29" s="157">
        <v>8732259</v>
      </c>
      <c r="D29" s="157">
        <v>11539663</v>
      </c>
      <c r="E29" s="157">
        <f>+D29-C29</f>
        <v>2807404</v>
      </c>
      <c r="F29" s="161">
        <f>IF(C29=0,0,E29/C29)</f>
        <v>0.32149802244757053</v>
      </c>
    </row>
    <row r="30" spans="1:6" ht="15.75" customHeight="1" x14ac:dyDescent="0.25">
      <c r="A30" s="147"/>
      <c r="B30" s="162" t="s">
        <v>169</v>
      </c>
      <c r="C30" s="158">
        <f>SUM(C27:C29)</f>
        <v>10356139</v>
      </c>
      <c r="D30" s="158">
        <f>SUM(D27:D29)</f>
        <v>12764274</v>
      </c>
      <c r="E30" s="158">
        <f>+D30-C30</f>
        <v>2408135</v>
      </c>
      <c r="F30" s="159">
        <f>IF(C30=0,0,E30/C30)</f>
        <v>0.23253212418257421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5362794</v>
      </c>
      <c r="D33" s="157">
        <v>5328596</v>
      </c>
      <c r="E33" s="157">
        <f>+D33-C33</f>
        <v>-34198</v>
      </c>
      <c r="F33" s="161">
        <f>IF(C33=0,0,E33/C33)</f>
        <v>-6.3768998026028966E-3</v>
      </c>
    </row>
    <row r="34" spans="1:6" ht="15" customHeight="1" x14ac:dyDescent="0.2">
      <c r="A34" s="147">
        <v>2</v>
      </c>
      <c r="B34" s="160" t="s">
        <v>173</v>
      </c>
      <c r="C34" s="157">
        <v>2279864</v>
      </c>
      <c r="D34" s="157">
        <v>2498308</v>
      </c>
      <c r="E34" s="157">
        <f>+D34-C34</f>
        <v>218444</v>
      </c>
      <c r="F34" s="161">
        <f>IF(C34=0,0,E34/C34)</f>
        <v>9.5814487179937055E-2</v>
      </c>
    </row>
    <row r="35" spans="1:6" ht="15.75" customHeight="1" x14ac:dyDescent="0.25">
      <c r="A35" s="147"/>
      <c r="B35" s="162" t="s">
        <v>174</v>
      </c>
      <c r="C35" s="158">
        <f>SUM(C33:C34)</f>
        <v>7642658</v>
      </c>
      <c r="D35" s="158">
        <f>SUM(D33:D34)</f>
        <v>7826904</v>
      </c>
      <c r="E35" s="158">
        <f>+D35-C35</f>
        <v>184246</v>
      </c>
      <c r="F35" s="159">
        <f>IF(C35=0,0,E35/C35)</f>
        <v>2.4107581419971953E-2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1512071</v>
      </c>
      <c r="D38" s="157">
        <v>1862231</v>
      </c>
      <c r="E38" s="157">
        <f>+D38-C38</f>
        <v>350160</v>
      </c>
      <c r="F38" s="161">
        <f>IF(C38=0,0,E38/C38)</f>
        <v>0.23157642729739542</v>
      </c>
    </row>
    <row r="39" spans="1:6" ht="15" customHeight="1" x14ac:dyDescent="0.2">
      <c r="A39" s="147">
        <v>2</v>
      </c>
      <c r="B39" s="160" t="s">
        <v>178</v>
      </c>
      <c r="C39" s="157">
        <v>2624263</v>
      </c>
      <c r="D39" s="157">
        <v>2281905</v>
      </c>
      <c r="E39" s="157">
        <f>+D39-C39</f>
        <v>-342358</v>
      </c>
      <c r="F39" s="161">
        <f>IF(C39=0,0,E39/C39)</f>
        <v>-0.13045872307767933</v>
      </c>
    </row>
    <row r="40" spans="1:6" ht="15" customHeight="1" x14ac:dyDescent="0.2">
      <c r="A40" s="147">
        <v>3</v>
      </c>
      <c r="B40" s="160" t="s">
        <v>179</v>
      </c>
      <c r="C40" s="157">
        <v>10771</v>
      </c>
      <c r="D40" s="157">
        <v>10813</v>
      </c>
      <c r="E40" s="157">
        <f>+D40-C40</f>
        <v>42</v>
      </c>
      <c r="F40" s="161">
        <f>IF(C40=0,0,E40/C40)</f>
        <v>3.8993593909572E-3</v>
      </c>
    </row>
    <row r="41" spans="1:6" ht="15.75" customHeight="1" x14ac:dyDescent="0.25">
      <c r="A41" s="147"/>
      <c r="B41" s="162" t="s">
        <v>180</v>
      </c>
      <c r="C41" s="158">
        <f>SUM(C38:C40)</f>
        <v>4147105</v>
      </c>
      <c r="D41" s="158">
        <f>SUM(D38:D40)</f>
        <v>4154949</v>
      </c>
      <c r="E41" s="158">
        <f>+D41-C41</f>
        <v>7844</v>
      </c>
      <c r="F41" s="159">
        <f>IF(C41=0,0,E41/C41)</f>
        <v>1.8914399321936627E-3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3839277</v>
      </c>
      <c r="D44" s="157">
        <v>0</v>
      </c>
      <c r="E44" s="157">
        <f>+D44-C44</f>
        <v>-3839277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1325543</v>
      </c>
      <c r="D47" s="157">
        <v>1107869</v>
      </c>
      <c r="E47" s="157">
        <f>+D47-C47</f>
        <v>-217674</v>
      </c>
      <c r="F47" s="161">
        <f>IF(C47=0,0,E47/C47)</f>
        <v>-0.16421496699843008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659252</v>
      </c>
      <c r="D50" s="157">
        <v>400452</v>
      </c>
      <c r="E50" s="157">
        <f>+D50-C50</f>
        <v>-258800</v>
      </c>
      <c r="F50" s="161">
        <f>IF(C50=0,0,E50/C50)</f>
        <v>-0.39256612039098859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60955</v>
      </c>
      <c r="D53" s="157">
        <v>63933</v>
      </c>
      <c r="E53" s="157">
        <f t="shared" ref="E53:E59" si="0">+D53-C53</f>
        <v>2978</v>
      </c>
      <c r="F53" s="161">
        <f t="shared" ref="F53:F59" si="1">IF(C53=0,0,E53/C53)</f>
        <v>4.8855713231072101E-2</v>
      </c>
    </row>
    <row r="54" spans="1:6" ht="15" customHeight="1" x14ac:dyDescent="0.2">
      <c r="A54" s="147">
        <v>2</v>
      </c>
      <c r="B54" s="160" t="s">
        <v>189</v>
      </c>
      <c r="C54" s="157">
        <v>577526</v>
      </c>
      <c r="D54" s="157">
        <v>402573</v>
      </c>
      <c r="E54" s="157">
        <f t="shared" si="0"/>
        <v>-174953</v>
      </c>
      <c r="F54" s="161">
        <f t="shared" si="1"/>
        <v>-0.30293527910431739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140477</v>
      </c>
      <c r="E55" s="157">
        <f t="shared" si="0"/>
        <v>140477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645776</v>
      </c>
      <c r="D56" s="157">
        <v>641799</v>
      </c>
      <c r="E56" s="157">
        <f t="shared" si="0"/>
        <v>-3977</v>
      </c>
      <c r="F56" s="161">
        <f t="shared" si="1"/>
        <v>-6.158482198161592E-3</v>
      </c>
    </row>
    <row r="57" spans="1:6" ht="15" customHeight="1" x14ac:dyDescent="0.2">
      <c r="A57" s="147">
        <v>5</v>
      </c>
      <c r="B57" s="160" t="s">
        <v>192</v>
      </c>
      <c r="C57" s="157">
        <v>140078</v>
      </c>
      <c r="D57" s="157">
        <v>152902</v>
      </c>
      <c r="E57" s="157">
        <f t="shared" si="0"/>
        <v>12824</v>
      </c>
      <c r="F57" s="161">
        <f t="shared" si="1"/>
        <v>9.1548994131840838E-2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1424335</v>
      </c>
      <c r="D59" s="158">
        <f>SUM(D53:D58)</f>
        <v>1401684</v>
      </c>
      <c r="E59" s="158">
        <f t="shared" si="0"/>
        <v>-22651</v>
      </c>
      <c r="F59" s="159">
        <f t="shared" si="1"/>
        <v>-1.5902859931125755E-2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207880</v>
      </c>
      <c r="D62" s="157">
        <v>340175</v>
      </c>
      <c r="E62" s="157">
        <f t="shared" ref="E62:E90" si="2">+D62-C62</f>
        <v>132295</v>
      </c>
      <c r="F62" s="161">
        <f t="shared" ref="F62:F90" si="3">IF(C62=0,0,E62/C62)</f>
        <v>0.63640080815855304</v>
      </c>
    </row>
    <row r="63" spans="1:6" ht="15" customHeight="1" x14ac:dyDescent="0.2">
      <c r="A63" s="147">
        <v>2</v>
      </c>
      <c r="B63" s="160" t="s">
        <v>198</v>
      </c>
      <c r="C63" s="157">
        <v>187118</v>
      </c>
      <c r="D63" s="157">
        <v>117202</v>
      </c>
      <c r="E63" s="157">
        <f t="shared" si="2"/>
        <v>-69916</v>
      </c>
      <c r="F63" s="161">
        <f t="shared" si="3"/>
        <v>-0.37364657595741724</v>
      </c>
    </row>
    <row r="64" spans="1:6" ht="15" customHeight="1" x14ac:dyDescent="0.2">
      <c r="A64" s="147">
        <v>3</v>
      </c>
      <c r="B64" s="160" t="s">
        <v>199</v>
      </c>
      <c r="C64" s="157">
        <v>565212</v>
      </c>
      <c r="D64" s="157">
        <v>651620</v>
      </c>
      <c r="E64" s="157">
        <f t="shared" si="2"/>
        <v>86408</v>
      </c>
      <c r="F64" s="161">
        <f t="shared" si="3"/>
        <v>0.15287715052051265</v>
      </c>
    </row>
    <row r="65" spans="1:6" ht="15" customHeight="1" x14ac:dyDescent="0.2">
      <c r="A65" s="147">
        <v>4</v>
      </c>
      <c r="B65" s="160" t="s">
        <v>200</v>
      </c>
      <c r="C65" s="157">
        <v>322393</v>
      </c>
      <c r="D65" s="157">
        <v>320060</v>
      </c>
      <c r="E65" s="157">
        <f t="shared" si="2"/>
        <v>-2333</v>
      </c>
      <c r="F65" s="161">
        <f t="shared" si="3"/>
        <v>-7.2365094775630988E-3</v>
      </c>
    </row>
    <row r="66" spans="1:6" ht="15" customHeight="1" x14ac:dyDescent="0.2">
      <c r="A66" s="147">
        <v>5</v>
      </c>
      <c r="B66" s="160" t="s">
        <v>201</v>
      </c>
      <c r="C66" s="157">
        <v>543128</v>
      </c>
      <c r="D66" s="157">
        <v>674874</v>
      </c>
      <c r="E66" s="157">
        <f t="shared" si="2"/>
        <v>131746</v>
      </c>
      <c r="F66" s="161">
        <f t="shared" si="3"/>
        <v>0.24256897085033363</v>
      </c>
    </row>
    <row r="67" spans="1:6" ht="15" customHeight="1" x14ac:dyDescent="0.2">
      <c r="A67" s="147">
        <v>6</v>
      </c>
      <c r="B67" s="160" t="s">
        <v>202</v>
      </c>
      <c r="C67" s="157">
        <v>239191</v>
      </c>
      <c r="D67" s="157">
        <v>374367</v>
      </c>
      <c r="E67" s="157">
        <f t="shared" si="2"/>
        <v>135176</v>
      </c>
      <c r="F67" s="161">
        <f t="shared" si="3"/>
        <v>0.56513832042175505</v>
      </c>
    </row>
    <row r="68" spans="1:6" ht="15" customHeight="1" x14ac:dyDescent="0.2">
      <c r="A68" s="147">
        <v>7</v>
      </c>
      <c r="B68" s="160" t="s">
        <v>203</v>
      </c>
      <c r="C68" s="157">
        <v>3450798</v>
      </c>
      <c r="D68" s="157">
        <v>3267550</v>
      </c>
      <c r="E68" s="157">
        <f t="shared" si="2"/>
        <v>-183248</v>
      </c>
      <c r="F68" s="161">
        <f t="shared" si="3"/>
        <v>-5.3103079345704962E-2</v>
      </c>
    </row>
    <row r="69" spans="1:6" ht="15" customHeight="1" x14ac:dyDescent="0.2">
      <c r="A69" s="147">
        <v>8</v>
      </c>
      <c r="B69" s="160" t="s">
        <v>204</v>
      </c>
      <c r="C69" s="157">
        <v>68703</v>
      </c>
      <c r="D69" s="157">
        <v>142573</v>
      </c>
      <c r="E69" s="157">
        <f t="shared" si="2"/>
        <v>73870</v>
      </c>
      <c r="F69" s="161">
        <f t="shared" si="3"/>
        <v>1.0752077784085119</v>
      </c>
    </row>
    <row r="70" spans="1:6" ht="15" customHeight="1" x14ac:dyDescent="0.2">
      <c r="A70" s="147">
        <v>9</v>
      </c>
      <c r="B70" s="160" t="s">
        <v>205</v>
      </c>
      <c r="C70" s="157">
        <v>65215</v>
      </c>
      <c r="D70" s="157">
        <v>60014</v>
      </c>
      <c r="E70" s="157">
        <f t="shared" si="2"/>
        <v>-5201</v>
      </c>
      <c r="F70" s="161">
        <f t="shared" si="3"/>
        <v>-7.975159089166603E-2</v>
      </c>
    </row>
    <row r="71" spans="1:6" ht="15" customHeight="1" x14ac:dyDescent="0.2">
      <c r="A71" s="147">
        <v>10</v>
      </c>
      <c r="B71" s="160" t="s">
        <v>206</v>
      </c>
      <c r="C71" s="157">
        <v>153775</v>
      </c>
      <c r="D71" s="157">
        <v>115046</v>
      </c>
      <c r="E71" s="157">
        <f t="shared" si="2"/>
        <v>-38729</v>
      </c>
      <c r="F71" s="161">
        <f t="shared" si="3"/>
        <v>-0.25185498292960495</v>
      </c>
    </row>
    <row r="72" spans="1:6" ht="15" customHeight="1" x14ac:dyDescent="0.2">
      <c r="A72" s="147">
        <v>11</v>
      </c>
      <c r="B72" s="160" t="s">
        <v>207</v>
      </c>
      <c r="C72" s="157">
        <v>71303</v>
      </c>
      <c r="D72" s="157">
        <v>84732</v>
      </c>
      <c r="E72" s="157">
        <f t="shared" si="2"/>
        <v>13429</v>
      </c>
      <c r="F72" s="161">
        <f t="shared" si="3"/>
        <v>0.18833709661585066</v>
      </c>
    </row>
    <row r="73" spans="1:6" ht="15" customHeight="1" x14ac:dyDescent="0.2">
      <c r="A73" s="147">
        <v>12</v>
      </c>
      <c r="B73" s="160" t="s">
        <v>208</v>
      </c>
      <c r="C73" s="157">
        <v>1376923</v>
      </c>
      <c r="D73" s="157">
        <v>1322909</v>
      </c>
      <c r="E73" s="157">
        <f t="shared" si="2"/>
        <v>-54014</v>
      </c>
      <c r="F73" s="161">
        <f t="shared" si="3"/>
        <v>-3.9228046884248427E-2</v>
      </c>
    </row>
    <row r="74" spans="1:6" ht="15" customHeight="1" x14ac:dyDescent="0.2">
      <c r="A74" s="147">
        <v>13</v>
      </c>
      <c r="B74" s="160" t="s">
        <v>209</v>
      </c>
      <c r="C74" s="157">
        <v>56452</v>
      </c>
      <c r="D74" s="157">
        <v>56044</v>
      </c>
      <c r="E74" s="157">
        <f t="shared" si="2"/>
        <v>-408</v>
      </c>
      <c r="F74" s="161">
        <f t="shared" si="3"/>
        <v>-7.2273790122582013E-3</v>
      </c>
    </row>
    <row r="75" spans="1:6" ht="15" customHeight="1" x14ac:dyDescent="0.2">
      <c r="A75" s="147">
        <v>14</v>
      </c>
      <c r="B75" s="160" t="s">
        <v>210</v>
      </c>
      <c r="C75" s="157">
        <v>91212</v>
      </c>
      <c r="D75" s="157">
        <v>93294</v>
      </c>
      <c r="E75" s="157">
        <f t="shared" si="2"/>
        <v>2082</v>
      </c>
      <c r="F75" s="161">
        <f t="shared" si="3"/>
        <v>2.2825943954742797E-2</v>
      </c>
    </row>
    <row r="76" spans="1:6" ht="15" customHeight="1" x14ac:dyDescent="0.2">
      <c r="A76" s="147">
        <v>15</v>
      </c>
      <c r="B76" s="160" t="s">
        <v>211</v>
      </c>
      <c r="C76" s="157">
        <v>587391</v>
      </c>
      <c r="D76" s="157">
        <v>713666</v>
      </c>
      <c r="E76" s="157">
        <f t="shared" si="2"/>
        <v>126275</v>
      </c>
      <c r="F76" s="161">
        <f t="shared" si="3"/>
        <v>0.21497605513193085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7986694</v>
      </c>
      <c r="D90" s="158">
        <f>SUM(D62:D89)</f>
        <v>8334126</v>
      </c>
      <c r="E90" s="158">
        <f t="shared" si="2"/>
        <v>347432</v>
      </c>
      <c r="F90" s="159">
        <f t="shared" si="3"/>
        <v>4.3501353626419138E-2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825343</v>
      </c>
      <c r="D93" s="157">
        <v>980434</v>
      </c>
      <c r="E93" s="157">
        <f>+D93-C93</f>
        <v>155091</v>
      </c>
      <c r="F93" s="161">
        <f>IF(C93=0,0,E93/C93)</f>
        <v>0.18791096550161568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96450117</v>
      </c>
      <c r="D95" s="158">
        <f>+D93+D90+D59+D50+D47+D44+D41+D35+D30+D24+D18</f>
        <v>91367918</v>
      </c>
      <c r="E95" s="158">
        <f>+D95-C95</f>
        <v>-5082199</v>
      </c>
      <c r="F95" s="159">
        <f>IF(C95=0,0,E95/C95)</f>
        <v>-5.2692512545111793E-2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2840555</v>
      </c>
      <c r="D103" s="157">
        <v>3752136</v>
      </c>
      <c r="E103" s="157">
        <f t="shared" ref="E103:E121" si="4">D103-C103</f>
        <v>911581</v>
      </c>
      <c r="F103" s="161">
        <f t="shared" ref="F103:F121" si="5">IF(C103=0,0,E103/C103)</f>
        <v>0.32091651103393526</v>
      </c>
    </row>
    <row r="104" spans="1:6" ht="15" customHeight="1" x14ac:dyDescent="0.2">
      <c r="A104" s="147">
        <v>2</v>
      </c>
      <c r="B104" s="169" t="s">
        <v>234</v>
      </c>
      <c r="C104" s="157">
        <v>1110969</v>
      </c>
      <c r="D104" s="157">
        <v>1223522</v>
      </c>
      <c r="E104" s="157">
        <f t="shared" si="4"/>
        <v>112553</v>
      </c>
      <c r="F104" s="161">
        <f t="shared" si="5"/>
        <v>0.10131065763311127</v>
      </c>
    </row>
    <row r="105" spans="1:6" ht="15" customHeight="1" x14ac:dyDescent="0.2">
      <c r="A105" s="147">
        <v>3</v>
      </c>
      <c r="B105" s="169" t="s">
        <v>235</v>
      </c>
      <c r="C105" s="157">
        <v>121608</v>
      </c>
      <c r="D105" s="157">
        <v>8009</v>
      </c>
      <c r="E105" s="157">
        <f t="shared" si="4"/>
        <v>-113599</v>
      </c>
      <c r="F105" s="161">
        <f t="shared" si="5"/>
        <v>-0.93414084599697389</v>
      </c>
    </row>
    <row r="106" spans="1:6" ht="15" customHeight="1" x14ac:dyDescent="0.2">
      <c r="A106" s="147">
        <v>4</v>
      </c>
      <c r="B106" s="169" t="s">
        <v>236</v>
      </c>
      <c r="C106" s="157">
        <v>2014613</v>
      </c>
      <c r="D106" s="157">
        <v>2870021</v>
      </c>
      <c r="E106" s="157">
        <f t="shared" si="4"/>
        <v>855408</v>
      </c>
      <c r="F106" s="161">
        <f t="shared" si="5"/>
        <v>0.42460164805846085</v>
      </c>
    </row>
    <row r="107" spans="1:6" ht="15" customHeight="1" x14ac:dyDescent="0.2">
      <c r="A107" s="147">
        <v>5</v>
      </c>
      <c r="B107" s="169" t="s">
        <v>237</v>
      </c>
      <c r="C107" s="157">
        <v>2405358</v>
      </c>
      <c r="D107" s="157">
        <v>4912598</v>
      </c>
      <c r="E107" s="157">
        <f t="shared" si="4"/>
        <v>2507240</v>
      </c>
      <c r="F107" s="161">
        <f t="shared" si="5"/>
        <v>1.0423562729539637</v>
      </c>
    </row>
    <row r="108" spans="1:6" ht="15" customHeight="1" x14ac:dyDescent="0.2">
      <c r="A108" s="147">
        <v>6</v>
      </c>
      <c r="B108" s="169" t="s">
        <v>238</v>
      </c>
      <c r="C108" s="157">
        <v>149636</v>
      </c>
      <c r="D108" s="157">
        <v>152593</v>
      </c>
      <c r="E108" s="157">
        <f t="shared" si="4"/>
        <v>2957</v>
      </c>
      <c r="F108" s="161">
        <f t="shared" si="5"/>
        <v>1.976128739073485E-2</v>
      </c>
    </row>
    <row r="109" spans="1:6" ht="15" customHeight="1" x14ac:dyDescent="0.2">
      <c r="A109" s="147">
        <v>7</v>
      </c>
      <c r="B109" s="169" t="s">
        <v>239</v>
      </c>
      <c r="C109" s="157">
        <v>706530</v>
      </c>
      <c r="D109" s="157">
        <v>984923</v>
      </c>
      <c r="E109" s="157">
        <f t="shared" si="4"/>
        <v>278393</v>
      </c>
      <c r="F109" s="161">
        <f t="shared" si="5"/>
        <v>0.39402856212758125</v>
      </c>
    </row>
    <row r="110" spans="1:6" ht="15" customHeight="1" x14ac:dyDescent="0.2">
      <c r="A110" s="147">
        <v>8</v>
      </c>
      <c r="B110" s="169" t="s">
        <v>240</v>
      </c>
      <c r="C110" s="157">
        <v>976280</v>
      </c>
      <c r="D110" s="157">
        <v>1143366</v>
      </c>
      <c r="E110" s="157">
        <f t="shared" si="4"/>
        <v>167086</v>
      </c>
      <c r="F110" s="161">
        <f t="shared" si="5"/>
        <v>0.17114557299135494</v>
      </c>
    </row>
    <row r="111" spans="1:6" ht="15" customHeight="1" x14ac:dyDescent="0.2">
      <c r="A111" s="147">
        <v>9</v>
      </c>
      <c r="B111" s="169" t="s">
        <v>241</v>
      </c>
      <c r="C111" s="157">
        <v>296383</v>
      </c>
      <c r="D111" s="157">
        <v>335970</v>
      </c>
      <c r="E111" s="157">
        <f t="shared" si="4"/>
        <v>39587</v>
      </c>
      <c r="F111" s="161">
        <f t="shared" si="5"/>
        <v>0.1335670399449361</v>
      </c>
    </row>
    <row r="112" spans="1:6" ht="15" customHeight="1" x14ac:dyDescent="0.2">
      <c r="A112" s="147">
        <v>10</v>
      </c>
      <c r="B112" s="169" t="s">
        <v>242</v>
      </c>
      <c r="C112" s="157">
        <v>1841425</v>
      </c>
      <c r="D112" s="157">
        <v>1857622</v>
      </c>
      <c r="E112" s="157">
        <f t="shared" si="4"/>
        <v>16197</v>
      </c>
      <c r="F112" s="161">
        <f t="shared" si="5"/>
        <v>8.7959053450452768E-3</v>
      </c>
    </row>
    <row r="113" spans="1:6" ht="15" customHeight="1" x14ac:dyDescent="0.2">
      <c r="A113" s="147">
        <v>11</v>
      </c>
      <c r="B113" s="169" t="s">
        <v>243</v>
      </c>
      <c r="C113" s="157">
        <v>1142830</v>
      </c>
      <c r="D113" s="157">
        <v>1043074</v>
      </c>
      <c r="E113" s="157">
        <f t="shared" si="4"/>
        <v>-99756</v>
      </c>
      <c r="F113" s="161">
        <f t="shared" si="5"/>
        <v>-8.7288573103611211E-2</v>
      </c>
    </row>
    <row r="114" spans="1:6" ht="15" customHeight="1" x14ac:dyDescent="0.2">
      <c r="A114" s="147">
        <v>12</v>
      </c>
      <c r="B114" s="169" t="s">
        <v>244</v>
      </c>
      <c r="C114" s="157">
        <v>575625</v>
      </c>
      <c r="D114" s="157">
        <v>593647</v>
      </c>
      <c r="E114" s="157">
        <f t="shared" si="4"/>
        <v>18022</v>
      </c>
      <c r="F114" s="161">
        <f t="shared" si="5"/>
        <v>3.1308577633007602E-2</v>
      </c>
    </row>
    <row r="115" spans="1:6" ht="15" customHeight="1" x14ac:dyDescent="0.2">
      <c r="A115" s="147">
        <v>13</v>
      </c>
      <c r="B115" s="169" t="s">
        <v>245</v>
      </c>
      <c r="C115" s="157">
        <v>1453279</v>
      </c>
      <c r="D115" s="157">
        <v>1640103</v>
      </c>
      <c r="E115" s="157">
        <f t="shared" si="4"/>
        <v>186824</v>
      </c>
      <c r="F115" s="161">
        <f t="shared" si="5"/>
        <v>0.12855342986446511</v>
      </c>
    </row>
    <row r="116" spans="1:6" ht="15" customHeight="1" x14ac:dyDescent="0.2">
      <c r="A116" s="147">
        <v>14</v>
      </c>
      <c r="B116" s="169" t="s">
        <v>246</v>
      </c>
      <c r="C116" s="157">
        <v>400423</v>
      </c>
      <c r="D116" s="157">
        <v>391078</v>
      </c>
      <c r="E116" s="157">
        <f t="shared" si="4"/>
        <v>-9345</v>
      </c>
      <c r="F116" s="161">
        <f t="shared" si="5"/>
        <v>-2.3337820255080254E-2</v>
      </c>
    </row>
    <row r="117" spans="1:6" ht="15" customHeight="1" x14ac:dyDescent="0.2">
      <c r="A117" s="147">
        <v>15</v>
      </c>
      <c r="B117" s="169" t="s">
        <v>203</v>
      </c>
      <c r="C117" s="157">
        <v>1588467</v>
      </c>
      <c r="D117" s="157">
        <v>1558755</v>
      </c>
      <c r="E117" s="157">
        <f t="shared" si="4"/>
        <v>-29712</v>
      </c>
      <c r="F117" s="161">
        <f t="shared" si="5"/>
        <v>-1.8704826729167179E-2</v>
      </c>
    </row>
    <row r="118" spans="1:6" ht="15" customHeight="1" x14ac:dyDescent="0.2">
      <c r="A118" s="147">
        <v>16</v>
      </c>
      <c r="B118" s="169" t="s">
        <v>247</v>
      </c>
      <c r="C118" s="157">
        <v>470373</v>
      </c>
      <c r="D118" s="157">
        <v>470938</v>
      </c>
      <c r="E118" s="157">
        <f t="shared" si="4"/>
        <v>565</v>
      </c>
      <c r="F118" s="161">
        <f t="shared" si="5"/>
        <v>1.2011743871353159E-3</v>
      </c>
    </row>
    <row r="119" spans="1:6" ht="15" customHeight="1" x14ac:dyDescent="0.2">
      <c r="A119" s="147">
        <v>17</v>
      </c>
      <c r="B119" s="169" t="s">
        <v>248</v>
      </c>
      <c r="C119" s="157">
        <v>3439507</v>
      </c>
      <c r="D119" s="157">
        <v>3684057</v>
      </c>
      <c r="E119" s="157">
        <f t="shared" si="4"/>
        <v>244550</v>
      </c>
      <c r="F119" s="161">
        <f t="shared" si="5"/>
        <v>7.1100305945008976E-2</v>
      </c>
    </row>
    <row r="120" spans="1:6" ht="15" customHeight="1" x14ac:dyDescent="0.2">
      <c r="A120" s="147">
        <v>18</v>
      </c>
      <c r="B120" s="169" t="s">
        <v>249</v>
      </c>
      <c r="C120" s="157">
        <v>394497</v>
      </c>
      <c r="D120" s="157">
        <v>288864</v>
      </c>
      <c r="E120" s="157">
        <f t="shared" si="4"/>
        <v>-105633</v>
      </c>
      <c r="F120" s="161">
        <f t="shared" si="5"/>
        <v>-0.26776629480072089</v>
      </c>
    </row>
    <row r="121" spans="1:6" ht="15.75" customHeight="1" x14ac:dyDescent="0.25">
      <c r="A121" s="147"/>
      <c r="B121" s="165" t="s">
        <v>250</v>
      </c>
      <c r="C121" s="158">
        <f>SUM(C103:C120)</f>
        <v>21928358</v>
      </c>
      <c r="D121" s="158">
        <f>SUM(D103:D120)</f>
        <v>26911276</v>
      </c>
      <c r="E121" s="158">
        <f t="shared" si="4"/>
        <v>4982918</v>
      </c>
      <c r="F121" s="159">
        <f t="shared" si="5"/>
        <v>0.2272362572701522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122866</v>
      </c>
      <c r="D124" s="157">
        <v>127357</v>
      </c>
      <c r="E124" s="157">
        <f t="shared" ref="E124:E130" si="6">D124-C124</f>
        <v>4491</v>
      </c>
      <c r="F124" s="161">
        <f t="shared" ref="F124:F130" si="7">IF(C124=0,0,E124/C124)</f>
        <v>3.6552016017449902E-2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3040773</v>
      </c>
      <c r="D126" s="157">
        <v>2495167</v>
      </c>
      <c r="E126" s="157">
        <f t="shared" si="6"/>
        <v>-545606</v>
      </c>
      <c r="F126" s="161">
        <f t="shared" si="7"/>
        <v>-0.17943003308698149</v>
      </c>
    </row>
    <row r="127" spans="1:6" ht="15" customHeight="1" x14ac:dyDescent="0.2">
      <c r="A127" s="147">
        <v>4</v>
      </c>
      <c r="B127" s="169" t="s">
        <v>255</v>
      </c>
      <c r="C127" s="157">
        <v>874198</v>
      </c>
      <c r="D127" s="157">
        <v>846252</v>
      </c>
      <c r="E127" s="157">
        <f t="shared" si="6"/>
        <v>-27946</v>
      </c>
      <c r="F127" s="161">
        <f t="shared" si="7"/>
        <v>-3.1967586290519996E-2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466590</v>
      </c>
      <c r="D129" s="157">
        <v>599338</v>
      </c>
      <c r="E129" s="157">
        <f t="shared" si="6"/>
        <v>132748</v>
      </c>
      <c r="F129" s="161">
        <f t="shared" si="7"/>
        <v>0.28450674039306456</v>
      </c>
    </row>
    <row r="130" spans="1:6" ht="15.75" customHeight="1" x14ac:dyDescent="0.25">
      <c r="A130" s="147"/>
      <c r="B130" s="165" t="s">
        <v>258</v>
      </c>
      <c r="C130" s="158">
        <f>SUM(C124:C129)</f>
        <v>4504427</v>
      </c>
      <c r="D130" s="158">
        <f>SUM(D124:D129)</f>
        <v>4068114</v>
      </c>
      <c r="E130" s="158">
        <f t="shared" si="6"/>
        <v>-436313</v>
      </c>
      <c r="F130" s="159">
        <f t="shared" si="7"/>
        <v>-9.6863152627404109E-2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4440847</v>
      </c>
      <c r="D133" s="157">
        <v>4140444</v>
      </c>
      <c r="E133" s="157">
        <f t="shared" ref="E133:E167" si="8">D133-C133</f>
        <v>-300403</v>
      </c>
      <c r="F133" s="161">
        <f t="shared" ref="F133:F167" si="9">IF(C133=0,0,E133/C133)</f>
        <v>-6.7645428901288426E-2</v>
      </c>
    </row>
    <row r="134" spans="1:6" ht="15" customHeight="1" x14ac:dyDescent="0.2">
      <c r="A134" s="147">
        <v>2</v>
      </c>
      <c r="B134" s="169" t="s">
        <v>261</v>
      </c>
      <c r="C134" s="157">
        <v>200783</v>
      </c>
      <c r="D134" s="157">
        <v>228259</v>
      </c>
      <c r="E134" s="157">
        <f t="shared" si="8"/>
        <v>27476</v>
      </c>
      <c r="F134" s="161">
        <f t="shared" si="9"/>
        <v>0.13684425474268239</v>
      </c>
    </row>
    <row r="135" spans="1:6" ht="15" customHeight="1" x14ac:dyDescent="0.2">
      <c r="A135" s="147">
        <v>3</v>
      </c>
      <c r="B135" s="169" t="s">
        <v>262</v>
      </c>
      <c r="C135" s="157">
        <v>0</v>
      </c>
      <c r="D135" s="157">
        <v>0</v>
      </c>
      <c r="E135" s="157">
        <f t="shared" si="8"/>
        <v>0</v>
      </c>
      <c r="F135" s="161">
        <f t="shared" si="9"/>
        <v>0</v>
      </c>
    </row>
    <row r="136" spans="1:6" ht="15" customHeight="1" x14ac:dyDescent="0.2">
      <c r="A136" s="147">
        <v>4</v>
      </c>
      <c r="B136" s="169" t="s">
        <v>263</v>
      </c>
      <c r="C136" s="157">
        <v>957431</v>
      </c>
      <c r="D136" s="157">
        <v>783266</v>
      </c>
      <c r="E136" s="157">
        <f t="shared" si="8"/>
        <v>-174165</v>
      </c>
      <c r="F136" s="161">
        <f t="shared" si="9"/>
        <v>-0.1819086701809321</v>
      </c>
    </row>
    <row r="137" spans="1:6" ht="15" customHeight="1" x14ac:dyDescent="0.2">
      <c r="A137" s="147">
        <v>5</v>
      </c>
      <c r="B137" s="169" t="s">
        <v>264</v>
      </c>
      <c r="C137" s="157">
        <v>2561791</v>
      </c>
      <c r="D137" s="157">
        <v>2689041</v>
      </c>
      <c r="E137" s="157">
        <f t="shared" si="8"/>
        <v>127250</v>
      </c>
      <c r="F137" s="161">
        <f t="shared" si="9"/>
        <v>4.967228005719436E-2</v>
      </c>
    </row>
    <row r="138" spans="1:6" ht="15" customHeight="1" x14ac:dyDescent="0.2">
      <c r="A138" s="147">
        <v>6</v>
      </c>
      <c r="B138" s="169" t="s">
        <v>265</v>
      </c>
      <c r="C138" s="157">
        <v>495361</v>
      </c>
      <c r="D138" s="157">
        <v>500625</v>
      </c>
      <c r="E138" s="157">
        <f t="shared" si="8"/>
        <v>5264</v>
      </c>
      <c r="F138" s="161">
        <f t="shared" si="9"/>
        <v>1.0626593534816023E-2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566103</v>
      </c>
      <c r="D140" s="157">
        <v>502078</v>
      </c>
      <c r="E140" s="157">
        <f t="shared" si="8"/>
        <v>-64025</v>
      </c>
      <c r="F140" s="161">
        <f t="shared" si="9"/>
        <v>-0.11309779315778225</v>
      </c>
    </row>
    <row r="141" spans="1:6" ht="15" customHeight="1" x14ac:dyDescent="0.2">
      <c r="A141" s="147">
        <v>9</v>
      </c>
      <c r="B141" s="169" t="s">
        <v>268</v>
      </c>
      <c r="C141" s="157">
        <v>493150</v>
      </c>
      <c r="D141" s="157">
        <v>487827</v>
      </c>
      <c r="E141" s="157">
        <f t="shared" si="8"/>
        <v>-5323</v>
      </c>
      <c r="F141" s="161">
        <f t="shared" si="9"/>
        <v>-1.0793876102605697E-2</v>
      </c>
    </row>
    <row r="142" spans="1:6" ht="15" customHeight="1" x14ac:dyDescent="0.2">
      <c r="A142" s="147">
        <v>10</v>
      </c>
      <c r="B142" s="169" t="s">
        <v>269</v>
      </c>
      <c r="C142" s="157">
        <v>4391617</v>
      </c>
      <c r="D142" s="157">
        <v>4092788</v>
      </c>
      <c r="E142" s="157">
        <f t="shared" si="8"/>
        <v>-298829</v>
      </c>
      <c r="F142" s="161">
        <f t="shared" si="9"/>
        <v>-6.8045323624532833E-2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582611</v>
      </c>
      <c r="D144" s="157">
        <v>599641</v>
      </c>
      <c r="E144" s="157">
        <f t="shared" si="8"/>
        <v>17030</v>
      </c>
      <c r="F144" s="161">
        <f t="shared" si="9"/>
        <v>2.9230481401827293E-2</v>
      </c>
    </row>
    <row r="145" spans="1:6" ht="15" customHeight="1" x14ac:dyDescent="0.2">
      <c r="A145" s="147">
        <v>13</v>
      </c>
      <c r="B145" s="169" t="s">
        <v>272</v>
      </c>
      <c r="C145" s="157">
        <v>148546</v>
      </c>
      <c r="D145" s="157">
        <v>123485</v>
      </c>
      <c r="E145" s="157">
        <f t="shared" si="8"/>
        <v>-25061</v>
      </c>
      <c r="F145" s="161">
        <f t="shared" si="9"/>
        <v>-0.16870868283225399</v>
      </c>
    </row>
    <row r="146" spans="1:6" ht="15" customHeight="1" x14ac:dyDescent="0.2">
      <c r="A146" s="147">
        <v>14</v>
      </c>
      <c r="B146" s="169" t="s">
        <v>273</v>
      </c>
      <c r="C146" s="157">
        <v>321023</v>
      </c>
      <c r="D146" s="157">
        <v>333205</v>
      </c>
      <c r="E146" s="157">
        <f t="shared" si="8"/>
        <v>12182</v>
      </c>
      <c r="F146" s="161">
        <f t="shared" si="9"/>
        <v>3.7947436788018304E-2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1159372</v>
      </c>
      <c r="D150" s="157">
        <v>1040122</v>
      </c>
      <c r="E150" s="157">
        <f t="shared" si="8"/>
        <v>-119250</v>
      </c>
      <c r="F150" s="161">
        <f t="shared" si="9"/>
        <v>-0.10285740901108531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5776716</v>
      </c>
      <c r="D156" s="157">
        <v>5962324</v>
      </c>
      <c r="E156" s="157">
        <f t="shared" si="8"/>
        <v>185608</v>
      </c>
      <c r="F156" s="161">
        <f t="shared" si="9"/>
        <v>3.2130366111126116E-2</v>
      </c>
    </row>
    <row r="157" spans="1:6" ht="15" customHeight="1" x14ac:dyDescent="0.2">
      <c r="A157" s="147">
        <v>25</v>
      </c>
      <c r="B157" s="169" t="s">
        <v>284</v>
      </c>
      <c r="C157" s="157">
        <v>494273</v>
      </c>
      <c r="D157" s="157">
        <v>491459</v>
      </c>
      <c r="E157" s="157">
        <f t="shared" si="8"/>
        <v>-2814</v>
      </c>
      <c r="F157" s="161">
        <f t="shared" si="9"/>
        <v>-5.6932100276567811E-3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682484</v>
      </c>
      <c r="D161" s="157">
        <v>701201</v>
      </c>
      <c r="E161" s="157">
        <f t="shared" si="8"/>
        <v>18717</v>
      </c>
      <c r="F161" s="161">
        <f t="shared" si="9"/>
        <v>2.7424818750329677E-2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1728550</v>
      </c>
      <c r="D164" s="157">
        <v>1904013</v>
      </c>
      <c r="E164" s="157">
        <f t="shared" si="8"/>
        <v>175463</v>
      </c>
      <c r="F164" s="161">
        <f t="shared" si="9"/>
        <v>0.10150877903445084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4902951</v>
      </c>
      <c r="D166" s="157">
        <v>3968095</v>
      </c>
      <c r="E166" s="157">
        <f t="shared" si="8"/>
        <v>-934856</v>
      </c>
      <c r="F166" s="161">
        <f t="shared" si="9"/>
        <v>-0.19067210747160232</v>
      </c>
    </row>
    <row r="167" spans="1:6" ht="15.75" customHeight="1" x14ac:dyDescent="0.25">
      <c r="A167" s="147"/>
      <c r="B167" s="165" t="s">
        <v>294</v>
      </c>
      <c r="C167" s="158">
        <f>SUM(C133:C166)</f>
        <v>29903609</v>
      </c>
      <c r="D167" s="158">
        <f>SUM(D133:D166)</f>
        <v>28547873</v>
      </c>
      <c r="E167" s="158">
        <f t="shared" si="8"/>
        <v>-1355736</v>
      </c>
      <c r="F167" s="159">
        <f t="shared" si="9"/>
        <v>-4.53368688709112E-2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6770389</v>
      </c>
      <c r="D170" s="157">
        <v>5846406</v>
      </c>
      <c r="E170" s="157">
        <f t="shared" ref="E170:E183" si="10">D170-C170</f>
        <v>-923983</v>
      </c>
      <c r="F170" s="161">
        <f t="shared" ref="F170:F183" si="11">IF(C170=0,0,E170/C170)</f>
        <v>-0.13647413760125157</v>
      </c>
    </row>
    <row r="171" spans="1:6" ht="15" customHeight="1" x14ac:dyDescent="0.2">
      <c r="A171" s="147">
        <v>2</v>
      </c>
      <c r="B171" s="169" t="s">
        <v>297</v>
      </c>
      <c r="C171" s="157">
        <v>2576171</v>
      </c>
      <c r="D171" s="157">
        <v>2588678</v>
      </c>
      <c r="E171" s="157">
        <f t="shared" si="10"/>
        <v>12507</v>
      </c>
      <c r="F171" s="161">
        <f t="shared" si="11"/>
        <v>4.8548795867976152E-3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547415</v>
      </c>
      <c r="D175" s="157">
        <v>619327</v>
      </c>
      <c r="E175" s="157">
        <f t="shared" si="10"/>
        <v>71912</v>
      </c>
      <c r="F175" s="161">
        <f t="shared" si="11"/>
        <v>0.13136651352264736</v>
      </c>
    </row>
    <row r="176" spans="1:6" ht="15" customHeight="1" x14ac:dyDescent="0.2">
      <c r="A176" s="147">
        <v>7</v>
      </c>
      <c r="B176" s="169" t="s">
        <v>302</v>
      </c>
      <c r="C176" s="157">
        <v>344173</v>
      </c>
      <c r="D176" s="157">
        <v>418956</v>
      </c>
      <c r="E176" s="157">
        <f t="shared" si="10"/>
        <v>74783</v>
      </c>
      <c r="F176" s="161">
        <f t="shared" si="11"/>
        <v>0.21728316863902747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1236067</v>
      </c>
      <c r="D179" s="157">
        <v>1203140</v>
      </c>
      <c r="E179" s="157">
        <f t="shared" si="10"/>
        <v>-32927</v>
      </c>
      <c r="F179" s="161">
        <f t="shared" si="11"/>
        <v>-2.663852363989978E-2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971878</v>
      </c>
      <c r="D181" s="157">
        <v>999845</v>
      </c>
      <c r="E181" s="157">
        <f t="shared" si="10"/>
        <v>27967</v>
      </c>
      <c r="F181" s="161">
        <f t="shared" si="11"/>
        <v>2.8776245578148698E-2</v>
      </c>
    </row>
    <row r="182" spans="1:6" ht="15" customHeight="1" x14ac:dyDescent="0.2">
      <c r="A182" s="147">
        <v>13</v>
      </c>
      <c r="B182" s="169" t="s">
        <v>308</v>
      </c>
      <c r="C182" s="157">
        <v>764527</v>
      </c>
      <c r="D182" s="157">
        <v>906926</v>
      </c>
      <c r="E182" s="157">
        <f t="shared" si="10"/>
        <v>142399</v>
      </c>
      <c r="F182" s="161">
        <f t="shared" si="11"/>
        <v>0.18625764688493671</v>
      </c>
    </row>
    <row r="183" spans="1:6" ht="15.75" customHeight="1" x14ac:dyDescent="0.25">
      <c r="A183" s="147"/>
      <c r="B183" s="165" t="s">
        <v>309</v>
      </c>
      <c r="C183" s="158">
        <f>SUM(C170:C182)</f>
        <v>13210620</v>
      </c>
      <c r="D183" s="158">
        <f>SUM(D170:D182)</f>
        <v>12583278</v>
      </c>
      <c r="E183" s="158">
        <f t="shared" si="10"/>
        <v>-627342</v>
      </c>
      <c r="F183" s="159">
        <f t="shared" si="11"/>
        <v>-4.7487703075253095E-2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26903103</v>
      </c>
      <c r="D186" s="157">
        <v>19257377</v>
      </c>
      <c r="E186" s="157">
        <f>D186-C186</f>
        <v>-7645726</v>
      </c>
      <c r="F186" s="161">
        <f>IF(C186=0,0,E186/C186)</f>
        <v>-0.28419494955656233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96450117</v>
      </c>
      <c r="D188" s="158">
        <f>+D186+D183+D167+D130+D121</f>
        <v>91367918</v>
      </c>
      <c r="E188" s="158">
        <f>D188-C188</f>
        <v>-5082199</v>
      </c>
      <c r="F188" s="159">
        <f>IF(C188=0,0,E188/C188)</f>
        <v>-5.2692512545111793E-2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85855448</v>
      </c>
      <c r="D11" s="183">
        <v>90160381</v>
      </c>
      <c r="E11" s="76">
        <v>76714489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3044239</v>
      </c>
      <c r="D12" s="185">
        <v>5761698</v>
      </c>
      <c r="E12" s="185">
        <v>5866110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88899687</v>
      </c>
      <c r="D13" s="76">
        <f>+D11+D12</f>
        <v>95922079</v>
      </c>
      <c r="E13" s="76">
        <f>+E11+E12</f>
        <v>82580599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92639489</v>
      </c>
      <c r="D14" s="185">
        <v>96450117</v>
      </c>
      <c r="E14" s="185">
        <v>91367918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-3739802</v>
      </c>
      <c r="D15" s="76">
        <f>+D13-D14</f>
        <v>-528038</v>
      </c>
      <c r="E15" s="76">
        <f>+E13-E14</f>
        <v>-8787319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-323008</v>
      </c>
      <c r="D16" s="185">
        <v>-185298</v>
      </c>
      <c r="E16" s="185">
        <v>1568775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-4062810</v>
      </c>
      <c r="D17" s="76">
        <f>D15+D16</f>
        <v>-713336</v>
      </c>
      <c r="E17" s="76">
        <f>E15+E16</f>
        <v>-7218544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-4.2221068143681477E-2</v>
      </c>
      <c r="D20" s="189">
        <f>IF(+D27=0,0,+D24/+D27)</f>
        <v>-5.5155186385470803E-3</v>
      </c>
      <c r="E20" s="189">
        <f>IF(+E27=0,0,+E24/+E27)</f>
        <v>-0.10442524504103858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-3.6466483463440755E-3</v>
      </c>
      <c r="D21" s="189">
        <f>IF(D27=0,0,+D26/D27)</f>
        <v>-1.9354943634463748E-3</v>
      </c>
      <c r="E21" s="189">
        <f>IF(E27=0,0,+E26/E27)</f>
        <v>1.8642741180700882E-2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-4.5867716490025551E-2</v>
      </c>
      <c r="D22" s="189">
        <f>IF(D27=0,0,+D28/D27)</f>
        <v>-7.4510130019934551E-3</v>
      </c>
      <c r="E22" s="189">
        <f>IF(E27=0,0,+E28/E27)</f>
        <v>-8.5782503860337686E-2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-3739802</v>
      </c>
      <c r="D24" s="76">
        <f>+D15</f>
        <v>-528038</v>
      </c>
      <c r="E24" s="76">
        <f>+E15</f>
        <v>-8787319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88899687</v>
      </c>
      <c r="D25" s="76">
        <f>+D13</f>
        <v>95922079</v>
      </c>
      <c r="E25" s="76">
        <f>+E13</f>
        <v>82580599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-323008</v>
      </c>
      <c r="D26" s="76">
        <f>+D16</f>
        <v>-185298</v>
      </c>
      <c r="E26" s="76">
        <f>+E16</f>
        <v>1568775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88576679</v>
      </c>
      <c r="D27" s="76">
        <f>+D25+D26</f>
        <v>95736781</v>
      </c>
      <c r="E27" s="76">
        <f>+E25+E26</f>
        <v>84149374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-4062810</v>
      </c>
      <c r="D28" s="76">
        <f>+D17</f>
        <v>-713336</v>
      </c>
      <c r="E28" s="76">
        <f>+E17</f>
        <v>-7218544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-35978450</v>
      </c>
      <c r="D31" s="76">
        <v>-47943489</v>
      </c>
      <c r="E31" s="76">
        <v>-13430049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-31049573</v>
      </c>
      <c r="D32" s="76">
        <v>-42522947</v>
      </c>
      <c r="E32" s="76">
        <v>-7449457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-11113850</v>
      </c>
      <c r="D33" s="76">
        <f>+D32-C32</f>
        <v>-11473374</v>
      </c>
      <c r="E33" s="76">
        <f>+E32-D32</f>
        <v>35073490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1.5573999999999999</v>
      </c>
      <c r="D34" s="193">
        <f>IF(C32=0,0,+D33/C32)</f>
        <v>0.36951793185690507</v>
      </c>
      <c r="E34" s="193">
        <f>IF(D32=0,0,+E33/D32)</f>
        <v>-0.82481324730386163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0.45764311291431925</v>
      </c>
      <c r="D38" s="195">
        <f>IF((D40+D41)=0,0,+D39/(D40+D41))</f>
        <v>0.44671075528966259</v>
      </c>
      <c r="E38" s="195">
        <f>IF((E40+E41)=0,0,+E39/(E40+E41))</f>
        <v>0.43245866256283061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92639489</v>
      </c>
      <c r="D39" s="76">
        <v>96450117</v>
      </c>
      <c r="E39" s="196">
        <v>91367918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199383125</v>
      </c>
      <c r="D40" s="76">
        <v>210150088</v>
      </c>
      <c r="E40" s="196">
        <v>205409385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3044239</v>
      </c>
      <c r="D41" s="76">
        <v>5761698</v>
      </c>
      <c r="E41" s="196">
        <v>5866110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1.0685185272878948</v>
      </c>
      <c r="D43" s="197">
        <f>IF(D38=0,0,IF((D46-D47)=0,0,((+D44-D45)/(D46-D47)/D38)))</f>
        <v>1.0914185865829915</v>
      </c>
      <c r="E43" s="197">
        <f>IF(E38=0,0,IF((E46-E47)=0,0,((+E44-E45)/(E46-E47)/E38)))</f>
        <v>1.0683701815701496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35493561</v>
      </c>
      <c r="D44" s="76">
        <v>36903765</v>
      </c>
      <c r="E44" s="196">
        <v>31352348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169214</v>
      </c>
      <c r="D45" s="76">
        <v>123782</v>
      </c>
      <c r="E45" s="196">
        <v>116036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76930656</v>
      </c>
      <c r="D46" s="76">
        <v>80476865</v>
      </c>
      <c r="E46" s="196">
        <v>72394973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4692749</v>
      </c>
      <c r="D47" s="76">
        <v>5038239</v>
      </c>
      <c r="E47" s="76">
        <v>4787704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0.95121532627307659</v>
      </c>
      <c r="D49" s="198">
        <f>IF(D38=0,0,IF(D51=0,0,(D50/D51)/D38))</f>
        <v>0.97749493220813644</v>
      </c>
      <c r="E49" s="198">
        <f>IF(E38=0,0,IF(E51=0,0,(E50/E51)/E38))</f>
        <v>0.91581987102096429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35809112</v>
      </c>
      <c r="D50" s="199">
        <v>37802303</v>
      </c>
      <c r="E50" s="199">
        <v>33630052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82259825</v>
      </c>
      <c r="D51" s="199">
        <v>86571977</v>
      </c>
      <c r="E51" s="199">
        <v>84912744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0.60678637382942313</v>
      </c>
      <c r="D53" s="198">
        <f>IF(D38=0,0,IF(D55=0,0,(D54/D55)/D38))</f>
        <v>0.6359453919186141</v>
      </c>
      <c r="E53" s="198">
        <f>IF(E38=0,0,IF(E55=0,0,(E54/E55)/E38))</f>
        <v>0.5673379342881939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10869843</v>
      </c>
      <c r="D54" s="199">
        <v>11928801</v>
      </c>
      <c r="E54" s="199">
        <v>11455469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39143578</v>
      </c>
      <c r="D55" s="199">
        <v>41990453</v>
      </c>
      <c r="E55" s="199">
        <v>46690277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2771903.6046849824</v>
      </c>
      <c r="D57" s="88">
        <f>+D60*D38</f>
        <v>3050367.0727599929</v>
      </c>
      <c r="E57" s="88">
        <f>+E60*E38</f>
        <v>3001458.5895015229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2956537</v>
      </c>
      <c r="D58" s="199">
        <v>3573641</v>
      </c>
      <c r="E58" s="199">
        <v>2699812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3100374</v>
      </c>
      <c r="D59" s="199">
        <v>3254865</v>
      </c>
      <c r="E59" s="199">
        <v>4240640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6056911</v>
      </c>
      <c r="D60" s="76">
        <v>6828506</v>
      </c>
      <c r="E60" s="201">
        <v>6940452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2.9921404301841328E-2</v>
      </c>
      <c r="D62" s="202">
        <f>IF(D63=0,0,+D57/D63)</f>
        <v>3.1626369854584967E-2</v>
      </c>
      <c r="E62" s="202">
        <f>IF(E63=0,0,+E57/E63)</f>
        <v>3.285024607326089E-2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92639489</v>
      </c>
      <c r="D63" s="199">
        <v>96450117</v>
      </c>
      <c r="E63" s="199">
        <v>91367918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1.3104443026371659</v>
      </c>
      <c r="D67" s="203">
        <f>IF(D69=0,0,D68/D69)</f>
        <v>1.0028310882059983</v>
      </c>
      <c r="E67" s="203">
        <f>IF(E69=0,0,E68/E69)</f>
        <v>0.8956626009114188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21775957</v>
      </c>
      <c r="D68" s="204">
        <v>31100964</v>
      </c>
      <c r="E68" s="204">
        <v>26728598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16617232</v>
      </c>
      <c r="D69" s="204">
        <v>31013163</v>
      </c>
      <c r="E69" s="204">
        <v>29842262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10.369408510868759</v>
      </c>
      <c r="D71" s="203">
        <f>IF((D77/365)=0,0,+D74/(D77/365))</f>
        <v>16.303733241121105</v>
      </c>
      <c r="E71" s="203">
        <f>IF((E77/365)=0,0,+E74/(E77/365))</f>
        <v>31.705601319455138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2502682</v>
      </c>
      <c r="D72" s="183">
        <v>4122969</v>
      </c>
      <c r="E72" s="183">
        <v>7575725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2502682</v>
      </c>
      <c r="D74" s="204">
        <f>+D72+D73</f>
        <v>4122969</v>
      </c>
      <c r="E74" s="204">
        <f>+E72+E73</f>
        <v>7575725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92639489</v>
      </c>
      <c r="D75" s="204">
        <f>+D14</f>
        <v>96450117</v>
      </c>
      <c r="E75" s="204">
        <f>+E14</f>
        <v>91367918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4545850</v>
      </c>
      <c r="D76" s="204">
        <v>4147105</v>
      </c>
      <c r="E76" s="204">
        <v>4154949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88093639</v>
      </c>
      <c r="D77" s="204">
        <f>+D75-D76</f>
        <v>92303012</v>
      </c>
      <c r="E77" s="204">
        <f>+E75-E76</f>
        <v>87212969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62.963002592450515</v>
      </c>
      <c r="D79" s="203">
        <f>IF((D84/365)=0,0,+D83/(D84/365))</f>
        <v>77.610898072846425</v>
      </c>
      <c r="E79" s="203">
        <f>IF((E84/365)=0,0,+E83/(E84/365))</f>
        <v>50.193398668144681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14881466</v>
      </c>
      <c r="D80" s="212">
        <v>20670040</v>
      </c>
      <c r="E80" s="212">
        <v>11889554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71283</v>
      </c>
      <c r="D82" s="212">
        <v>1499004</v>
      </c>
      <c r="E82" s="212">
        <v>1340072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14810183</v>
      </c>
      <c r="D83" s="212">
        <f>+D80+D81-D82</f>
        <v>19171036</v>
      </c>
      <c r="E83" s="212">
        <f>+E80+E81-E82</f>
        <v>10549482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85855448</v>
      </c>
      <c r="D84" s="204">
        <f>+D11</f>
        <v>90160381</v>
      </c>
      <c r="E84" s="204">
        <f>+E11</f>
        <v>76714489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68.85048397194717</v>
      </c>
      <c r="D86" s="203">
        <f>IF((D90/365)=0,0,+D87/(D90/365))</f>
        <v>122.63743348916935</v>
      </c>
      <c r="E86" s="203">
        <f>IF((E90/365)=0,0,+E87/(E90/365))</f>
        <v>124.89456275705967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16617232</v>
      </c>
      <c r="D87" s="76">
        <f>+D69</f>
        <v>31013163</v>
      </c>
      <c r="E87" s="76">
        <f>+E69</f>
        <v>29842262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92639489</v>
      </c>
      <c r="D88" s="76">
        <f t="shared" si="0"/>
        <v>96450117</v>
      </c>
      <c r="E88" s="76">
        <f t="shared" si="0"/>
        <v>91367918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4545850</v>
      </c>
      <c r="D89" s="201">
        <f t="shared" si="0"/>
        <v>4147105</v>
      </c>
      <c r="E89" s="201">
        <f t="shared" si="0"/>
        <v>4154949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88093639</v>
      </c>
      <c r="D90" s="76">
        <f>+D88-D89</f>
        <v>92303012</v>
      </c>
      <c r="E90" s="76">
        <f>+E88-E89</f>
        <v>87212969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-46.78289848043741</v>
      </c>
      <c r="D94" s="214">
        <f>IF(D96=0,0,(D95/D96)*100)</f>
        <v>-53.056723251466984</v>
      </c>
      <c r="E94" s="214">
        <f>IF(E96=0,0,(E95/E96)*100)</f>
        <v>-9.2944975844959163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-31049573</v>
      </c>
      <c r="D95" s="76">
        <f>+D32</f>
        <v>-42522947</v>
      </c>
      <c r="E95" s="76">
        <f>+E32</f>
        <v>-7449457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66369494</v>
      </c>
      <c r="D96" s="76">
        <v>80146199</v>
      </c>
      <c r="E96" s="76">
        <v>80149109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1.3415783670599406</v>
      </c>
      <c r="D98" s="214">
        <f>IF(D104=0,0,(D101/D104)*100)</f>
        <v>6.8067484272806107</v>
      </c>
      <c r="E98" s="214">
        <f>IF(E104=0,0,(E101/E104)*100)</f>
        <v>-6.2271491952256328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-4062810</v>
      </c>
      <c r="D99" s="76">
        <f>+D28</f>
        <v>-713336</v>
      </c>
      <c r="E99" s="76">
        <f>+E28</f>
        <v>-7218544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4545850</v>
      </c>
      <c r="D100" s="201">
        <f>+D76</f>
        <v>4147105</v>
      </c>
      <c r="E100" s="201">
        <f>+E76</f>
        <v>4154949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483040</v>
      </c>
      <c r="D101" s="76">
        <f>+D99+D100</f>
        <v>3433769</v>
      </c>
      <c r="E101" s="76">
        <f>+E99+E100</f>
        <v>-3063595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16617232</v>
      </c>
      <c r="D102" s="204">
        <f>+D69</f>
        <v>31013163</v>
      </c>
      <c r="E102" s="204">
        <f>+E69</f>
        <v>29842262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19388119</v>
      </c>
      <c r="D103" s="216">
        <v>19433376</v>
      </c>
      <c r="E103" s="216">
        <v>19355130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36005351</v>
      </c>
      <c r="D104" s="204">
        <f>+D102+D103</f>
        <v>50446539</v>
      </c>
      <c r="E104" s="204">
        <f>+E102+E103</f>
        <v>49197392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-166.25816128932121</v>
      </c>
      <c r="D106" s="214">
        <f>IF(D109=0,0,(D107/D109)*100)</f>
        <v>-84.165167035801574</v>
      </c>
      <c r="E106" s="214">
        <f>IF(E109=0,0,(E107/E109)*100)</f>
        <v>162.57065014300323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19388119</v>
      </c>
      <c r="D107" s="204">
        <f>+D103</f>
        <v>19433376</v>
      </c>
      <c r="E107" s="204">
        <f>+E103</f>
        <v>19355130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-31049573</v>
      </c>
      <c r="D108" s="204">
        <f>+D32</f>
        <v>-42522947</v>
      </c>
      <c r="E108" s="204">
        <f>+E32</f>
        <v>-7449457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-11661454</v>
      </c>
      <c r="D109" s="204">
        <f>+D107+D108</f>
        <v>-23089571</v>
      </c>
      <c r="E109" s="204">
        <f>+E107+E108</f>
        <v>11905673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9.1818391209150377E-2</v>
      </c>
      <c r="D111" s="214">
        <f>IF((+D113+D115)=0,0,((+D112+D113+D114)/(+D113+D115)))</f>
        <v>0.69000886557597607</v>
      </c>
      <c r="E111" s="214">
        <f>IF((+E113+E115)=0,0,((+E112+E113+E114)/(+E113+E115)))</f>
        <v>-1.1669134871376901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-4062810</v>
      </c>
      <c r="D112" s="76">
        <f>+D17</f>
        <v>-713336</v>
      </c>
      <c r="E112" s="76">
        <f>+E17</f>
        <v>-7218544</v>
      </c>
    </row>
    <row r="113" spans="1:8" ht="24" customHeight="1" x14ac:dyDescent="0.2">
      <c r="A113" s="85">
        <v>17</v>
      </c>
      <c r="B113" s="75" t="s">
        <v>88</v>
      </c>
      <c r="C113" s="218">
        <v>1476666</v>
      </c>
      <c r="D113" s="76">
        <v>1325543</v>
      </c>
      <c r="E113" s="76">
        <v>1107869</v>
      </c>
    </row>
    <row r="114" spans="1:8" ht="24" customHeight="1" x14ac:dyDescent="0.2">
      <c r="A114" s="85">
        <v>18</v>
      </c>
      <c r="B114" s="75" t="s">
        <v>374</v>
      </c>
      <c r="C114" s="218">
        <v>4545850</v>
      </c>
      <c r="D114" s="76">
        <v>4147105</v>
      </c>
      <c r="E114" s="76">
        <v>4154949</v>
      </c>
    </row>
    <row r="115" spans="1:8" ht="24" customHeight="1" x14ac:dyDescent="0.2">
      <c r="A115" s="85">
        <v>19</v>
      </c>
      <c r="B115" s="75" t="s">
        <v>104</v>
      </c>
      <c r="C115" s="218">
        <v>19866618</v>
      </c>
      <c r="D115" s="76">
        <v>5571922</v>
      </c>
      <c r="E115" s="76">
        <v>568113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14.734771934841669</v>
      </c>
      <c r="D119" s="214">
        <f>IF(+D121=0,0,(+D120)/(+D121))</f>
        <v>16.887673931573953</v>
      </c>
      <c r="E119" s="214">
        <f>IF(+E121=0,0,(+E120)/(+E121))</f>
        <v>17.851817916417264</v>
      </c>
    </row>
    <row r="120" spans="1:8" ht="24" customHeight="1" x14ac:dyDescent="0.2">
      <c r="A120" s="85">
        <v>21</v>
      </c>
      <c r="B120" s="75" t="s">
        <v>378</v>
      </c>
      <c r="C120" s="218">
        <v>66982063</v>
      </c>
      <c r="D120" s="218">
        <v>70034957</v>
      </c>
      <c r="E120" s="218">
        <v>74173393</v>
      </c>
    </row>
    <row r="121" spans="1:8" ht="24" customHeight="1" x14ac:dyDescent="0.2">
      <c r="A121" s="85">
        <v>22</v>
      </c>
      <c r="B121" s="75" t="s">
        <v>374</v>
      </c>
      <c r="C121" s="218">
        <v>4545850</v>
      </c>
      <c r="D121" s="218">
        <v>4147105</v>
      </c>
      <c r="E121" s="218">
        <v>4154949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19996</v>
      </c>
      <c r="D124" s="218">
        <v>18673</v>
      </c>
      <c r="E124" s="218">
        <v>17355</v>
      </c>
    </row>
    <row r="125" spans="1:8" ht="24" customHeight="1" x14ac:dyDescent="0.2">
      <c r="A125" s="85">
        <v>2</v>
      </c>
      <c r="B125" s="75" t="s">
        <v>381</v>
      </c>
      <c r="C125" s="218">
        <v>4701</v>
      </c>
      <c r="D125" s="218">
        <v>4506</v>
      </c>
      <c r="E125" s="218">
        <v>4137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4.2535630716868749</v>
      </c>
      <c r="D126" s="219">
        <f>IF(D125=0,0,D124/D125)</f>
        <v>4.1440301819795824</v>
      </c>
      <c r="E126" s="219">
        <f>IF(E125=0,0,E124/E125)</f>
        <v>4.1950688905003624</v>
      </c>
    </row>
    <row r="127" spans="1:8" ht="24" customHeight="1" x14ac:dyDescent="0.2">
      <c r="A127" s="85">
        <v>4</v>
      </c>
      <c r="B127" s="75" t="s">
        <v>383</v>
      </c>
      <c r="C127" s="218">
        <v>87</v>
      </c>
      <c r="D127" s="218">
        <v>87</v>
      </c>
      <c r="E127" s="218">
        <v>87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144</v>
      </c>
      <c r="E128" s="218">
        <v>144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144</v>
      </c>
      <c r="D129" s="218">
        <v>144</v>
      </c>
      <c r="E129" s="218">
        <v>144</v>
      </c>
    </row>
    <row r="130" spans="1:7" ht="24" customHeight="1" x14ac:dyDescent="0.2">
      <c r="A130" s="85">
        <v>7</v>
      </c>
      <c r="B130" s="75" t="s">
        <v>386</v>
      </c>
      <c r="C130" s="193">
        <v>0.62960000000000005</v>
      </c>
      <c r="D130" s="193">
        <v>0.58799999999999997</v>
      </c>
      <c r="E130" s="193">
        <v>0.54649999999999999</v>
      </c>
    </row>
    <row r="131" spans="1:7" ht="24" customHeight="1" x14ac:dyDescent="0.2">
      <c r="A131" s="85">
        <v>8</v>
      </c>
      <c r="B131" s="75" t="s">
        <v>387</v>
      </c>
      <c r="C131" s="193">
        <v>0.38040000000000002</v>
      </c>
      <c r="D131" s="193">
        <v>0.35520000000000002</v>
      </c>
      <c r="E131" s="193">
        <v>0.3301</v>
      </c>
    </row>
    <row r="132" spans="1:7" ht="24" customHeight="1" x14ac:dyDescent="0.2">
      <c r="A132" s="85">
        <v>9</v>
      </c>
      <c r="B132" s="75" t="s">
        <v>388</v>
      </c>
      <c r="C132" s="219">
        <v>607.5</v>
      </c>
      <c r="D132" s="219">
        <v>601.6</v>
      </c>
      <c r="E132" s="219">
        <v>577.1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0.36230702573249368</v>
      </c>
      <c r="D135" s="227">
        <f>IF(D149=0,0,D143/D149)</f>
        <v>0.35897499124530463</v>
      </c>
      <c r="E135" s="227">
        <f>IF(E149=0,0,E143/E149)</f>
        <v>0.32913427495048486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0.41257165068508178</v>
      </c>
      <c r="D136" s="227">
        <f>IF(D149=0,0,D144/D149)</f>
        <v>0.41195308469249842</v>
      </c>
      <c r="E136" s="227">
        <f>IF(E149=0,0,E144/E149)</f>
        <v>0.41338298150301167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0.19632342506418235</v>
      </c>
      <c r="D137" s="227">
        <f>IF(D149=0,0,D145/D149)</f>
        <v>0.19981173169910832</v>
      </c>
      <c r="E137" s="227">
        <f>IF(E149=0,0,E145/E149)</f>
        <v>0.22730352364377118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2.477932874208888E-3</v>
      </c>
      <c r="D138" s="227">
        <f>IF(D149=0,0,D146/D149)</f>
        <v>2.0910912014464635E-3</v>
      </c>
      <c r="E138" s="227">
        <f>IF(E149=0,0,E146/E149)</f>
        <v>4.2748241517786539E-3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2.3536339898374049E-2</v>
      </c>
      <c r="D139" s="227">
        <f>IF(D149=0,0,D147/D149)</f>
        <v>2.3974479610972134E-2</v>
      </c>
      <c r="E139" s="227">
        <f>IF(E149=0,0,E147/E149)</f>
        <v>2.3308107368122444E-2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2.7836257456592679E-3</v>
      </c>
      <c r="D140" s="227">
        <f>IF(D149=0,0,D148/D149)</f>
        <v>3.1946215506700143E-3</v>
      </c>
      <c r="E140" s="227">
        <f>IF(E149=0,0,E148/E149)</f>
        <v>2.5962883828311934E-3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72237907</v>
      </c>
      <c r="D143" s="229">
        <f>+D46-D147</f>
        <v>75438626</v>
      </c>
      <c r="E143" s="229">
        <f>+E46-E147</f>
        <v>67607269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82259825</v>
      </c>
      <c r="D144" s="229">
        <f>+D51</f>
        <v>86571977</v>
      </c>
      <c r="E144" s="229">
        <f>+E51</f>
        <v>84912744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39143578</v>
      </c>
      <c r="D145" s="229">
        <f>+D55</f>
        <v>41990453</v>
      </c>
      <c r="E145" s="229">
        <f>+E55</f>
        <v>46690277</v>
      </c>
    </row>
    <row r="146" spans="1:7" ht="20.100000000000001" customHeight="1" x14ac:dyDescent="0.2">
      <c r="A146" s="226">
        <v>11</v>
      </c>
      <c r="B146" s="224" t="s">
        <v>400</v>
      </c>
      <c r="C146" s="228">
        <v>494058</v>
      </c>
      <c r="D146" s="229">
        <v>439443</v>
      </c>
      <c r="E146" s="229">
        <v>878089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4692749</v>
      </c>
      <c r="D147" s="229">
        <f>+D47</f>
        <v>5038239</v>
      </c>
      <c r="E147" s="229">
        <f>+E47</f>
        <v>4787704</v>
      </c>
    </row>
    <row r="148" spans="1:7" ht="20.100000000000001" customHeight="1" x14ac:dyDescent="0.2">
      <c r="A148" s="226">
        <v>13</v>
      </c>
      <c r="B148" s="224" t="s">
        <v>402</v>
      </c>
      <c r="C148" s="230">
        <v>555008</v>
      </c>
      <c r="D148" s="229">
        <v>671350</v>
      </c>
      <c r="E148" s="229">
        <v>533302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199383125</v>
      </c>
      <c r="D149" s="229">
        <f>SUM(D143:D148)</f>
        <v>210150088</v>
      </c>
      <c r="E149" s="229">
        <f>SUM(E143:E148)</f>
        <v>205409385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0.42813733750690819</v>
      </c>
      <c r="D152" s="227">
        <f>IF(D166=0,0,D160/D166)</f>
        <v>0.42321805468847401</v>
      </c>
      <c r="E152" s="227">
        <f>IF(E166=0,0,E160/E166)</f>
        <v>0.40717616711002053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0.43401277510286818</v>
      </c>
      <c r="D153" s="227">
        <f>IF(D166=0,0,D161/D166)</f>
        <v>0.434981634939969</v>
      </c>
      <c r="E153" s="227">
        <f>IF(E166=0,0,E161/E166)</f>
        <v>0.43837939872897547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0.13174442095527211</v>
      </c>
      <c r="D154" s="227">
        <f>IF(D166=0,0,D162/D166)</f>
        <v>0.13726172614016499</v>
      </c>
      <c r="E154" s="227">
        <f>IF(E166=0,0,E162/E166)</f>
        <v>0.14932601389906913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1.7800176726724649E-3</v>
      </c>
      <c r="D155" s="227">
        <f>IF(D166=0,0,D163/D166)</f>
        <v>8.5282274663466408E-4</v>
      </c>
      <c r="E155" s="227">
        <f>IF(E166=0,0,E163/E166)</f>
        <v>1.5984333598515743E-3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2.050903628279214E-3</v>
      </c>
      <c r="D156" s="227">
        <f>IF(D166=0,0,D164/D166)</f>
        <v>1.4243284790384132E-3</v>
      </c>
      <c r="E156" s="227">
        <f>IF(E166=0,0,E164/E166)</f>
        <v>1.5125695289116827E-3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2.2745451339998284E-3</v>
      </c>
      <c r="D157" s="227">
        <f>IF(D166=0,0,D165/D166)</f>
        <v>2.2614330057189121E-3</v>
      </c>
      <c r="E157" s="227">
        <f>IF(E166=0,0,E165/E166)</f>
        <v>2.0074173731716135E-3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0.99999999999999989</v>
      </c>
      <c r="E158" s="227">
        <f>SUM(E152:E157)</f>
        <v>0.99999999999999978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35324347</v>
      </c>
      <c r="D160" s="229">
        <f>+D44-D164</f>
        <v>36779983</v>
      </c>
      <c r="E160" s="229">
        <f>+E44-E164</f>
        <v>31236312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35809112</v>
      </c>
      <c r="D161" s="229">
        <f>+D50</f>
        <v>37802303</v>
      </c>
      <c r="E161" s="229">
        <f>+E50</f>
        <v>33630052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10869843</v>
      </c>
      <c r="D162" s="229">
        <f>+D54</f>
        <v>11928801</v>
      </c>
      <c r="E162" s="229">
        <f>+E54</f>
        <v>11455469</v>
      </c>
    </row>
    <row r="163" spans="1:6" ht="20.100000000000001" customHeight="1" x14ac:dyDescent="0.2">
      <c r="A163" s="226">
        <v>11</v>
      </c>
      <c r="B163" s="224" t="s">
        <v>415</v>
      </c>
      <c r="C163" s="228">
        <v>146864</v>
      </c>
      <c r="D163" s="229">
        <v>74115</v>
      </c>
      <c r="E163" s="229">
        <v>122623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169214</v>
      </c>
      <c r="D164" s="229">
        <f>+D45</f>
        <v>123782</v>
      </c>
      <c r="E164" s="229">
        <f>+E45</f>
        <v>116036</v>
      </c>
    </row>
    <row r="165" spans="1:6" ht="20.100000000000001" customHeight="1" x14ac:dyDescent="0.2">
      <c r="A165" s="226">
        <v>13</v>
      </c>
      <c r="B165" s="224" t="s">
        <v>417</v>
      </c>
      <c r="C165" s="230">
        <v>187666</v>
      </c>
      <c r="D165" s="229">
        <v>196531</v>
      </c>
      <c r="E165" s="229">
        <v>153998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82507046</v>
      </c>
      <c r="D166" s="229">
        <f>SUM(D160:D165)</f>
        <v>86905515</v>
      </c>
      <c r="E166" s="229">
        <f>SUM(E160:E165)</f>
        <v>76714490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1256</v>
      </c>
      <c r="D169" s="218">
        <v>1178</v>
      </c>
      <c r="E169" s="218">
        <v>926</v>
      </c>
    </row>
    <row r="170" spans="1:6" ht="20.100000000000001" customHeight="1" x14ac:dyDescent="0.2">
      <c r="A170" s="226">
        <v>2</v>
      </c>
      <c r="B170" s="224" t="s">
        <v>420</v>
      </c>
      <c r="C170" s="218">
        <v>2372</v>
      </c>
      <c r="D170" s="218">
        <v>2326</v>
      </c>
      <c r="E170" s="218">
        <v>2210</v>
      </c>
    </row>
    <row r="171" spans="1:6" ht="20.100000000000001" customHeight="1" x14ac:dyDescent="0.2">
      <c r="A171" s="226">
        <v>3</v>
      </c>
      <c r="B171" s="224" t="s">
        <v>421</v>
      </c>
      <c r="C171" s="218">
        <v>1055</v>
      </c>
      <c r="D171" s="218">
        <v>985</v>
      </c>
      <c r="E171" s="218">
        <v>983</v>
      </c>
    </row>
    <row r="172" spans="1:6" ht="20.100000000000001" customHeight="1" x14ac:dyDescent="0.2">
      <c r="A172" s="226">
        <v>4</v>
      </c>
      <c r="B172" s="224" t="s">
        <v>422</v>
      </c>
      <c r="C172" s="218">
        <v>1035</v>
      </c>
      <c r="D172" s="218">
        <v>970</v>
      </c>
      <c r="E172" s="218">
        <v>965</v>
      </c>
    </row>
    <row r="173" spans="1:6" ht="20.100000000000001" customHeight="1" x14ac:dyDescent="0.2">
      <c r="A173" s="226">
        <v>5</v>
      </c>
      <c r="B173" s="224" t="s">
        <v>423</v>
      </c>
      <c r="C173" s="218">
        <v>20</v>
      </c>
      <c r="D173" s="218">
        <v>15</v>
      </c>
      <c r="E173" s="218">
        <v>18</v>
      </c>
    </row>
    <row r="174" spans="1:6" ht="20.100000000000001" customHeight="1" x14ac:dyDescent="0.2">
      <c r="A174" s="226">
        <v>6</v>
      </c>
      <c r="B174" s="224" t="s">
        <v>424</v>
      </c>
      <c r="C174" s="218">
        <v>18</v>
      </c>
      <c r="D174" s="218">
        <v>17</v>
      </c>
      <c r="E174" s="218">
        <v>18</v>
      </c>
    </row>
    <row r="175" spans="1:6" ht="20.100000000000001" customHeight="1" x14ac:dyDescent="0.2">
      <c r="A175" s="226">
        <v>7</v>
      </c>
      <c r="B175" s="224" t="s">
        <v>425</v>
      </c>
      <c r="C175" s="218">
        <v>66</v>
      </c>
      <c r="D175" s="218">
        <v>56</v>
      </c>
      <c r="E175" s="218">
        <v>48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4701</v>
      </c>
      <c r="D176" s="218">
        <f>+D169+D170+D171+D174</f>
        <v>4506</v>
      </c>
      <c r="E176" s="218">
        <f>+E169+E170+E171+E174</f>
        <v>4137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0.96199999999999997</v>
      </c>
      <c r="D179" s="231">
        <v>0.95455999999999996</v>
      </c>
      <c r="E179" s="231">
        <v>0.96784999999999999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1.2727999999999999</v>
      </c>
      <c r="D180" s="231">
        <v>1.3789400000000001</v>
      </c>
      <c r="E180" s="231">
        <v>1.39802</v>
      </c>
    </row>
    <row r="181" spans="1:6" ht="20.100000000000001" customHeight="1" x14ac:dyDescent="0.2">
      <c r="A181" s="226">
        <v>3</v>
      </c>
      <c r="B181" s="224" t="s">
        <v>421</v>
      </c>
      <c r="C181" s="231">
        <v>0.89271999999999996</v>
      </c>
      <c r="D181" s="231">
        <v>0.91871100000000006</v>
      </c>
      <c r="E181" s="231">
        <v>0.98361100000000001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0.89670000000000005</v>
      </c>
      <c r="D182" s="231">
        <v>0.91642999999999997</v>
      </c>
      <c r="E182" s="231">
        <v>0.96308000000000005</v>
      </c>
    </row>
    <row r="183" spans="1:6" ht="20.100000000000001" customHeight="1" x14ac:dyDescent="0.2">
      <c r="A183" s="226">
        <v>5</v>
      </c>
      <c r="B183" s="224" t="s">
        <v>423</v>
      </c>
      <c r="C183" s="231">
        <v>0.68676999999999999</v>
      </c>
      <c r="D183" s="231">
        <v>1.0662400000000001</v>
      </c>
      <c r="E183" s="231">
        <v>2.0843099999999999</v>
      </c>
    </row>
    <row r="184" spans="1:6" ht="20.100000000000001" customHeight="1" x14ac:dyDescent="0.2">
      <c r="A184" s="226">
        <v>6</v>
      </c>
      <c r="B184" s="224" t="s">
        <v>424</v>
      </c>
      <c r="C184" s="231">
        <v>0.58850000000000002</v>
      </c>
      <c r="D184" s="231">
        <v>0.94452999999999998</v>
      </c>
      <c r="E184" s="231">
        <v>0.83611999999999997</v>
      </c>
    </row>
    <row r="185" spans="1:6" ht="20.100000000000001" customHeight="1" x14ac:dyDescent="0.2">
      <c r="A185" s="226">
        <v>7</v>
      </c>
      <c r="B185" s="224" t="s">
        <v>425</v>
      </c>
      <c r="C185" s="231">
        <v>1.0567</v>
      </c>
      <c r="D185" s="231">
        <v>0.93178000000000005</v>
      </c>
      <c r="E185" s="231">
        <v>1.0893999999999999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1.1018429999999999</v>
      </c>
      <c r="D186" s="231">
        <v>1.1657500000000001</v>
      </c>
      <c r="E186" s="231">
        <v>1.20082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3378</v>
      </c>
      <c r="D189" s="218">
        <v>3244</v>
      </c>
      <c r="E189" s="218">
        <v>3028</v>
      </c>
    </row>
    <row r="190" spans="1:6" ht="20.100000000000001" customHeight="1" x14ac:dyDescent="0.2">
      <c r="A190" s="226">
        <v>2</v>
      </c>
      <c r="B190" s="224" t="s">
        <v>433</v>
      </c>
      <c r="C190" s="218">
        <v>30744</v>
      </c>
      <c r="D190" s="218">
        <v>33618</v>
      </c>
      <c r="E190" s="218">
        <v>32054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34122</v>
      </c>
      <c r="D191" s="218">
        <f>+D190+D189</f>
        <v>36862</v>
      </c>
      <c r="E191" s="218">
        <f>+E190+E189</f>
        <v>35082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216613</v>
      </c>
      <c r="D14" s="258">
        <v>186648</v>
      </c>
      <c r="E14" s="258">
        <f t="shared" ref="E14:E24" si="0">D14-C14</f>
        <v>-29965</v>
      </c>
      <c r="F14" s="259">
        <f t="shared" ref="F14:F24" si="1">IF(C14=0,0,E14/C14)</f>
        <v>-0.13833426433316559</v>
      </c>
    </row>
    <row r="15" spans="1:7" ht="20.25" customHeight="1" x14ac:dyDescent="0.3">
      <c r="A15" s="256">
        <v>2</v>
      </c>
      <c r="B15" s="257" t="s">
        <v>442</v>
      </c>
      <c r="C15" s="258">
        <v>115168</v>
      </c>
      <c r="D15" s="258">
        <v>136187</v>
      </c>
      <c r="E15" s="258">
        <f t="shared" si="0"/>
        <v>21019</v>
      </c>
      <c r="F15" s="259">
        <f t="shared" si="1"/>
        <v>0.18250729369269242</v>
      </c>
    </row>
    <row r="16" spans="1:7" ht="20.25" customHeight="1" x14ac:dyDescent="0.3">
      <c r="A16" s="256">
        <v>3</v>
      </c>
      <c r="B16" s="257" t="s">
        <v>443</v>
      </c>
      <c r="C16" s="258">
        <v>216925</v>
      </c>
      <c r="D16" s="258">
        <v>205152</v>
      </c>
      <c r="E16" s="258">
        <f t="shared" si="0"/>
        <v>-11773</v>
      </c>
      <c r="F16" s="259">
        <f t="shared" si="1"/>
        <v>-5.4272213898812954E-2</v>
      </c>
    </row>
    <row r="17" spans="1:6" ht="20.25" customHeight="1" x14ac:dyDescent="0.3">
      <c r="A17" s="256">
        <v>4</v>
      </c>
      <c r="B17" s="257" t="s">
        <v>444</v>
      </c>
      <c r="C17" s="258">
        <v>46987</v>
      </c>
      <c r="D17" s="258">
        <v>70930</v>
      </c>
      <c r="E17" s="258">
        <f t="shared" si="0"/>
        <v>23943</v>
      </c>
      <c r="F17" s="259">
        <f t="shared" si="1"/>
        <v>0.50956647583374126</v>
      </c>
    </row>
    <row r="18" spans="1:6" ht="20.25" customHeight="1" x14ac:dyDescent="0.3">
      <c r="A18" s="256">
        <v>5</v>
      </c>
      <c r="B18" s="257" t="s">
        <v>381</v>
      </c>
      <c r="C18" s="260">
        <v>10</v>
      </c>
      <c r="D18" s="260">
        <v>14</v>
      </c>
      <c r="E18" s="260">
        <f t="shared" si="0"/>
        <v>4</v>
      </c>
      <c r="F18" s="259">
        <f t="shared" si="1"/>
        <v>0.4</v>
      </c>
    </row>
    <row r="19" spans="1:6" ht="20.25" customHeight="1" x14ac:dyDescent="0.3">
      <c r="A19" s="256">
        <v>6</v>
      </c>
      <c r="B19" s="257" t="s">
        <v>380</v>
      </c>
      <c r="C19" s="260">
        <v>63</v>
      </c>
      <c r="D19" s="260">
        <v>52</v>
      </c>
      <c r="E19" s="260">
        <f t="shared" si="0"/>
        <v>-11</v>
      </c>
      <c r="F19" s="259">
        <f t="shared" si="1"/>
        <v>-0.17460317460317459</v>
      </c>
    </row>
    <row r="20" spans="1:6" ht="20.25" customHeight="1" x14ac:dyDescent="0.3">
      <c r="A20" s="256">
        <v>7</v>
      </c>
      <c r="B20" s="257" t="s">
        <v>445</v>
      </c>
      <c r="C20" s="260">
        <v>244</v>
      </c>
      <c r="D20" s="260">
        <v>138</v>
      </c>
      <c r="E20" s="260">
        <f t="shared" si="0"/>
        <v>-106</v>
      </c>
      <c r="F20" s="259">
        <f t="shared" si="1"/>
        <v>-0.4344262295081967</v>
      </c>
    </row>
    <row r="21" spans="1:6" ht="20.25" customHeight="1" x14ac:dyDescent="0.3">
      <c r="A21" s="256">
        <v>8</v>
      </c>
      <c r="B21" s="257" t="s">
        <v>446</v>
      </c>
      <c r="C21" s="260">
        <v>21</v>
      </c>
      <c r="D21" s="260">
        <v>30</v>
      </c>
      <c r="E21" s="260">
        <f t="shared" si="0"/>
        <v>9</v>
      </c>
      <c r="F21" s="259">
        <f t="shared" si="1"/>
        <v>0.42857142857142855</v>
      </c>
    </row>
    <row r="22" spans="1:6" ht="20.25" customHeight="1" x14ac:dyDescent="0.3">
      <c r="A22" s="256">
        <v>9</v>
      </c>
      <c r="B22" s="257" t="s">
        <v>447</v>
      </c>
      <c r="C22" s="260">
        <v>24</v>
      </c>
      <c r="D22" s="260">
        <v>14</v>
      </c>
      <c r="E22" s="260">
        <f t="shared" si="0"/>
        <v>-10</v>
      </c>
      <c r="F22" s="259">
        <f t="shared" si="1"/>
        <v>-0.41666666666666669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433538</v>
      </c>
      <c r="D23" s="263">
        <f>+D14+D16</f>
        <v>391800</v>
      </c>
      <c r="E23" s="263">
        <f t="shared" si="0"/>
        <v>-41738</v>
      </c>
      <c r="F23" s="264">
        <f t="shared" si="1"/>
        <v>-9.6272991064220437E-2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162155</v>
      </c>
      <c r="D24" s="263">
        <f>+D15+D17</f>
        <v>207117</v>
      </c>
      <c r="E24" s="263">
        <f t="shared" si="0"/>
        <v>44962</v>
      </c>
      <c r="F24" s="264">
        <f t="shared" si="1"/>
        <v>0.27727791310782895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2841342</v>
      </c>
      <c r="D40" s="258">
        <v>3125667</v>
      </c>
      <c r="E40" s="258">
        <f t="shared" ref="E40:E50" si="4">D40-C40</f>
        <v>284325</v>
      </c>
      <c r="F40" s="259">
        <f t="shared" ref="F40:F50" si="5">IF(C40=0,0,E40/C40)</f>
        <v>0.10006715136720606</v>
      </c>
    </row>
    <row r="41" spans="1:6" ht="20.25" customHeight="1" x14ac:dyDescent="0.3">
      <c r="A41" s="256">
        <v>2</v>
      </c>
      <c r="B41" s="257" t="s">
        <v>442</v>
      </c>
      <c r="C41" s="258">
        <v>1804066</v>
      </c>
      <c r="D41" s="258">
        <v>1482903</v>
      </c>
      <c r="E41" s="258">
        <f t="shared" si="4"/>
        <v>-321163</v>
      </c>
      <c r="F41" s="259">
        <f t="shared" si="5"/>
        <v>-0.17802175751884908</v>
      </c>
    </row>
    <row r="42" spans="1:6" ht="20.25" customHeight="1" x14ac:dyDescent="0.3">
      <c r="A42" s="256">
        <v>3</v>
      </c>
      <c r="B42" s="257" t="s">
        <v>443</v>
      </c>
      <c r="C42" s="258">
        <v>3162382</v>
      </c>
      <c r="D42" s="258">
        <v>3195687</v>
      </c>
      <c r="E42" s="258">
        <f t="shared" si="4"/>
        <v>33305</v>
      </c>
      <c r="F42" s="259">
        <f t="shared" si="5"/>
        <v>1.0531618254847138E-2</v>
      </c>
    </row>
    <row r="43" spans="1:6" ht="20.25" customHeight="1" x14ac:dyDescent="0.3">
      <c r="A43" s="256">
        <v>4</v>
      </c>
      <c r="B43" s="257" t="s">
        <v>444</v>
      </c>
      <c r="C43" s="258">
        <v>678732</v>
      </c>
      <c r="D43" s="258">
        <v>628473</v>
      </c>
      <c r="E43" s="258">
        <f t="shared" si="4"/>
        <v>-50259</v>
      </c>
      <c r="F43" s="259">
        <f t="shared" si="5"/>
        <v>-7.4048372553526282E-2</v>
      </c>
    </row>
    <row r="44" spans="1:6" ht="20.25" customHeight="1" x14ac:dyDescent="0.3">
      <c r="A44" s="256">
        <v>5</v>
      </c>
      <c r="B44" s="257" t="s">
        <v>381</v>
      </c>
      <c r="C44" s="260">
        <v>144</v>
      </c>
      <c r="D44" s="260">
        <v>152</v>
      </c>
      <c r="E44" s="260">
        <f t="shared" si="4"/>
        <v>8</v>
      </c>
      <c r="F44" s="259">
        <f t="shared" si="5"/>
        <v>5.5555555555555552E-2</v>
      </c>
    </row>
    <row r="45" spans="1:6" ht="20.25" customHeight="1" x14ac:dyDescent="0.3">
      <c r="A45" s="256">
        <v>6</v>
      </c>
      <c r="B45" s="257" t="s">
        <v>380</v>
      </c>
      <c r="C45" s="260">
        <v>697</v>
      </c>
      <c r="D45" s="260">
        <v>814</v>
      </c>
      <c r="E45" s="260">
        <f t="shared" si="4"/>
        <v>117</v>
      </c>
      <c r="F45" s="259">
        <f t="shared" si="5"/>
        <v>0.16786226685796271</v>
      </c>
    </row>
    <row r="46" spans="1:6" ht="20.25" customHeight="1" x14ac:dyDescent="0.3">
      <c r="A46" s="256">
        <v>7</v>
      </c>
      <c r="B46" s="257" t="s">
        <v>445</v>
      </c>
      <c r="C46" s="260">
        <v>3150</v>
      </c>
      <c r="D46" s="260">
        <v>2575</v>
      </c>
      <c r="E46" s="260">
        <f t="shared" si="4"/>
        <v>-575</v>
      </c>
      <c r="F46" s="259">
        <f t="shared" si="5"/>
        <v>-0.18253968253968253</v>
      </c>
    </row>
    <row r="47" spans="1:6" ht="20.25" customHeight="1" x14ac:dyDescent="0.3">
      <c r="A47" s="256">
        <v>8</v>
      </c>
      <c r="B47" s="257" t="s">
        <v>446</v>
      </c>
      <c r="C47" s="260">
        <v>264</v>
      </c>
      <c r="D47" s="260">
        <v>216</v>
      </c>
      <c r="E47" s="260">
        <f t="shared" si="4"/>
        <v>-48</v>
      </c>
      <c r="F47" s="259">
        <f t="shared" si="5"/>
        <v>-0.18181818181818182</v>
      </c>
    </row>
    <row r="48" spans="1:6" ht="20.25" customHeight="1" x14ac:dyDescent="0.3">
      <c r="A48" s="256">
        <v>9</v>
      </c>
      <c r="B48" s="257" t="s">
        <v>447</v>
      </c>
      <c r="C48" s="260">
        <v>334</v>
      </c>
      <c r="D48" s="260">
        <v>134</v>
      </c>
      <c r="E48" s="260">
        <f t="shared" si="4"/>
        <v>-200</v>
      </c>
      <c r="F48" s="259">
        <f t="shared" si="5"/>
        <v>-0.59880239520958078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6003724</v>
      </c>
      <c r="D49" s="263">
        <f>+D40+D42</f>
        <v>6321354</v>
      </c>
      <c r="E49" s="263">
        <f t="shared" si="4"/>
        <v>317630</v>
      </c>
      <c r="F49" s="264">
        <f t="shared" si="5"/>
        <v>5.290549665507608E-2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2482798</v>
      </c>
      <c r="D50" s="263">
        <f>+D41+D43</f>
        <v>2111376</v>
      </c>
      <c r="E50" s="263">
        <f t="shared" si="4"/>
        <v>-371422</v>
      </c>
      <c r="F50" s="264">
        <f t="shared" si="5"/>
        <v>-0.14959815498481954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11681</v>
      </c>
      <c r="E55" s="258">
        <f t="shared" si="6"/>
        <v>11681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4</v>
      </c>
      <c r="E59" s="260">
        <f t="shared" si="6"/>
        <v>4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11681</v>
      </c>
      <c r="E62" s="263">
        <f t="shared" si="6"/>
        <v>11681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265934</v>
      </c>
      <c r="D66" s="258">
        <v>422487</v>
      </c>
      <c r="E66" s="258">
        <f t="shared" ref="E66:E76" si="8">D66-C66</f>
        <v>156553</v>
      </c>
      <c r="F66" s="259">
        <f t="shared" ref="F66:F76" si="9">IF(C66=0,0,E66/C66)</f>
        <v>0.58869117901434187</v>
      </c>
    </row>
    <row r="67" spans="1:6" ht="20.25" customHeight="1" x14ac:dyDescent="0.3">
      <c r="A67" s="256">
        <v>2</v>
      </c>
      <c r="B67" s="257" t="s">
        <v>442</v>
      </c>
      <c r="C67" s="258">
        <v>158011</v>
      </c>
      <c r="D67" s="258">
        <v>239121</v>
      </c>
      <c r="E67" s="258">
        <f t="shared" si="8"/>
        <v>81110</v>
      </c>
      <c r="F67" s="259">
        <f t="shared" si="9"/>
        <v>0.51331869300238586</v>
      </c>
    </row>
    <row r="68" spans="1:6" ht="20.25" customHeight="1" x14ac:dyDescent="0.3">
      <c r="A68" s="256">
        <v>3</v>
      </c>
      <c r="B68" s="257" t="s">
        <v>443</v>
      </c>
      <c r="C68" s="258">
        <v>653367</v>
      </c>
      <c r="D68" s="258">
        <v>704583</v>
      </c>
      <c r="E68" s="258">
        <f t="shared" si="8"/>
        <v>51216</v>
      </c>
      <c r="F68" s="259">
        <f t="shared" si="9"/>
        <v>7.8387797363503209E-2</v>
      </c>
    </row>
    <row r="69" spans="1:6" ht="20.25" customHeight="1" x14ac:dyDescent="0.3">
      <c r="A69" s="256">
        <v>4</v>
      </c>
      <c r="B69" s="257" t="s">
        <v>444</v>
      </c>
      <c r="C69" s="258">
        <v>141522</v>
      </c>
      <c r="D69" s="258">
        <v>125714</v>
      </c>
      <c r="E69" s="258">
        <f t="shared" si="8"/>
        <v>-15808</v>
      </c>
      <c r="F69" s="259">
        <f t="shared" si="9"/>
        <v>-0.11169994771130991</v>
      </c>
    </row>
    <row r="70" spans="1:6" ht="20.25" customHeight="1" x14ac:dyDescent="0.3">
      <c r="A70" s="256">
        <v>5</v>
      </c>
      <c r="B70" s="257" t="s">
        <v>381</v>
      </c>
      <c r="C70" s="260">
        <v>15</v>
      </c>
      <c r="D70" s="260">
        <v>28</v>
      </c>
      <c r="E70" s="260">
        <f t="shared" si="8"/>
        <v>13</v>
      </c>
      <c r="F70" s="259">
        <f t="shared" si="9"/>
        <v>0.8666666666666667</v>
      </c>
    </row>
    <row r="71" spans="1:6" ht="20.25" customHeight="1" x14ac:dyDescent="0.3">
      <c r="A71" s="256">
        <v>6</v>
      </c>
      <c r="B71" s="257" t="s">
        <v>380</v>
      </c>
      <c r="C71" s="260">
        <v>64</v>
      </c>
      <c r="D71" s="260">
        <v>112</v>
      </c>
      <c r="E71" s="260">
        <f t="shared" si="8"/>
        <v>48</v>
      </c>
      <c r="F71" s="259">
        <f t="shared" si="9"/>
        <v>0.75</v>
      </c>
    </row>
    <row r="72" spans="1:6" ht="20.25" customHeight="1" x14ac:dyDescent="0.3">
      <c r="A72" s="256">
        <v>7</v>
      </c>
      <c r="B72" s="257" t="s">
        <v>445</v>
      </c>
      <c r="C72" s="260">
        <v>644</v>
      </c>
      <c r="D72" s="260">
        <v>521</v>
      </c>
      <c r="E72" s="260">
        <f t="shared" si="8"/>
        <v>-123</v>
      </c>
      <c r="F72" s="259">
        <f t="shared" si="9"/>
        <v>-0.19099378881987578</v>
      </c>
    </row>
    <row r="73" spans="1:6" ht="20.25" customHeight="1" x14ac:dyDescent="0.3">
      <c r="A73" s="256">
        <v>8</v>
      </c>
      <c r="B73" s="257" t="s">
        <v>446</v>
      </c>
      <c r="C73" s="260">
        <v>86</v>
      </c>
      <c r="D73" s="260">
        <v>75</v>
      </c>
      <c r="E73" s="260">
        <f t="shared" si="8"/>
        <v>-11</v>
      </c>
      <c r="F73" s="259">
        <f t="shared" si="9"/>
        <v>-0.12790697674418605</v>
      </c>
    </row>
    <row r="74" spans="1:6" ht="20.25" customHeight="1" x14ac:dyDescent="0.3">
      <c r="A74" s="256">
        <v>9</v>
      </c>
      <c r="B74" s="257" t="s">
        <v>447</v>
      </c>
      <c r="C74" s="260">
        <v>40</v>
      </c>
      <c r="D74" s="260">
        <v>24</v>
      </c>
      <c r="E74" s="260">
        <f t="shared" si="8"/>
        <v>-16</v>
      </c>
      <c r="F74" s="259">
        <f t="shared" si="9"/>
        <v>-0.4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919301</v>
      </c>
      <c r="D75" s="263">
        <f>+D66+D68</f>
        <v>1127070</v>
      </c>
      <c r="E75" s="263">
        <f t="shared" si="8"/>
        <v>207769</v>
      </c>
      <c r="F75" s="264">
        <f t="shared" si="9"/>
        <v>0.22600758619864442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299533</v>
      </c>
      <c r="D76" s="263">
        <f>+D67+D69</f>
        <v>364835</v>
      </c>
      <c r="E76" s="263">
        <f t="shared" si="8"/>
        <v>65302</v>
      </c>
      <c r="F76" s="264">
        <f t="shared" si="9"/>
        <v>0.21801270644636819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57874</v>
      </c>
      <c r="D118" s="258">
        <v>348253</v>
      </c>
      <c r="E118" s="258">
        <f t="shared" ref="E118:E128" si="16">D118-C118</f>
        <v>290379</v>
      </c>
      <c r="F118" s="259">
        <f t="shared" ref="F118:F128" si="17">IF(C118=0,0,E118/C118)</f>
        <v>5.0174344265127688</v>
      </c>
    </row>
    <row r="119" spans="1:6" ht="20.25" customHeight="1" x14ac:dyDescent="0.3">
      <c r="A119" s="256">
        <v>2</v>
      </c>
      <c r="B119" s="257" t="s">
        <v>442</v>
      </c>
      <c r="C119" s="258">
        <v>33688</v>
      </c>
      <c r="D119" s="258">
        <v>186248</v>
      </c>
      <c r="E119" s="258">
        <f t="shared" si="16"/>
        <v>152560</v>
      </c>
      <c r="F119" s="259">
        <f t="shared" si="17"/>
        <v>4.5286155307527904</v>
      </c>
    </row>
    <row r="120" spans="1:6" ht="20.25" customHeight="1" x14ac:dyDescent="0.3">
      <c r="A120" s="256">
        <v>3</v>
      </c>
      <c r="B120" s="257" t="s">
        <v>443</v>
      </c>
      <c r="C120" s="258">
        <v>156445</v>
      </c>
      <c r="D120" s="258">
        <v>411250</v>
      </c>
      <c r="E120" s="258">
        <f t="shared" si="16"/>
        <v>254805</v>
      </c>
      <c r="F120" s="259">
        <f t="shared" si="17"/>
        <v>1.6287193582409154</v>
      </c>
    </row>
    <row r="121" spans="1:6" ht="20.25" customHeight="1" x14ac:dyDescent="0.3">
      <c r="A121" s="256">
        <v>4</v>
      </c>
      <c r="B121" s="257" t="s">
        <v>444</v>
      </c>
      <c r="C121" s="258">
        <v>33887</v>
      </c>
      <c r="D121" s="258">
        <v>92428</v>
      </c>
      <c r="E121" s="258">
        <f t="shared" si="16"/>
        <v>58541</v>
      </c>
      <c r="F121" s="259">
        <f t="shared" si="17"/>
        <v>1.72753563313365</v>
      </c>
    </row>
    <row r="122" spans="1:6" ht="20.25" customHeight="1" x14ac:dyDescent="0.3">
      <c r="A122" s="256">
        <v>5</v>
      </c>
      <c r="B122" s="257" t="s">
        <v>381</v>
      </c>
      <c r="C122" s="260">
        <v>3</v>
      </c>
      <c r="D122" s="260">
        <v>19</v>
      </c>
      <c r="E122" s="260">
        <f t="shared" si="16"/>
        <v>16</v>
      </c>
      <c r="F122" s="259">
        <f t="shared" si="17"/>
        <v>5.333333333333333</v>
      </c>
    </row>
    <row r="123" spans="1:6" ht="20.25" customHeight="1" x14ac:dyDescent="0.3">
      <c r="A123" s="256">
        <v>6</v>
      </c>
      <c r="B123" s="257" t="s">
        <v>380</v>
      </c>
      <c r="C123" s="260">
        <v>18</v>
      </c>
      <c r="D123" s="260">
        <v>92</v>
      </c>
      <c r="E123" s="260">
        <f t="shared" si="16"/>
        <v>74</v>
      </c>
      <c r="F123" s="259">
        <f t="shared" si="17"/>
        <v>4.1111111111111107</v>
      </c>
    </row>
    <row r="124" spans="1:6" ht="20.25" customHeight="1" x14ac:dyDescent="0.3">
      <c r="A124" s="256">
        <v>7</v>
      </c>
      <c r="B124" s="257" t="s">
        <v>445</v>
      </c>
      <c r="C124" s="260">
        <v>171</v>
      </c>
      <c r="D124" s="260">
        <v>276</v>
      </c>
      <c r="E124" s="260">
        <f t="shared" si="16"/>
        <v>105</v>
      </c>
      <c r="F124" s="259">
        <f t="shared" si="17"/>
        <v>0.61403508771929827</v>
      </c>
    </row>
    <row r="125" spans="1:6" ht="20.25" customHeight="1" x14ac:dyDescent="0.3">
      <c r="A125" s="256">
        <v>8</v>
      </c>
      <c r="B125" s="257" t="s">
        <v>446</v>
      </c>
      <c r="C125" s="260">
        <v>12</v>
      </c>
      <c r="D125" s="260">
        <v>26</v>
      </c>
      <c r="E125" s="260">
        <f t="shared" si="16"/>
        <v>14</v>
      </c>
      <c r="F125" s="259">
        <f t="shared" si="17"/>
        <v>1.1666666666666667</v>
      </c>
    </row>
    <row r="126" spans="1:6" ht="20.25" customHeight="1" x14ac:dyDescent="0.3">
      <c r="A126" s="256">
        <v>9</v>
      </c>
      <c r="B126" s="257" t="s">
        <v>447</v>
      </c>
      <c r="C126" s="260">
        <v>9</v>
      </c>
      <c r="D126" s="260">
        <v>19</v>
      </c>
      <c r="E126" s="260">
        <f t="shared" si="16"/>
        <v>10</v>
      </c>
      <c r="F126" s="259">
        <f t="shared" si="17"/>
        <v>1.1111111111111112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214319</v>
      </c>
      <c r="D127" s="263">
        <f>+D118+D120</f>
        <v>759503</v>
      </c>
      <c r="E127" s="263">
        <f t="shared" si="16"/>
        <v>545184</v>
      </c>
      <c r="F127" s="264">
        <f t="shared" si="17"/>
        <v>2.5437968635538613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67575</v>
      </c>
      <c r="D128" s="263">
        <f>+D119+D121</f>
        <v>278676</v>
      </c>
      <c r="E128" s="263">
        <f t="shared" si="16"/>
        <v>211101</v>
      </c>
      <c r="F128" s="264">
        <f t="shared" si="17"/>
        <v>3.1239511653718091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10564</v>
      </c>
      <c r="D131" s="258">
        <v>44685</v>
      </c>
      <c r="E131" s="258">
        <f t="shared" ref="E131:E141" si="18">D131-C131</f>
        <v>34121</v>
      </c>
      <c r="F131" s="259">
        <f t="shared" ref="F131:F141" si="19">IF(C131=0,0,E131/C131)</f>
        <v>3.2299318439984854</v>
      </c>
    </row>
    <row r="132" spans="1:6" ht="20.25" customHeight="1" x14ac:dyDescent="0.3">
      <c r="A132" s="256">
        <v>2</v>
      </c>
      <c r="B132" s="257" t="s">
        <v>442</v>
      </c>
      <c r="C132" s="258">
        <v>10564</v>
      </c>
      <c r="D132" s="258">
        <v>25292</v>
      </c>
      <c r="E132" s="258">
        <f t="shared" si="18"/>
        <v>14728</v>
      </c>
      <c r="F132" s="259">
        <f t="shared" si="19"/>
        <v>1.3941688754259751</v>
      </c>
    </row>
    <row r="133" spans="1:6" ht="20.25" customHeight="1" x14ac:dyDescent="0.3">
      <c r="A133" s="256">
        <v>3</v>
      </c>
      <c r="B133" s="257" t="s">
        <v>443</v>
      </c>
      <c r="C133" s="258">
        <v>22892</v>
      </c>
      <c r="D133" s="258">
        <v>4612</v>
      </c>
      <c r="E133" s="258">
        <f t="shared" si="18"/>
        <v>-18280</v>
      </c>
      <c r="F133" s="259">
        <f t="shared" si="19"/>
        <v>-0.79853223833653675</v>
      </c>
    </row>
    <row r="134" spans="1:6" ht="20.25" customHeight="1" x14ac:dyDescent="0.3">
      <c r="A134" s="256">
        <v>4</v>
      </c>
      <c r="B134" s="257" t="s">
        <v>444</v>
      </c>
      <c r="C134" s="258">
        <v>4959</v>
      </c>
      <c r="D134" s="258">
        <v>448</v>
      </c>
      <c r="E134" s="258">
        <f t="shared" si="18"/>
        <v>-4511</v>
      </c>
      <c r="F134" s="259">
        <f t="shared" si="19"/>
        <v>-0.90965920548497681</v>
      </c>
    </row>
    <row r="135" spans="1:6" ht="20.25" customHeight="1" x14ac:dyDescent="0.3">
      <c r="A135" s="256">
        <v>5</v>
      </c>
      <c r="B135" s="257" t="s">
        <v>381</v>
      </c>
      <c r="C135" s="260">
        <v>1</v>
      </c>
      <c r="D135" s="260">
        <v>3</v>
      </c>
      <c r="E135" s="260">
        <f t="shared" si="18"/>
        <v>2</v>
      </c>
      <c r="F135" s="259">
        <f t="shared" si="19"/>
        <v>2</v>
      </c>
    </row>
    <row r="136" spans="1:6" ht="20.25" customHeight="1" x14ac:dyDescent="0.3">
      <c r="A136" s="256">
        <v>6</v>
      </c>
      <c r="B136" s="257" t="s">
        <v>380</v>
      </c>
      <c r="C136" s="260">
        <v>4</v>
      </c>
      <c r="D136" s="260">
        <v>8</v>
      </c>
      <c r="E136" s="260">
        <f t="shared" si="18"/>
        <v>4</v>
      </c>
      <c r="F136" s="259">
        <f t="shared" si="19"/>
        <v>1</v>
      </c>
    </row>
    <row r="137" spans="1:6" ht="20.25" customHeight="1" x14ac:dyDescent="0.3">
      <c r="A137" s="256">
        <v>7</v>
      </c>
      <c r="B137" s="257" t="s">
        <v>445</v>
      </c>
      <c r="C137" s="260">
        <v>25</v>
      </c>
      <c r="D137" s="260">
        <v>2</v>
      </c>
      <c r="E137" s="260">
        <f t="shared" si="18"/>
        <v>-23</v>
      </c>
      <c r="F137" s="259">
        <f t="shared" si="19"/>
        <v>-0.92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2</v>
      </c>
      <c r="E138" s="260">
        <f t="shared" si="18"/>
        <v>2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2</v>
      </c>
      <c r="D139" s="260">
        <v>3</v>
      </c>
      <c r="E139" s="260">
        <f t="shared" si="18"/>
        <v>1</v>
      </c>
      <c r="F139" s="259">
        <f t="shared" si="19"/>
        <v>0.5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33456</v>
      </c>
      <c r="D140" s="263">
        <f>+D131+D133</f>
        <v>49297</v>
      </c>
      <c r="E140" s="263">
        <f t="shared" si="18"/>
        <v>15841</v>
      </c>
      <c r="F140" s="264">
        <f t="shared" si="19"/>
        <v>0.47348756575801054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15523</v>
      </c>
      <c r="D141" s="263">
        <f>+D132+D134</f>
        <v>25740</v>
      </c>
      <c r="E141" s="263">
        <f t="shared" si="18"/>
        <v>10217</v>
      </c>
      <c r="F141" s="264">
        <f t="shared" si="19"/>
        <v>0.65818462925980803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844489</v>
      </c>
      <c r="D144" s="258">
        <v>1445637</v>
      </c>
      <c r="E144" s="258">
        <f t="shared" ref="E144:E154" si="20">D144-C144</f>
        <v>601148</v>
      </c>
      <c r="F144" s="259">
        <f t="shared" ref="F144:F154" si="21">IF(C144=0,0,E144/C144)</f>
        <v>0.7118482301131217</v>
      </c>
    </row>
    <row r="145" spans="1:6" ht="20.25" customHeight="1" x14ac:dyDescent="0.3">
      <c r="A145" s="256">
        <v>2</v>
      </c>
      <c r="B145" s="257" t="s">
        <v>442</v>
      </c>
      <c r="C145" s="258">
        <v>498622</v>
      </c>
      <c r="D145" s="258">
        <v>787288</v>
      </c>
      <c r="E145" s="258">
        <f t="shared" si="20"/>
        <v>288666</v>
      </c>
      <c r="F145" s="259">
        <f t="shared" si="21"/>
        <v>0.5789275242568519</v>
      </c>
    </row>
    <row r="146" spans="1:6" ht="20.25" customHeight="1" x14ac:dyDescent="0.3">
      <c r="A146" s="256">
        <v>3</v>
      </c>
      <c r="B146" s="257" t="s">
        <v>443</v>
      </c>
      <c r="C146" s="258">
        <v>732269</v>
      </c>
      <c r="D146" s="258">
        <v>1058613</v>
      </c>
      <c r="E146" s="258">
        <f t="shared" si="20"/>
        <v>326344</v>
      </c>
      <c r="F146" s="259">
        <f t="shared" si="21"/>
        <v>0.44566136214970181</v>
      </c>
    </row>
    <row r="147" spans="1:6" ht="20.25" customHeight="1" x14ac:dyDescent="0.3">
      <c r="A147" s="256">
        <v>4</v>
      </c>
      <c r="B147" s="257" t="s">
        <v>444</v>
      </c>
      <c r="C147" s="258">
        <v>158612</v>
      </c>
      <c r="D147" s="258">
        <v>212878</v>
      </c>
      <c r="E147" s="258">
        <f t="shared" si="20"/>
        <v>54266</v>
      </c>
      <c r="F147" s="259">
        <f t="shared" si="21"/>
        <v>0.34213048193074924</v>
      </c>
    </row>
    <row r="148" spans="1:6" ht="20.25" customHeight="1" x14ac:dyDescent="0.3">
      <c r="A148" s="256">
        <v>5</v>
      </c>
      <c r="B148" s="257" t="s">
        <v>381</v>
      </c>
      <c r="C148" s="260">
        <v>40</v>
      </c>
      <c r="D148" s="260">
        <v>69</v>
      </c>
      <c r="E148" s="260">
        <f t="shared" si="20"/>
        <v>29</v>
      </c>
      <c r="F148" s="259">
        <f t="shared" si="21"/>
        <v>0.72499999999999998</v>
      </c>
    </row>
    <row r="149" spans="1:6" ht="20.25" customHeight="1" x14ac:dyDescent="0.3">
      <c r="A149" s="256">
        <v>6</v>
      </c>
      <c r="B149" s="257" t="s">
        <v>380</v>
      </c>
      <c r="C149" s="260">
        <v>288</v>
      </c>
      <c r="D149" s="260">
        <v>345</v>
      </c>
      <c r="E149" s="260">
        <f t="shared" si="20"/>
        <v>57</v>
      </c>
      <c r="F149" s="259">
        <f t="shared" si="21"/>
        <v>0.19791666666666666</v>
      </c>
    </row>
    <row r="150" spans="1:6" ht="20.25" customHeight="1" x14ac:dyDescent="0.3">
      <c r="A150" s="256">
        <v>7</v>
      </c>
      <c r="B150" s="257" t="s">
        <v>445</v>
      </c>
      <c r="C150" s="260">
        <v>695</v>
      </c>
      <c r="D150" s="260">
        <v>803</v>
      </c>
      <c r="E150" s="260">
        <f t="shared" si="20"/>
        <v>108</v>
      </c>
      <c r="F150" s="259">
        <f t="shared" si="21"/>
        <v>0.1553956834532374</v>
      </c>
    </row>
    <row r="151" spans="1:6" ht="20.25" customHeight="1" x14ac:dyDescent="0.3">
      <c r="A151" s="256">
        <v>8</v>
      </c>
      <c r="B151" s="257" t="s">
        <v>446</v>
      </c>
      <c r="C151" s="260">
        <v>95</v>
      </c>
      <c r="D151" s="260">
        <v>152</v>
      </c>
      <c r="E151" s="260">
        <f t="shared" si="20"/>
        <v>57</v>
      </c>
      <c r="F151" s="259">
        <f t="shared" si="21"/>
        <v>0.6</v>
      </c>
    </row>
    <row r="152" spans="1:6" ht="20.25" customHeight="1" x14ac:dyDescent="0.3">
      <c r="A152" s="256">
        <v>9</v>
      </c>
      <c r="B152" s="257" t="s">
        <v>447</v>
      </c>
      <c r="C152" s="260">
        <v>114</v>
      </c>
      <c r="D152" s="260">
        <v>65</v>
      </c>
      <c r="E152" s="260">
        <f t="shared" si="20"/>
        <v>-49</v>
      </c>
      <c r="F152" s="259">
        <f t="shared" si="21"/>
        <v>-0.42982456140350878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1576758</v>
      </c>
      <c r="D153" s="263">
        <f>+D144+D146</f>
        <v>2504250</v>
      </c>
      <c r="E153" s="263">
        <f t="shared" si="20"/>
        <v>927492</v>
      </c>
      <c r="F153" s="264">
        <f t="shared" si="21"/>
        <v>0.58822723588527848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657234</v>
      </c>
      <c r="D154" s="263">
        <f>+D145+D147</f>
        <v>1000166</v>
      </c>
      <c r="E154" s="263">
        <f t="shared" si="20"/>
        <v>342932</v>
      </c>
      <c r="F154" s="264">
        <f t="shared" si="21"/>
        <v>0.52178067476728229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1847400</v>
      </c>
      <c r="D183" s="258">
        <v>993793</v>
      </c>
      <c r="E183" s="258">
        <f t="shared" ref="E183:E193" si="26">D183-C183</f>
        <v>-853607</v>
      </c>
      <c r="F183" s="259">
        <f t="shared" ref="F183:F193" si="27">IF(C183=0,0,E183/C183)</f>
        <v>-0.46205856879939372</v>
      </c>
    </row>
    <row r="184" spans="1:6" ht="20.25" customHeight="1" x14ac:dyDescent="0.3">
      <c r="A184" s="256">
        <v>2</v>
      </c>
      <c r="B184" s="257" t="s">
        <v>442</v>
      </c>
      <c r="C184" s="258">
        <v>1085717</v>
      </c>
      <c r="D184" s="258">
        <v>489879</v>
      </c>
      <c r="E184" s="258">
        <f t="shared" si="26"/>
        <v>-595838</v>
      </c>
      <c r="F184" s="259">
        <f t="shared" si="27"/>
        <v>-0.54879678590277203</v>
      </c>
    </row>
    <row r="185" spans="1:6" ht="20.25" customHeight="1" x14ac:dyDescent="0.3">
      <c r="A185" s="256">
        <v>3</v>
      </c>
      <c r="B185" s="257" t="s">
        <v>443</v>
      </c>
      <c r="C185" s="258">
        <v>2067820</v>
      </c>
      <c r="D185" s="258">
        <v>1468621</v>
      </c>
      <c r="E185" s="258">
        <f t="shared" si="26"/>
        <v>-599199</v>
      </c>
      <c r="F185" s="259">
        <f t="shared" si="27"/>
        <v>-0.289773287810351</v>
      </c>
    </row>
    <row r="186" spans="1:6" ht="20.25" customHeight="1" x14ac:dyDescent="0.3">
      <c r="A186" s="256">
        <v>4</v>
      </c>
      <c r="B186" s="257" t="s">
        <v>444</v>
      </c>
      <c r="C186" s="258">
        <v>447887</v>
      </c>
      <c r="D186" s="258">
        <v>296431</v>
      </c>
      <c r="E186" s="258">
        <f t="shared" si="26"/>
        <v>-151456</v>
      </c>
      <c r="F186" s="259">
        <f t="shared" si="27"/>
        <v>-0.33815672256618301</v>
      </c>
    </row>
    <row r="187" spans="1:6" ht="20.25" customHeight="1" x14ac:dyDescent="0.3">
      <c r="A187" s="256">
        <v>5</v>
      </c>
      <c r="B187" s="257" t="s">
        <v>381</v>
      </c>
      <c r="C187" s="260">
        <v>104</v>
      </c>
      <c r="D187" s="260">
        <v>61</v>
      </c>
      <c r="E187" s="260">
        <f t="shared" si="26"/>
        <v>-43</v>
      </c>
      <c r="F187" s="259">
        <f t="shared" si="27"/>
        <v>-0.41346153846153844</v>
      </c>
    </row>
    <row r="188" spans="1:6" ht="20.25" customHeight="1" x14ac:dyDescent="0.3">
      <c r="A188" s="256">
        <v>6</v>
      </c>
      <c r="B188" s="257" t="s">
        <v>380</v>
      </c>
      <c r="C188" s="260">
        <v>606</v>
      </c>
      <c r="D188" s="260">
        <v>275</v>
      </c>
      <c r="E188" s="260">
        <f t="shared" si="26"/>
        <v>-331</v>
      </c>
      <c r="F188" s="259">
        <f t="shared" si="27"/>
        <v>-0.54620462046204621</v>
      </c>
    </row>
    <row r="189" spans="1:6" ht="20.25" customHeight="1" x14ac:dyDescent="0.3">
      <c r="A189" s="256">
        <v>7</v>
      </c>
      <c r="B189" s="257" t="s">
        <v>445</v>
      </c>
      <c r="C189" s="260">
        <v>2463</v>
      </c>
      <c r="D189" s="260">
        <v>1527</v>
      </c>
      <c r="E189" s="260">
        <f t="shared" si="26"/>
        <v>-936</v>
      </c>
      <c r="F189" s="259">
        <f t="shared" si="27"/>
        <v>-0.3800243605359318</v>
      </c>
    </row>
    <row r="190" spans="1:6" ht="20.25" customHeight="1" x14ac:dyDescent="0.3">
      <c r="A190" s="256">
        <v>8</v>
      </c>
      <c r="B190" s="257" t="s">
        <v>446</v>
      </c>
      <c r="C190" s="260">
        <v>305</v>
      </c>
      <c r="D190" s="260">
        <v>186</v>
      </c>
      <c r="E190" s="260">
        <f t="shared" si="26"/>
        <v>-119</v>
      </c>
      <c r="F190" s="259">
        <f t="shared" si="27"/>
        <v>-0.39016393442622949</v>
      </c>
    </row>
    <row r="191" spans="1:6" ht="20.25" customHeight="1" x14ac:dyDescent="0.3">
      <c r="A191" s="256">
        <v>9</v>
      </c>
      <c r="B191" s="257" t="s">
        <v>447</v>
      </c>
      <c r="C191" s="260">
        <v>287</v>
      </c>
      <c r="D191" s="260">
        <v>57</v>
      </c>
      <c r="E191" s="260">
        <f t="shared" si="26"/>
        <v>-230</v>
      </c>
      <c r="F191" s="259">
        <f t="shared" si="27"/>
        <v>-0.80139372822299648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3915220</v>
      </c>
      <c r="D192" s="263">
        <f>+D183+D185</f>
        <v>2462414</v>
      </c>
      <c r="E192" s="263">
        <f t="shared" si="26"/>
        <v>-1452806</v>
      </c>
      <c r="F192" s="264">
        <f t="shared" si="27"/>
        <v>-0.37106624915075015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1533604</v>
      </c>
      <c r="D193" s="263">
        <f>+D184+D186</f>
        <v>786310</v>
      </c>
      <c r="E193" s="263">
        <f t="shared" si="26"/>
        <v>-747294</v>
      </c>
      <c r="F193" s="264">
        <f t="shared" si="27"/>
        <v>-0.48727963672499552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6084216</v>
      </c>
      <c r="D198" s="263">
        <f t="shared" si="28"/>
        <v>6567170</v>
      </c>
      <c r="E198" s="263">
        <f t="shared" ref="E198:E208" si="29">D198-C198</f>
        <v>482954</v>
      </c>
      <c r="F198" s="273">
        <f t="shared" ref="F198:F208" si="30">IF(C198=0,0,E198/C198)</f>
        <v>7.9378181182259144E-2</v>
      </c>
    </row>
    <row r="199" spans="1:9" ht="20.25" customHeight="1" x14ac:dyDescent="0.3">
      <c r="A199" s="271"/>
      <c r="B199" s="272" t="s">
        <v>466</v>
      </c>
      <c r="C199" s="263">
        <f t="shared" si="28"/>
        <v>3705836</v>
      </c>
      <c r="D199" s="263">
        <f t="shared" si="28"/>
        <v>3346918</v>
      </c>
      <c r="E199" s="263">
        <f t="shared" si="29"/>
        <v>-358918</v>
      </c>
      <c r="F199" s="273">
        <f t="shared" si="30"/>
        <v>-9.685210030881021E-2</v>
      </c>
    </row>
    <row r="200" spans="1:9" ht="20.25" customHeight="1" x14ac:dyDescent="0.3">
      <c r="A200" s="271"/>
      <c r="B200" s="272" t="s">
        <v>467</v>
      </c>
      <c r="C200" s="263">
        <f t="shared" si="28"/>
        <v>7012100</v>
      </c>
      <c r="D200" s="263">
        <f t="shared" si="28"/>
        <v>7060199</v>
      </c>
      <c r="E200" s="263">
        <f t="shared" si="29"/>
        <v>48099</v>
      </c>
      <c r="F200" s="273">
        <f t="shared" si="30"/>
        <v>6.8594287018154329E-3</v>
      </c>
    </row>
    <row r="201" spans="1:9" ht="20.25" customHeight="1" x14ac:dyDescent="0.3">
      <c r="A201" s="271"/>
      <c r="B201" s="272" t="s">
        <v>468</v>
      </c>
      <c r="C201" s="263">
        <f t="shared" si="28"/>
        <v>1512586</v>
      </c>
      <c r="D201" s="263">
        <f t="shared" si="28"/>
        <v>1427302</v>
      </c>
      <c r="E201" s="263">
        <f t="shared" si="29"/>
        <v>-85284</v>
      </c>
      <c r="F201" s="273">
        <f t="shared" si="30"/>
        <v>-5.6382909798186678E-2</v>
      </c>
    </row>
    <row r="202" spans="1:9" ht="20.25" customHeight="1" x14ac:dyDescent="0.3">
      <c r="A202" s="271"/>
      <c r="B202" s="272" t="s">
        <v>138</v>
      </c>
      <c r="C202" s="274">
        <f t="shared" si="28"/>
        <v>317</v>
      </c>
      <c r="D202" s="274">
        <f t="shared" si="28"/>
        <v>346</v>
      </c>
      <c r="E202" s="274">
        <f t="shared" si="29"/>
        <v>29</v>
      </c>
      <c r="F202" s="273">
        <f t="shared" si="30"/>
        <v>9.1482649842271294E-2</v>
      </c>
    </row>
    <row r="203" spans="1:9" ht="20.25" customHeight="1" x14ac:dyDescent="0.3">
      <c r="A203" s="271"/>
      <c r="B203" s="272" t="s">
        <v>140</v>
      </c>
      <c r="C203" s="274">
        <f t="shared" si="28"/>
        <v>1740</v>
      </c>
      <c r="D203" s="274">
        <f t="shared" si="28"/>
        <v>1698</v>
      </c>
      <c r="E203" s="274">
        <f t="shared" si="29"/>
        <v>-42</v>
      </c>
      <c r="F203" s="273">
        <f t="shared" si="30"/>
        <v>-2.4137931034482758E-2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7392</v>
      </c>
      <c r="D204" s="274">
        <f t="shared" si="28"/>
        <v>5846</v>
      </c>
      <c r="E204" s="274">
        <f t="shared" si="29"/>
        <v>-1546</v>
      </c>
      <c r="F204" s="273">
        <f t="shared" si="30"/>
        <v>-0.20914502164502163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783</v>
      </c>
      <c r="D205" s="274">
        <f t="shared" si="28"/>
        <v>687</v>
      </c>
      <c r="E205" s="274">
        <f t="shared" si="29"/>
        <v>-96</v>
      </c>
      <c r="F205" s="273">
        <f t="shared" si="30"/>
        <v>-0.12260536398467432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810</v>
      </c>
      <c r="D206" s="274">
        <f t="shared" si="28"/>
        <v>316</v>
      </c>
      <c r="E206" s="274">
        <f t="shared" si="29"/>
        <v>-494</v>
      </c>
      <c r="F206" s="273">
        <f t="shared" si="30"/>
        <v>-0.6098765432098765</v>
      </c>
    </row>
    <row r="207" spans="1:9" ht="20.25" customHeight="1" x14ac:dyDescent="0.3">
      <c r="A207" s="271"/>
      <c r="B207" s="262" t="s">
        <v>471</v>
      </c>
      <c r="C207" s="263">
        <f>+C198+C200</f>
        <v>13096316</v>
      </c>
      <c r="D207" s="263">
        <f>+D198+D200</f>
        <v>13627369</v>
      </c>
      <c r="E207" s="263">
        <f t="shared" si="29"/>
        <v>531053</v>
      </c>
      <c r="F207" s="273">
        <f t="shared" si="30"/>
        <v>4.0549800417155481E-2</v>
      </c>
    </row>
    <row r="208" spans="1:9" ht="20.25" customHeight="1" x14ac:dyDescent="0.3">
      <c r="A208" s="271"/>
      <c r="B208" s="262" t="s">
        <v>472</v>
      </c>
      <c r="C208" s="263">
        <f>+C199+C201</f>
        <v>5218422</v>
      </c>
      <c r="D208" s="263">
        <f>+D199+D201</f>
        <v>4774220</v>
      </c>
      <c r="E208" s="263">
        <f t="shared" si="29"/>
        <v>-444202</v>
      </c>
      <c r="F208" s="273">
        <f t="shared" si="30"/>
        <v>-8.512190083515668E-2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420834</v>
      </c>
      <c r="D26" s="258">
        <v>0</v>
      </c>
      <c r="E26" s="258">
        <f t="shared" ref="E26:E36" si="2">D26-C26</f>
        <v>-420834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190634</v>
      </c>
      <c r="D27" s="258">
        <v>0</v>
      </c>
      <c r="E27" s="258">
        <f t="shared" si="2"/>
        <v>-190634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2345099</v>
      </c>
      <c r="D28" s="258">
        <v>0</v>
      </c>
      <c r="E28" s="258">
        <f t="shared" si="2"/>
        <v>-2345099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578148</v>
      </c>
      <c r="D29" s="258">
        <v>0</v>
      </c>
      <c r="E29" s="258">
        <f t="shared" si="2"/>
        <v>-578148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55</v>
      </c>
      <c r="D30" s="260">
        <v>0</v>
      </c>
      <c r="E30" s="260">
        <f t="shared" si="2"/>
        <v>-55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134</v>
      </c>
      <c r="D31" s="260">
        <v>0</v>
      </c>
      <c r="E31" s="260">
        <f t="shared" si="2"/>
        <v>-134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1660</v>
      </c>
      <c r="D32" s="260">
        <v>0</v>
      </c>
      <c r="E32" s="260">
        <f t="shared" si="2"/>
        <v>-1660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1388</v>
      </c>
      <c r="D33" s="260">
        <v>0</v>
      </c>
      <c r="E33" s="260">
        <f t="shared" si="2"/>
        <v>-1388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51</v>
      </c>
      <c r="D34" s="260">
        <v>0</v>
      </c>
      <c r="E34" s="260">
        <f t="shared" si="2"/>
        <v>-51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2765933</v>
      </c>
      <c r="D35" s="263">
        <f>+D26+D28</f>
        <v>0</v>
      </c>
      <c r="E35" s="263">
        <f t="shared" si="2"/>
        <v>-2765933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768782</v>
      </c>
      <c r="D36" s="263">
        <f>+D27+D29</f>
        <v>0</v>
      </c>
      <c r="E36" s="263">
        <f t="shared" si="2"/>
        <v>-768782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138268</v>
      </c>
      <c r="D86" s="258">
        <v>0</v>
      </c>
      <c r="E86" s="258">
        <f t="shared" ref="E86:E96" si="12">D86-C86</f>
        <v>-138268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47488</v>
      </c>
      <c r="D87" s="258">
        <v>0</v>
      </c>
      <c r="E87" s="258">
        <f t="shared" si="12"/>
        <v>-47488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377267</v>
      </c>
      <c r="D88" s="258">
        <v>0</v>
      </c>
      <c r="E88" s="258">
        <f t="shared" si="12"/>
        <v>-377267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93554</v>
      </c>
      <c r="D89" s="258">
        <v>0</v>
      </c>
      <c r="E89" s="258">
        <f t="shared" si="12"/>
        <v>-93554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9</v>
      </c>
      <c r="D90" s="260">
        <v>0</v>
      </c>
      <c r="E90" s="260">
        <f t="shared" si="12"/>
        <v>-9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40</v>
      </c>
      <c r="D91" s="260">
        <v>0</v>
      </c>
      <c r="E91" s="260">
        <f t="shared" si="12"/>
        <v>-40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330</v>
      </c>
      <c r="D92" s="260">
        <v>0</v>
      </c>
      <c r="E92" s="260">
        <f t="shared" si="12"/>
        <v>-330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213</v>
      </c>
      <c r="D93" s="260">
        <v>0</v>
      </c>
      <c r="E93" s="260">
        <f t="shared" si="12"/>
        <v>-213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8</v>
      </c>
      <c r="D94" s="260">
        <v>0</v>
      </c>
      <c r="E94" s="260">
        <f t="shared" si="12"/>
        <v>-8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515535</v>
      </c>
      <c r="D95" s="263">
        <f>+D86+D88</f>
        <v>0</v>
      </c>
      <c r="E95" s="263">
        <f t="shared" si="12"/>
        <v>-515535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141042</v>
      </c>
      <c r="D96" s="263">
        <f>+D87+D89</f>
        <v>0</v>
      </c>
      <c r="E96" s="263">
        <f t="shared" si="12"/>
        <v>-141042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134472</v>
      </c>
      <c r="D98" s="258">
        <v>0</v>
      </c>
      <c r="E98" s="258">
        <f t="shared" ref="E98:E108" si="14">D98-C98</f>
        <v>-134472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52865</v>
      </c>
      <c r="D99" s="258">
        <v>0</v>
      </c>
      <c r="E99" s="258">
        <f t="shared" si="14"/>
        <v>-52865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596240</v>
      </c>
      <c r="D100" s="258">
        <v>0</v>
      </c>
      <c r="E100" s="258">
        <f t="shared" si="14"/>
        <v>-596240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147855</v>
      </c>
      <c r="D101" s="258">
        <v>0</v>
      </c>
      <c r="E101" s="258">
        <f t="shared" si="14"/>
        <v>-147855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17</v>
      </c>
      <c r="D102" s="260">
        <v>0</v>
      </c>
      <c r="E102" s="260">
        <f t="shared" si="14"/>
        <v>-17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45</v>
      </c>
      <c r="D103" s="260">
        <v>0</v>
      </c>
      <c r="E103" s="260">
        <f t="shared" si="14"/>
        <v>-45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397</v>
      </c>
      <c r="D104" s="260">
        <v>0</v>
      </c>
      <c r="E104" s="260">
        <f t="shared" si="14"/>
        <v>-397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363</v>
      </c>
      <c r="D105" s="260">
        <v>0</v>
      </c>
      <c r="E105" s="260">
        <f t="shared" si="14"/>
        <v>-363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36</v>
      </c>
      <c r="D106" s="260">
        <v>0</v>
      </c>
      <c r="E106" s="260">
        <f t="shared" si="14"/>
        <v>-36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730712</v>
      </c>
      <c r="D107" s="263">
        <f>+D98+D100</f>
        <v>0</v>
      </c>
      <c r="E107" s="263">
        <f t="shared" si="14"/>
        <v>-730712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200720</v>
      </c>
      <c r="D108" s="263">
        <f>+D99+D101</f>
        <v>0</v>
      </c>
      <c r="E108" s="263">
        <f t="shared" si="14"/>
        <v>-200720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693574</v>
      </c>
      <c r="D112" s="263">
        <f t="shared" si="16"/>
        <v>0</v>
      </c>
      <c r="E112" s="263">
        <f t="shared" ref="E112:E122" si="17">D112-C112</f>
        <v>-693574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290987</v>
      </c>
      <c r="D113" s="263">
        <f t="shared" si="16"/>
        <v>0</v>
      </c>
      <c r="E113" s="263">
        <f t="shared" si="17"/>
        <v>-290987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3318606</v>
      </c>
      <c r="D114" s="263">
        <f t="shared" si="16"/>
        <v>0</v>
      </c>
      <c r="E114" s="263">
        <f t="shared" si="17"/>
        <v>-3318606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819557</v>
      </c>
      <c r="D115" s="263">
        <f t="shared" si="16"/>
        <v>0</v>
      </c>
      <c r="E115" s="263">
        <f t="shared" si="17"/>
        <v>-819557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81</v>
      </c>
      <c r="D116" s="287">
        <f t="shared" si="16"/>
        <v>0</v>
      </c>
      <c r="E116" s="287">
        <f t="shared" si="17"/>
        <v>-81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219</v>
      </c>
      <c r="D117" s="287">
        <f t="shared" si="16"/>
        <v>0</v>
      </c>
      <c r="E117" s="287">
        <f t="shared" si="17"/>
        <v>-219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2387</v>
      </c>
      <c r="D118" s="287">
        <f t="shared" si="16"/>
        <v>0</v>
      </c>
      <c r="E118" s="287">
        <f t="shared" si="17"/>
        <v>-2387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1964</v>
      </c>
      <c r="D119" s="287">
        <f t="shared" si="16"/>
        <v>0</v>
      </c>
      <c r="E119" s="287">
        <f t="shared" si="17"/>
        <v>-1964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95</v>
      </c>
      <c r="D120" s="287">
        <f t="shared" si="16"/>
        <v>0</v>
      </c>
      <c r="E120" s="287">
        <f t="shared" si="17"/>
        <v>-95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4012180</v>
      </c>
      <c r="D121" s="263">
        <f>+D112+D114</f>
        <v>0</v>
      </c>
      <c r="E121" s="263">
        <f t="shared" si="17"/>
        <v>-4012180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1110544</v>
      </c>
      <c r="D122" s="263">
        <f>+D113+D115</f>
        <v>0</v>
      </c>
      <c r="E122" s="263">
        <f t="shared" si="17"/>
        <v>-1110544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500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4122969</v>
      </c>
      <c r="D13" s="22">
        <v>7575725</v>
      </c>
      <c r="E13" s="22">
        <f t="shared" ref="E13:E22" si="0">D13-C13</f>
        <v>3452756</v>
      </c>
      <c r="F13" s="306">
        <f t="shared" ref="F13:F22" si="1">IF(C13=0,0,E13/C13)</f>
        <v>0.83744408459049779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20670040</v>
      </c>
      <c r="D15" s="22">
        <v>11889554</v>
      </c>
      <c r="E15" s="22">
        <f t="shared" si="0"/>
        <v>-8780486</v>
      </c>
      <c r="F15" s="306">
        <f t="shared" si="1"/>
        <v>-0.42479288864462766</v>
      </c>
    </row>
    <row r="16" spans="1:8" ht="35.1" customHeight="1" x14ac:dyDescent="0.2">
      <c r="A16" s="304">
        <v>4</v>
      </c>
      <c r="B16" s="305" t="s">
        <v>19</v>
      </c>
      <c r="C16" s="22">
        <v>654986</v>
      </c>
      <c r="D16" s="22">
        <v>560838</v>
      </c>
      <c r="E16" s="22">
        <f t="shared" si="0"/>
        <v>-94148</v>
      </c>
      <c r="F16" s="306">
        <f t="shared" si="1"/>
        <v>-0.14374047689568936</v>
      </c>
    </row>
    <row r="17" spans="1:11" ht="24" customHeight="1" x14ac:dyDescent="0.2">
      <c r="A17" s="304">
        <v>5</v>
      </c>
      <c r="B17" s="305" t="s">
        <v>20</v>
      </c>
      <c r="C17" s="22">
        <v>715820</v>
      </c>
      <c r="D17" s="22">
        <v>1047418</v>
      </c>
      <c r="E17" s="22">
        <f t="shared" si="0"/>
        <v>331598</v>
      </c>
      <c r="F17" s="306">
        <f t="shared" si="1"/>
        <v>0.46324215584923584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1105978</v>
      </c>
      <c r="D19" s="22">
        <v>1150602</v>
      </c>
      <c r="E19" s="22">
        <f t="shared" si="0"/>
        <v>44624</v>
      </c>
      <c r="F19" s="306">
        <f t="shared" si="1"/>
        <v>4.034799968896307E-2</v>
      </c>
    </row>
    <row r="20" spans="1:11" ht="24" customHeight="1" x14ac:dyDescent="0.2">
      <c r="A20" s="304">
        <v>8</v>
      </c>
      <c r="B20" s="305" t="s">
        <v>23</v>
      </c>
      <c r="C20" s="22">
        <v>147588</v>
      </c>
      <c r="D20" s="22">
        <v>315818</v>
      </c>
      <c r="E20" s="22">
        <f t="shared" si="0"/>
        <v>168230</v>
      </c>
      <c r="F20" s="306">
        <f t="shared" si="1"/>
        <v>1.1398623194297639</v>
      </c>
    </row>
    <row r="21" spans="1:11" ht="24" customHeight="1" x14ac:dyDescent="0.2">
      <c r="A21" s="304">
        <v>9</v>
      </c>
      <c r="B21" s="305" t="s">
        <v>24</v>
      </c>
      <c r="C21" s="22">
        <v>3680517</v>
      </c>
      <c r="D21" s="22">
        <v>4188643</v>
      </c>
      <c r="E21" s="22">
        <f t="shared" si="0"/>
        <v>508126</v>
      </c>
      <c r="F21" s="306">
        <f t="shared" si="1"/>
        <v>0.13805832169773974</v>
      </c>
    </row>
    <row r="22" spans="1:11" ht="24" customHeight="1" x14ac:dyDescent="0.25">
      <c r="A22" s="307"/>
      <c r="B22" s="308" t="s">
        <v>25</v>
      </c>
      <c r="C22" s="309">
        <f>SUM(C13:C21)</f>
        <v>31097898</v>
      </c>
      <c r="D22" s="309">
        <f>SUM(D13:D21)</f>
        <v>26728598</v>
      </c>
      <c r="E22" s="309">
        <f t="shared" si="0"/>
        <v>-4369300</v>
      </c>
      <c r="F22" s="310">
        <f t="shared" si="1"/>
        <v>-0.14050145768694719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2831893</v>
      </c>
      <c r="D25" s="22">
        <v>3030775</v>
      </c>
      <c r="E25" s="22">
        <f>D25-C25</f>
        <v>198882</v>
      </c>
      <c r="F25" s="306">
        <f>IF(C25=0,0,E25/C25)</f>
        <v>7.02293483546165E-2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1439934</v>
      </c>
      <c r="D27" s="22">
        <v>1439934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1597574</v>
      </c>
      <c r="D28" s="22">
        <v>1989169</v>
      </c>
      <c r="E28" s="22">
        <f>D28-C28</f>
        <v>391595</v>
      </c>
      <c r="F28" s="306">
        <f>IF(C28=0,0,E28/C28)</f>
        <v>0.24511853598017994</v>
      </c>
    </row>
    <row r="29" spans="1:11" ht="35.1" customHeight="1" x14ac:dyDescent="0.25">
      <c r="A29" s="307"/>
      <c r="B29" s="308" t="s">
        <v>32</v>
      </c>
      <c r="C29" s="309">
        <f>SUM(C25:C28)</f>
        <v>5869401</v>
      </c>
      <c r="D29" s="309">
        <f>SUM(D25:D28)</f>
        <v>6459878</v>
      </c>
      <c r="E29" s="309">
        <f>D29-C29</f>
        <v>590477</v>
      </c>
      <c r="F29" s="310">
        <f>IF(C29=0,0,E29/C29)</f>
        <v>0.10060259982236688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406468</v>
      </c>
      <c r="D32" s="22">
        <v>378132</v>
      </c>
      <c r="E32" s="22">
        <f>D32-C32</f>
        <v>-28336</v>
      </c>
      <c r="F32" s="306">
        <f>IF(C32=0,0,E32/C32)</f>
        <v>-6.9712744914728841E-2</v>
      </c>
    </row>
    <row r="33" spans="1:8" ht="24" customHeight="1" x14ac:dyDescent="0.2">
      <c r="A33" s="304">
        <v>7</v>
      </c>
      <c r="B33" s="305" t="s">
        <v>35</v>
      </c>
      <c r="C33" s="22">
        <v>3123242</v>
      </c>
      <c r="D33" s="22">
        <v>2434811</v>
      </c>
      <c r="E33" s="22">
        <f>D33-C33</f>
        <v>-688431</v>
      </c>
      <c r="F33" s="306">
        <f>IF(C33=0,0,E33/C33)</f>
        <v>-0.22042192055562779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104401288</v>
      </c>
      <c r="D36" s="22">
        <v>117975072</v>
      </c>
      <c r="E36" s="22">
        <f>D36-C36</f>
        <v>13573784</v>
      </c>
      <c r="F36" s="306">
        <f>IF(C36=0,0,E36/C36)</f>
        <v>0.13001548410015784</v>
      </c>
    </row>
    <row r="37" spans="1:8" ht="24" customHeight="1" x14ac:dyDescent="0.2">
      <c r="A37" s="304">
        <v>2</v>
      </c>
      <c r="B37" s="305" t="s">
        <v>39</v>
      </c>
      <c r="C37" s="22">
        <v>70034957</v>
      </c>
      <c r="D37" s="22">
        <v>74173393</v>
      </c>
      <c r="E37" s="22">
        <f>D37-C37</f>
        <v>4138436</v>
      </c>
      <c r="F37" s="22">
        <f>IF(C37=0,0,E37/C37)</f>
        <v>5.9091005081933587E-2</v>
      </c>
    </row>
    <row r="38" spans="1:8" ht="24" customHeight="1" x14ac:dyDescent="0.25">
      <c r="A38" s="307"/>
      <c r="B38" s="308" t="s">
        <v>40</v>
      </c>
      <c r="C38" s="309">
        <f>C36-C37</f>
        <v>34366331</v>
      </c>
      <c r="D38" s="309">
        <f>D36-D37</f>
        <v>43801679</v>
      </c>
      <c r="E38" s="309">
        <f>D38-C38</f>
        <v>9435348</v>
      </c>
      <c r="F38" s="310">
        <f>IF(C38=0,0,E38/C38)</f>
        <v>0.27455208995106284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5279793</v>
      </c>
      <c r="D40" s="22">
        <v>346011</v>
      </c>
      <c r="E40" s="22">
        <f>D40-C40</f>
        <v>-4933782</v>
      </c>
      <c r="F40" s="306">
        <f>IF(C40=0,0,E40/C40)</f>
        <v>-0.93446504436821676</v>
      </c>
    </row>
    <row r="41" spans="1:8" ht="24" customHeight="1" x14ac:dyDescent="0.25">
      <c r="A41" s="307"/>
      <c r="B41" s="308" t="s">
        <v>42</v>
      </c>
      <c r="C41" s="309">
        <f>+C38+C40</f>
        <v>39646124</v>
      </c>
      <c r="D41" s="309">
        <f>+D38+D40</f>
        <v>44147690</v>
      </c>
      <c r="E41" s="309">
        <f>D41-C41</f>
        <v>4501566</v>
      </c>
      <c r="F41" s="310">
        <f>IF(C41=0,0,E41/C41)</f>
        <v>0.11354365940034895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80143133</v>
      </c>
      <c r="D43" s="309">
        <f>D22+D29+D31+D32+D33+D41</f>
        <v>80149109</v>
      </c>
      <c r="E43" s="309">
        <f>D43-C43</f>
        <v>5976</v>
      </c>
      <c r="F43" s="310">
        <f>IF(C43=0,0,E43/C43)</f>
        <v>7.4566588256538455E-5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10158204</v>
      </c>
      <c r="D49" s="22">
        <v>4524108</v>
      </c>
      <c r="E49" s="22">
        <f t="shared" ref="E49:E56" si="2">D49-C49</f>
        <v>-5634096</v>
      </c>
      <c r="F49" s="306">
        <f t="shared" ref="F49:F56" si="3">IF(C49=0,0,E49/C49)</f>
        <v>-0.55463505162920534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1194930</v>
      </c>
      <c r="D50" s="22">
        <v>2012866</v>
      </c>
      <c r="E50" s="22">
        <f t="shared" si="2"/>
        <v>817936</v>
      </c>
      <c r="F50" s="306">
        <f t="shared" si="3"/>
        <v>0.68450536851531052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1499004</v>
      </c>
      <c r="D51" s="22">
        <v>1340072</v>
      </c>
      <c r="E51" s="22">
        <f t="shared" si="2"/>
        <v>-158932</v>
      </c>
      <c r="F51" s="306">
        <f t="shared" si="3"/>
        <v>-0.10602506731136141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1134172</v>
      </c>
      <c r="E52" s="22">
        <f t="shared" si="2"/>
        <v>1134172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11163890</v>
      </c>
      <c r="D53" s="22">
        <v>15681512</v>
      </c>
      <c r="E53" s="22">
        <f t="shared" si="2"/>
        <v>4517622</v>
      </c>
      <c r="F53" s="306">
        <f t="shared" si="3"/>
        <v>0.40466378654752061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173906</v>
      </c>
      <c r="D54" s="22">
        <v>59406</v>
      </c>
      <c r="E54" s="22">
        <f t="shared" si="2"/>
        <v>-114500</v>
      </c>
      <c r="F54" s="306">
        <f t="shared" si="3"/>
        <v>-0.65840166526744337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8955163</v>
      </c>
      <c r="D55" s="22">
        <v>5090126</v>
      </c>
      <c r="E55" s="22">
        <f t="shared" si="2"/>
        <v>-3865037</v>
      </c>
      <c r="F55" s="306">
        <f t="shared" si="3"/>
        <v>-0.431598732485383</v>
      </c>
    </row>
    <row r="56" spans="1:6" ht="24" customHeight="1" x14ac:dyDescent="0.25">
      <c r="A56" s="307"/>
      <c r="B56" s="308" t="s">
        <v>54</v>
      </c>
      <c r="C56" s="309">
        <f>SUM(C49:C55)</f>
        <v>33145097</v>
      </c>
      <c r="D56" s="309">
        <f>SUM(D49:D55)</f>
        <v>29842262</v>
      </c>
      <c r="E56" s="309">
        <f t="shared" si="2"/>
        <v>-3302835</v>
      </c>
      <c r="F56" s="310">
        <f t="shared" si="3"/>
        <v>-9.9647769925066146E-2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19376083</v>
      </c>
      <c r="D59" s="22">
        <v>19355130</v>
      </c>
      <c r="E59" s="22">
        <f>D59-C59</f>
        <v>-20953</v>
      </c>
      <c r="F59" s="306">
        <f>IF(C59=0,0,E59/C59)</f>
        <v>-1.081384715373071E-3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19376083</v>
      </c>
      <c r="D61" s="309">
        <f>SUM(D59:D60)</f>
        <v>19355130</v>
      </c>
      <c r="E61" s="309">
        <f>D61-C61</f>
        <v>-20953</v>
      </c>
      <c r="F61" s="310">
        <f>IF(C61=0,0,E61/C61)</f>
        <v>-1.081384715373071E-3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64662899</v>
      </c>
      <c r="D63" s="22">
        <v>26560346</v>
      </c>
      <c r="E63" s="22">
        <f>D63-C63</f>
        <v>-38102553</v>
      </c>
      <c r="F63" s="306">
        <f>IF(C63=0,0,E63/C63)</f>
        <v>-0.58924906846505598</v>
      </c>
    </row>
    <row r="64" spans="1:6" ht="24" customHeight="1" x14ac:dyDescent="0.2">
      <c r="A64" s="304">
        <v>4</v>
      </c>
      <c r="B64" s="305" t="s">
        <v>60</v>
      </c>
      <c r="C64" s="22">
        <v>5482001</v>
      </c>
      <c r="D64" s="22">
        <v>11840828</v>
      </c>
      <c r="E64" s="22">
        <f>D64-C64</f>
        <v>6358827</v>
      </c>
      <c r="F64" s="306">
        <f>IF(C64=0,0,E64/C64)</f>
        <v>1.1599463407613388</v>
      </c>
    </row>
    <row r="65" spans="1:6" ht="24" customHeight="1" x14ac:dyDescent="0.25">
      <c r="A65" s="307"/>
      <c r="B65" s="308" t="s">
        <v>61</v>
      </c>
      <c r="C65" s="309">
        <f>SUM(C61:C64)</f>
        <v>89520983</v>
      </c>
      <c r="D65" s="309">
        <f>SUM(D61:D64)</f>
        <v>57756304</v>
      </c>
      <c r="E65" s="309">
        <f>D65-C65</f>
        <v>-31764679</v>
      </c>
      <c r="F65" s="310">
        <f>IF(C65=0,0,E65/C65)</f>
        <v>-0.35482942585650562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-47943489</v>
      </c>
      <c r="D70" s="22">
        <v>-13430049</v>
      </c>
      <c r="E70" s="22">
        <f>D70-C70</f>
        <v>34513440</v>
      </c>
      <c r="F70" s="306">
        <f>IF(C70=0,0,E70/C70)</f>
        <v>-0.71987752080371126</v>
      </c>
    </row>
    <row r="71" spans="1:6" ht="24" customHeight="1" x14ac:dyDescent="0.2">
      <c r="A71" s="304">
        <v>2</v>
      </c>
      <c r="B71" s="305" t="s">
        <v>65</v>
      </c>
      <c r="C71" s="22">
        <v>1453029</v>
      </c>
      <c r="D71" s="22">
        <v>1786651</v>
      </c>
      <c r="E71" s="22">
        <f>D71-C71</f>
        <v>333622</v>
      </c>
      <c r="F71" s="306">
        <f>IF(C71=0,0,E71/C71)</f>
        <v>0.2296045020436619</v>
      </c>
    </row>
    <row r="72" spans="1:6" ht="24" customHeight="1" x14ac:dyDescent="0.2">
      <c r="A72" s="304">
        <v>3</v>
      </c>
      <c r="B72" s="305" t="s">
        <v>66</v>
      </c>
      <c r="C72" s="22">
        <v>3967513</v>
      </c>
      <c r="D72" s="22">
        <v>4193941</v>
      </c>
      <c r="E72" s="22">
        <f>D72-C72</f>
        <v>226428</v>
      </c>
      <c r="F72" s="306">
        <f>IF(C72=0,0,E72/C72)</f>
        <v>5.7070512434363792E-2</v>
      </c>
    </row>
    <row r="73" spans="1:6" ht="24" customHeight="1" x14ac:dyDescent="0.25">
      <c r="A73" s="304"/>
      <c r="B73" s="308" t="s">
        <v>67</v>
      </c>
      <c r="C73" s="309">
        <f>SUM(C70:C72)</f>
        <v>-42522947</v>
      </c>
      <c r="D73" s="309">
        <f>SUM(D70:D72)</f>
        <v>-7449457</v>
      </c>
      <c r="E73" s="309">
        <f>D73-C73</f>
        <v>35073490</v>
      </c>
      <c r="F73" s="310">
        <f>IF(C73=0,0,E73/C73)</f>
        <v>-0.82481324730386163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80143133</v>
      </c>
      <c r="D75" s="309">
        <f>D56+D65+D67+D73</f>
        <v>80149109</v>
      </c>
      <c r="E75" s="309">
        <f>D75-C75</f>
        <v>5976</v>
      </c>
      <c r="F75" s="310">
        <f>IF(C75=0,0,E75/C75)</f>
        <v>7.4566588256538455E-5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501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210150089</v>
      </c>
      <c r="D11" s="76">
        <v>205409386</v>
      </c>
      <c r="E11" s="76">
        <f t="shared" ref="E11:E20" si="0">D11-C11</f>
        <v>-4740703</v>
      </c>
      <c r="F11" s="77">
        <f t="shared" ref="F11:F20" si="1">IF(C11=0,0,E11/C11)</f>
        <v>-2.2558653306113993E-2</v>
      </c>
    </row>
    <row r="12" spans="1:7" ht="23.1" customHeight="1" x14ac:dyDescent="0.2">
      <c r="A12" s="74">
        <v>2</v>
      </c>
      <c r="B12" s="75" t="s">
        <v>72</v>
      </c>
      <c r="C12" s="76">
        <v>116283387</v>
      </c>
      <c r="D12" s="76">
        <v>121754445</v>
      </c>
      <c r="E12" s="76">
        <f t="shared" si="0"/>
        <v>5471058</v>
      </c>
      <c r="F12" s="77">
        <f t="shared" si="1"/>
        <v>4.7049351942251218E-2</v>
      </c>
    </row>
    <row r="13" spans="1:7" ht="23.1" customHeight="1" x14ac:dyDescent="0.2">
      <c r="A13" s="74">
        <v>3</v>
      </c>
      <c r="B13" s="75" t="s">
        <v>73</v>
      </c>
      <c r="C13" s="76">
        <v>3706321</v>
      </c>
      <c r="D13" s="76">
        <v>2861240</v>
      </c>
      <c r="E13" s="76">
        <f t="shared" si="0"/>
        <v>-845081</v>
      </c>
      <c r="F13" s="77">
        <f t="shared" si="1"/>
        <v>-0.22801074164919877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90160381</v>
      </c>
      <c r="D15" s="79">
        <f>D11-D12-D13-D14</f>
        <v>80793701</v>
      </c>
      <c r="E15" s="79">
        <f t="shared" si="0"/>
        <v>-9366680</v>
      </c>
      <c r="F15" s="80">
        <f t="shared" si="1"/>
        <v>-0.10388909070825687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4079212</v>
      </c>
      <c r="E16" s="76">
        <f t="shared" si="0"/>
        <v>4079212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90160381</v>
      </c>
      <c r="D17" s="79">
        <f>D15-D16</f>
        <v>76714489</v>
      </c>
      <c r="E17" s="79">
        <f t="shared" si="0"/>
        <v>-13445892</v>
      </c>
      <c r="F17" s="80">
        <f t="shared" si="1"/>
        <v>-0.14913304325987708</v>
      </c>
    </row>
    <row r="18" spans="1:7" ht="23.1" customHeight="1" x14ac:dyDescent="0.2">
      <c r="A18" s="74">
        <v>6</v>
      </c>
      <c r="B18" s="75" t="s">
        <v>78</v>
      </c>
      <c r="C18" s="76">
        <v>5761698</v>
      </c>
      <c r="D18" s="76">
        <v>5866110</v>
      </c>
      <c r="E18" s="76">
        <f t="shared" si="0"/>
        <v>104412</v>
      </c>
      <c r="F18" s="77">
        <f t="shared" si="1"/>
        <v>1.8121741195043544E-2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95922079</v>
      </c>
      <c r="D20" s="79">
        <f>SUM(D17:D19)</f>
        <v>82580599</v>
      </c>
      <c r="E20" s="79">
        <f t="shared" si="0"/>
        <v>-13341480</v>
      </c>
      <c r="F20" s="80">
        <f t="shared" si="1"/>
        <v>-0.13908664344107888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42907325</v>
      </c>
      <c r="D23" s="76">
        <v>41730362</v>
      </c>
      <c r="E23" s="76">
        <f t="shared" ref="E23:E32" si="2">D23-C23</f>
        <v>-1176963</v>
      </c>
      <c r="F23" s="77">
        <f t="shared" ref="F23:F32" si="3">IF(C23=0,0,E23/C23)</f>
        <v>-2.7430351344438275E-2</v>
      </c>
    </row>
    <row r="24" spans="1:7" ht="23.1" customHeight="1" x14ac:dyDescent="0.2">
      <c r="A24" s="74">
        <v>2</v>
      </c>
      <c r="B24" s="75" t="s">
        <v>83</v>
      </c>
      <c r="C24" s="76">
        <v>15336446</v>
      </c>
      <c r="D24" s="76">
        <v>12666864</v>
      </c>
      <c r="E24" s="76">
        <f t="shared" si="2"/>
        <v>-2669582</v>
      </c>
      <c r="F24" s="77">
        <f t="shared" si="3"/>
        <v>-0.17406783814190066</v>
      </c>
    </row>
    <row r="25" spans="1:7" ht="23.1" customHeight="1" x14ac:dyDescent="0.2">
      <c r="A25" s="74">
        <v>3</v>
      </c>
      <c r="B25" s="75" t="s">
        <v>84</v>
      </c>
      <c r="C25" s="76">
        <v>930637</v>
      </c>
      <c r="D25" s="76">
        <v>909098</v>
      </c>
      <c r="E25" s="76">
        <f t="shared" si="2"/>
        <v>-21539</v>
      </c>
      <c r="F25" s="77">
        <f t="shared" si="3"/>
        <v>-2.3144362409833266E-2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7642658</v>
      </c>
      <c r="D26" s="76">
        <v>7826904</v>
      </c>
      <c r="E26" s="76">
        <f t="shared" si="2"/>
        <v>184246</v>
      </c>
      <c r="F26" s="77">
        <f t="shared" si="3"/>
        <v>2.4107581419971953E-2</v>
      </c>
    </row>
    <row r="27" spans="1:7" ht="23.1" customHeight="1" x14ac:dyDescent="0.2">
      <c r="A27" s="74">
        <v>5</v>
      </c>
      <c r="B27" s="75" t="s">
        <v>86</v>
      </c>
      <c r="C27" s="76">
        <v>4147105</v>
      </c>
      <c r="D27" s="76">
        <v>4154949</v>
      </c>
      <c r="E27" s="76">
        <f t="shared" si="2"/>
        <v>7844</v>
      </c>
      <c r="F27" s="77">
        <f t="shared" si="3"/>
        <v>1.8914399321936627E-3</v>
      </c>
    </row>
    <row r="28" spans="1:7" ht="23.1" customHeight="1" x14ac:dyDescent="0.2">
      <c r="A28" s="74">
        <v>6</v>
      </c>
      <c r="B28" s="75" t="s">
        <v>87</v>
      </c>
      <c r="C28" s="76">
        <v>3839277</v>
      </c>
      <c r="D28" s="76">
        <v>0</v>
      </c>
      <c r="E28" s="76">
        <f t="shared" si="2"/>
        <v>-3839277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1325543</v>
      </c>
      <c r="D29" s="76">
        <v>1107869</v>
      </c>
      <c r="E29" s="76">
        <f t="shared" si="2"/>
        <v>-217674</v>
      </c>
      <c r="F29" s="77">
        <f t="shared" si="3"/>
        <v>-0.16421496699843008</v>
      </c>
    </row>
    <row r="30" spans="1:7" ht="23.1" customHeight="1" x14ac:dyDescent="0.2">
      <c r="A30" s="74">
        <v>8</v>
      </c>
      <c r="B30" s="75" t="s">
        <v>89</v>
      </c>
      <c r="C30" s="76">
        <v>659252</v>
      </c>
      <c r="D30" s="76">
        <v>400452</v>
      </c>
      <c r="E30" s="76">
        <f t="shared" si="2"/>
        <v>-258800</v>
      </c>
      <c r="F30" s="77">
        <f t="shared" si="3"/>
        <v>-0.39256612039098859</v>
      </c>
    </row>
    <row r="31" spans="1:7" ht="23.1" customHeight="1" x14ac:dyDescent="0.2">
      <c r="A31" s="74">
        <v>9</v>
      </c>
      <c r="B31" s="75" t="s">
        <v>90</v>
      </c>
      <c r="C31" s="76">
        <v>19661874</v>
      </c>
      <c r="D31" s="76">
        <v>22571420</v>
      </c>
      <c r="E31" s="76">
        <f t="shared" si="2"/>
        <v>2909546</v>
      </c>
      <c r="F31" s="77">
        <f t="shared" si="3"/>
        <v>0.14797907869819529</v>
      </c>
    </row>
    <row r="32" spans="1:7" ht="23.1" customHeight="1" x14ac:dyDescent="0.25">
      <c r="A32" s="71"/>
      <c r="B32" s="78" t="s">
        <v>91</v>
      </c>
      <c r="C32" s="79">
        <f>SUM(C23:C31)</f>
        <v>96450117</v>
      </c>
      <c r="D32" s="79">
        <f>SUM(D23:D31)</f>
        <v>91367918</v>
      </c>
      <c r="E32" s="79">
        <f t="shared" si="2"/>
        <v>-5082199</v>
      </c>
      <c r="F32" s="80">
        <f t="shared" si="3"/>
        <v>-5.2692512545111793E-2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-528038</v>
      </c>
      <c r="D34" s="79">
        <f>+D20-D32</f>
        <v>-8787319</v>
      </c>
      <c r="E34" s="79">
        <f>D34-C34</f>
        <v>-8259281</v>
      </c>
      <c r="F34" s="80">
        <f>IF(C34=0,0,E34/C34)</f>
        <v>15.641451940958795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-163</v>
      </c>
      <c r="D37" s="76">
        <v>9049</v>
      </c>
      <c r="E37" s="76">
        <f>D37-C37</f>
        <v>9212</v>
      </c>
      <c r="F37" s="77">
        <f>IF(C37=0,0,E37/C37)</f>
        <v>-56.515337423312886</v>
      </c>
    </row>
    <row r="38" spans="1:6" ht="23.1" customHeight="1" x14ac:dyDescent="0.2">
      <c r="A38" s="85">
        <v>2</v>
      </c>
      <c r="B38" s="75" t="s">
        <v>95</v>
      </c>
      <c r="C38" s="76">
        <v>698728</v>
      </c>
      <c r="D38" s="76">
        <v>449084</v>
      </c>
      <c r="E38" s="76">
        <f>D38-C38</f>
        <v>-249644</v>
      </c>
      <c r="F38" s="77">
        <f>IF(C38=0,0,E38/C38)</f>
        <v>-0.35728352091228632</v>
      </c>
    </row>
    <row r="39" spans="1:6" ht="23.1" customHeight="1" x14ac:dyDescent="0.2">
      <c r="A39" s="85">
        <v>3</v>
      </c>
      <c r="B39" s="75" t="s">
        <v>96</v>
      </c>
      <c r="C39" s="76">
        <v>-936114</v>
      </c>
      <c r="D39" s="76">
        <v>1084113</v>
      </c>
      <c r="E39" s="76">
        <f>D39-C39</f>
        <v>2020227</v>
      </c>
      <c r="F39" s="77">
        <f>IF(C39=0,0,E39/C39)</f>
        <v>-2.1580993340554677</v>
      </c>
    </row>
    <row r="40" spans="1:6" ht="23.1" customHeight="1" x14ac:dyDescent="0.25">
      <c r="A40" s="83"/>
      <c r="B40" s="78" t="s">
        <v>97</v>
      </c>
      <c r="C40" s="79">
        <f>SUM(C37:C39)</f>
        <v>-237549</v>
      </c>
      <c r="D40" s="79">
        <f>SUM(D37:D39)</f>
        <v>1542246</v>
      </c>
      <c r="E40" s="79">
        <f>D40-C40</f>
        <v>1779795</v>
      </c>
      <c r="F40" s="80">
        <f>IF(C40=0,0,E40/C40)</f>
        <v>-7.4923278986651178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502</v>
      </c>
      <c r="C42" s="79">
        <f>C34+C40</f>
        <v>-765587</v>
      </c>
      <c r="D42" s="79">
        <f>D34+D40</f>
        <v>-7245073</v>
      </c>
      <c r="E42" s="79">
        <f>D42-C42</f>
        <v>-6479486</v>
      </c>
      <c r="F42" s="80">
        <f>IF(C42=0,0,E42/C42)</f>
        <v>8.4634221845459763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52251</v>
      </c>
      <c r="D45" s="76">
        <v>26529</v>
      </c>
      <c r="E45" s="76">
        <f>D45-C45</f>
        <v>-25722</v>
      </c>
      <c r="F45" s="77">
        <f>IF(C45=0,0,E45/C45)</f>
        <v>-0.49227765975770799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52251</v>
      </c>
      <c r="D47" s="79">
        <f>SUM(D45:D46)</f>
        <v>26529</v>
      </c>
      <c r="E47" s="79">
        <f>D47-C47</f>
        <v>-25722</v>
      </c>
      <c r="F47" s="80">
        <f>IF(C47=0,0,E47/C47)</f>
        <v>-0.49227765975770799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-713336</v>
      </c>
      <c r="D49" s="79">
        <f>D42+D47</f>
        <v>-7218544</v>
      </c>
      <c r="E49" s="79">
        <f>D49-C49</f>
        <v>-6505208</v>
      </c>
      <c r="F49" s="80">
        <f>IF(C49=0,0,E49/C49)</f>
        <v>9.1194163760135485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2014-10-07T14:06:18Z</cp:lastPrinted>
  <dcterms:created xsi:type="dcterms:W3CDTF">2014-10-06T19:16:57Z</dcterms:created>
  <dcterms:modified xsi:type="dcterms:W3CDTF">2014-10-09T19:13:00Z</dcterms:modified>
</cp:coreProperties>
</file>