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 firstSheet="8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 s="1"/>
  <c r="D230" i="14"/>
  <c r="D229" i="14"/>
  <c r="D226" i="14"/>
  <c r="D227" i="14" s="1"/>
  <c r="D223" i="14"/>
  <c r="D204" i="14"/>
  <c r="D269" i="14"/>
  <c r="D203" i="14"/>
  <c r="D198" i="14"/>
  <c r="D290" i="14" s="1"/>
  <c r="D191" i="14"/>
  <c r="D280" i="14" s="1"/>
  <c r="D189" i="14"/>
  <c r="D188" i="14"/>
  <c r="D277" i="14" s="1"/>
  <c r="D180" i="14"/>
  <c r="D179" i="14"/>
  <c r="D171" i="14"/>
  <c r="D172" i="14" s="1"/>
  <c r="D170" i="14"/>
  <c r="D165" i="14"/>
  <c r="D164" i="14"/>
  <c r="D158" i="14"/>
  <c r="D159" i="14" s="1"/>
  <c r="D155" i="14"/>
  <c r="D145" i="14"/>
  <c r="D144" i="14"/>
  <c r="D146" i="14" s="1"/>
  <c r="D136" i="14"/>
  <c r="D137" i="14" s="1"/>
  <c r="D135" i="14"/>
  <c r="D130" i="14"/>
  <c r="D129" i="14"/>
  <c r="D123" i="14"/>
  <c r="D120" i="14"/>
  <c r="D110" i="14"/>
  <c r="D109" i="14"/>
  <c r="D111" i="14" s="1"/>
  <c r="D101" i="14"/>
  <c r="D102" i="14" s="1"/>
  <c r="D100" i="14"/>
  <c r="D95" i="14"/>
  <c r="D94" i="14"/>
  <c r="D88" i="14"/>
  <c r="D89" i="14" s="1"/>
  <c r="D85" i="14"/>
  <c r="D76" i="14"/>
  <c r="D77" i="14" s="1"/>
  <c r="D67" i="14"/>
  <c r="D66" i="14"/>
  <c r="D59" i="14"/>
  <c r="D60" i="14" s="1"/>
  <c r="D61" i="14" s="1"/>
  <c r="D58" i="14"/>
  <c r="D53" i="14"/>
  <c r="D52" i="14"/>
  <c r="D47" i="14"/>
  <c r="D48" i="14" s="1"/>
  <c r="D44" i="14"/>
  <c r="D36" i="14"/>
  <c r="D35" i="14"/>
  <c r="D30" i="14"/>
  <c r="D31" i="14" s="1"/>
  <c r="D32" i="14" s="1"/>
  <c r="D29" i="14"/>
  <c r="D24" i="14"/>
  <c r="D23" i="14"/>
  <c r="D20" i="14"/>
  <c r="D17" i="14"/>
  <c r="E97" i="19"/>
  <c r="D97" i="19"/>
  <c r="C97" i="19"/>
  <c r="E96" i="19"/>
  <c r="E98" i="19"/>
  <c r="D96" i="19"/>
  <c r="D98" i="19"/>
  <c r="C96" i="19"/>
  <c r="E92" i="19"/>
  <c r="D92" i="19"/>
  <c r="D93" i="19" s="1"/>
  <c r="C92" i="19"/>
  <c r="E91" i="19"/>
  <c r="E93" i="19" s="1"/>
  <c r="D91" i="19"/>
  <c r="C91" i="19"/>
  <c r="C93" i="19" s="1"/>
  <c r="E87" i="19"/>
  <c r="D87" i="19"/>
  <c r="C87" i="19"/>
  <c r="E86" i="19"/>
  <c r="D86" i="19"/>
  <c r="C86" i="19"/>
  <c r="E83" i="19"/>
  <c r="E102" i="19" s="1"/>
  <c r="D83" i="19"/>
  <c r="C83" i="19"/>
  <c r="E76" i="19"/>
  <c r="D76" i="19"/>
  <c r="C76" i="19"/>
  <c r="E75" i="19"/>
  <c r="E77" i="19" s="1"/>
  <c r="E109" i="19" s="1"/>
  <c r="D75" i="19"/>
  <c r="C75" i="19"/>
  <c r="C77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22" i="19" s="1"/>
  <c r="E110" i="19" s="1"/>
  <c r="D12" i="19"/>
  <c r="D33" i="19" s="1"/>
  <c r="C12" i="19"/>
  <c r="C23" i="19" s="1"/>
  <c r="D21" i="18"/>
  <c r="C21" i="18"/>
  <c r="D19" i="18"/>
  <c r="C19" i="18"/>
  <c r="E17" i="18"/>
  <c r="F17" i="18" s="1"/>
  <c r="F15" i="18"/>
  <c r="E15" i="18"/>
  <c r="D45" i="17"/>
  <c r="E45" i="17" s="1"/>
  <c r="C45" i="17"/>
  <c r="D44" i="17"/>
  <c r="E44" i="17" s="1"/>
  <c r="C44" i="17"/>
  <c r="D43" i="17"/>
  <c r="D46" i="17" s="1"/>
  <c r="C43" i="17"/>
  <c r="D36" i="17"/>
  <c r="D40" i="17" s="1"/>
  <c r="C36" i="17"/>
  <c r="E35" i="17"/>
  <c r="F35" i="17" s="1"/>
  <c r="E34" i="17"/>
  <c r="F34" i="17" s="1"/>
  <c r="E33" i="17"/>
  <c r="E30" i="17"/>
  <c r="F30" i="17" s="1"/>
  <c r="E29" i="17"/>
  <c r="F29" i="17" s="1"/>
  <c r="E28" i="17"/>
  <c r="F28" i="17" s="1"/>
  <c r="E27" i="17"/>
  <c r="F27" i="17" s="1"/>
  <c r="D25" i="17"/>
  <c r="D39" i="17" s="1"/>
  <c r="C25" i="17"/>
  <c r="C39" i="17" s="1"/>
  <c r="E24" i="17"/>
  <c r="F24" i="17" s="1"/>
  <c r="E23" i="17"/>
  <c r="F23" i="17"/>
  <c r="E22" i="17"/>
  <c r="F22" i="17" s="1"/>
  <c r="D19" i="17"/>
  <c r="D20" i="17" s="1"/>
  <c r="C19" i="17"/>
  <c r="E18" i="17"/>
  <c r="F18" i="17" s="1"/>
  <c r="D16" i="17"/>
  <c r="E16" i="17" s="1"/>
  <c r="F16" i="17" s="1"/>
  <c r="C16" i="17"/>
  <c r="F15" i="17"/>
  <c r="E15" i="17"/>
  <c r="F13" i="17"/>
  <c r="E13" i="17"/>
  <c r="F12" i="17"/>
  <c r="E12" i="17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 s="1"/>
  <c r="C36" i="16"/>
  <c r="C32" i="16"/>
  <c r="C33" i="16"/>
  <c r="C21" i="16"/>
  <c r="C22" i="16" s="1"/>
  <c r="E328" i="15"/>
  <c r="E325" i="15"/>
  <c r="D324" i="15"/>
  <c r="D326" i="15" s="1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C301" i="15"/>
  <c r="D293" i="15"/>
  <c r="C293" i="15"/>
  <c r="E293" i="15" s="1"/>
  <c r="D292" i="15"/>
  <c r="E292" i="15"/>
  <c r="C292" i="15"/>
  <c r="D291" i="15"/>
  <c r="E291" i="15" s="1"/>
  <c r="C291" i="15"/>
  <c r="D290" i="15"/>
  <c r="E290" i="15" s="1"/>
  <c r="C290" i="15"/>
  <c r="D288" i="15"/>
  <c r="E288" i="15" s="1"/>
  <c r="C288" i="15"/>
  <c r="D287" i="15"/>
  <c r="E287" i="15" s="1"/>
  <c r="C287" i="15"/>
  <c r="D282" i="15"/>
  <c r="C282" i="15"/>
  <c r="D281" i="15"/>
  <c r="E281" i="15"/>
  <c r="C281" i="15"/>
  <c r="D280" i="15"/>
  <c r="C280" i="15"/>
  <c r="D279" i="15"/>
  <c r="C279" i="15"/>
  <c r="D278" i="15"/>
  <c r="C278" i="15"/>
  <c r="D277" i="15"/>
  <c r="E277" i="15"/>
  <c r="C277" i="15"/>
  <c r="D276" i="15"/>
  <c r="C276" i="15"/>
  <c r="E270" i="15"/>
  <c r="D265" i="15"/>
  <c r="C265" i="15"/>
  <c r="C302" i="15" s="1"/>
  <c r="D262" i="15"/>
  <c r="C262" i="15"/>
  <c r="E262" i="15" s="1"/>
  <c r="D251" i="15"/>
  <c r="C251" i="15"/>
  <c r="D233" i="15"/>
  <c r="C233" i="15"/>
  <c r="D232" i="15"/>
  <c r="E232" i="15"/>
  <c r="C232" i="15"/>
  <c r="D231" i="15"/>
  <c r="C231" i="15"/>
  <c r="D230" i="15"/>
  <c r="E230" i="15" s="1"/>
  <c r="C230" i="15"/>
  <c r="D228" i="15"/>
  <c r="E228" i="15" s="1"/>
  <c r="C228" i="15"/>
  <c r="D227" i="15"/>
  <c r="E227" i="15" s="1"/>
  <c r="C227" i="15"/>
  <c r="D221" i="15"/>
  <c r="E221" i="15" s="1"/>
  <c r="C221" i="15"/>
  <c r="C245" i="15" s="1"/>
  <c r="E220" i="15"/>
  <c r="D220" i="15"/>
  <c r="D244" i="15"/>
  <c r="C220" i="15"/>
  <c r="C244" i="15"/>
  <c r="D219" i="15"/>
  <c r="C219" i="15"/>
  <c r="C243" i="15" s="1"/>
  <c r="D218" i="15"/>
  <c r="D242" i="15" s="1"/>
  <c r="C218" i="15"/>
  <c r="C217" i="15" s="1"/>
  <c r="D216" i="15"/>
  <c r="D240" i="15" s="1"/>
  <c r="C216" i="15"/>
  <c r="D215" i="15"/>
  <c r="C215" i="15"/>
  <c r="E209" i="15"/>
  <c r="E208" i="15"/>
  <c r="E207" i="15"/>
  <c r="E206" i="15"/>
  <c r="D205" i="15"/>
  <c r="C205" i="15"/>
  <c r="E204" i="15"/>
  <c r="E203" i="15"/>
  <c r="E197" i="15"/>
  <c r="E196" i="15"/>
  <c r="D195" i="15"/>
  <c r="C195" i="15"/>
  <c r="C260" i="15"/>
  <c r="E194" i="15"/>
  <c r="E193" i="15"/>
  <c r="E192" i="15"/>
  <c r="E191" i="15"/>
  <c r="E190" i="15"/>
  <c r="D188" i="15"/>
  <c r="D189" i="15" s="1"/>
  <c r="C188" i="15"/>
  <c r="C189" i="15" s="1"/>
  <c r="E186" i="15"/>
  <c r="E185" i="15"/>
  <c r="D179" i="15"/>
  <c r="E179" i="15" s="1"/>
  <c r="C179" i="15"/>
  <c r="D178" i="15"/>
  <c r="E178" i="15" s="1"/>
  <c r="C178" i="15"/>
  <c r="D177" i="15"/>
  <c r="E177" i="15" s="1"/>
  <c r="C177" i="15"/>
  <c r="D176" i="15"/>
  <c r="C176" i="15"/>
  <c r="D174" i="15"/>
  <c r="C174" i="15"/>
  <c r="E174" i="15" s="1"/>
  <c r="D173" i="15"/>
  <c r="E173" i="15"/>
  <c r="C173" i="15"/>
  <c r="D167" i="15"/>
  <c r="C167" i="15"/>
  <c r="D166" i="15"/>
  <c r="E166" i="15" s="1"/>
  <c r="C166" i="15"/>
  <c r="D165" i="15"/>
  <c r="C165" i="15"/>
  <c r="D164" i="15"/>
  <c r="E164" i="15"/>
  <c r="C164" i="15"/>
  <c r="D162" i="15"/>
  <c r="E162" i="15" s="1"/>
  <c r="C162" i="15"/>
  <c r="D161" i="15"/>
  <c r="C161" i="15"/>
  <c r="E155" i="15"/>
  <c r="E154" i="15"/>
  <c r="E153" i="15"/>
  <c r="E152" i="15"/>
  <c r="D151" i="15"/>
  <c r="D156" i="15" s="1"/>
  <c r="C151" i="15"/>
  <c r="C156" i="15" s="1"/>
  <c r="C157" i="15" s="1"/>
  <c r="E150" i="15"/>
  <c r="E149" i="15"/>
  <c r="E143" i="15"/>
  <c r="E142" i="15"/>
  <c r="E141" i="15"/>
  <c r="E140" i="15"/>
  <c r="D139" i="15"/>
  <c r="D163" i="15"/>
  <c r="C139" i="15"/>
  <c r="C144" i="15"/>
  <c r="E138" i="15"/>
  <c r="E137" i="15"/>
  <c r="D75" i="15"/>
  <c r="E75" i="15"/>
  <c r="C75" i="15"/>
  <c r="D74" i="15"/>
  <c r="E74" i="15" s="1"/>
  <c r="C74" i="15"/>
  <c r="D73" i="15"/>
  <c r="E73" i="15" s="1"/>
  <c r="C73" i="15"/>
  <c r="D72" i="15"/>
  <c r="C72" i="15"/>
  <c r="E72" i="15" s="1"/>
  <c r="D70" i="15"/>
  <c r="C70" i="15"/>
  <c r="D69" i="15"/>
  <c r="E69" i="15"/>
  <c r="C69" i="15"/>
  <c r="E64" i="15"/>
  <c r="E63" i="15"/>
  <c r="E62" i="15"/>
  <c r="E61" i="15"/>
  <c r="D60" i="15"/>
  <c r="D71" i="15" s="1"/>
  <c r="C60" i="15"/>
  <c r="C71" i="15"/>
  <c r="E59" i="15"/>
  <c r="E58" i="15"/>
  <c r="D54" i="15"/>
  <c r="D55" i="15"/>
  <c r="E55" i="15" s="1"/>
  <c r="C54" i="15"/>
  <c r="C55" i="15" s="1"/>
  <c r="E53" i="15"/>
  <c r="E52" i="15"/>
  <c r="E51" i="15"/>
  <c r="E50" i="15"/>
  <c r="E49" i="15"/>
  <c r="E48" i="15"/>
  <c r="E47" i="15"/>
  <c r="D42" i="15"/>
  <c r="E42" i="15"/>
  <c r="C42" i="15"/>
  <c r="D41" i="15"/>
  <c r="E41" i="15" s="1"/>
  <c r="C41" i="15"/>
  <c r="D40" i="15"/>
  <c r="E40" i="15" s="1"/>
  <c r="C40" i="15"/>
  <c r="D39" i="15"/>
  <c r="E39" i="15" s="1"/>
  <c r="C39" i="15"/>
  <c r="D38" i="15"/>
  <c r="C38" i="15"/>
  <c r="D37" i="15"/>
  <c r="D43" i="15" s="1"/>
  <c r="D44" i="15" s="1"/>
  <c r="C37" i="15"/>
  <c r="C43" i="15" s="1"/>
  <c r="D36" i="15"/>
  <c r="C36" i="15"/>
  <c r="E36" i="15" s="1"/>
  <c r="D32" i="15"/>
  <c r="D33" i="15"/>
  <c r="C32" i="15"/>
  <c r="C33" i="15"/>
  <c r="E31" i="15"/>
  <c r="E30" i="15"/>
  <c r="E29" i="15"/>
  <c r="E28" i="15"/>
  <c r="E27" i="15"/>
  <c r="E26" i="15"/>
  <c r="E25" i="15"/>
  <c r="D21" i="15"/>
  <c r="D22" i="15" s="1"/>
  <c r="C21" i="15"/>
  <c r="C22" i="15" s="1"/>
  <c r="C284" i="15" s="1"/>
  <c r="E20" i="15"/>
  <c r="E19" i="15"/>
  <c r="E18" i="15"/>
  <c r="E17" i="15"/>
  <c r="E16" i="15"/>
  <c r="E15" i="15"/>
  <c r="E14" i="15"/>
  <c r="E335" i="14"/>
  <c r="F335" i="14"/>
  <c r="E334" i="14"/>
  <c r="F334" i="14"/>
  <c r="E333" i="14"/>
  <c r="F333" i="14"/>
  <c r="F332" i="14"/>
  <c r="E332" i="14"/>
  <c r="E331" i="14"/>
  <c r="F331" i="14"/>
  <c r="E330" i="14"/>
  <c r="F330" i="14" s="1"/>
  <c r="E329" i="14"/>
  <c r="F329" i="14" s="1"/>
  <c r="F316" i="14"/>
  <c r="E316" i="14"/>
  <c r="C311" i="14"/>
  <c r="E308" i="14"/>
  <c r="F308" i="14" s="1"/>
  <c r="C307" i="14"/>
  <c r="E307" i="14" s="1"/>
  <c r="F307" i="14" s="1"/>
  <c r="C299" i="14"/>
  <c r="C298" i="14"/>
  <c r="C297" i="14"/>
  <c r="E296" i="14"/>
  <c r="C296" i="14"/>
  <c r="C295" i="14"/>
  <c r="C294" i="14"/>
  <c r="C250" i="14"/>
  <c r="E249" i="14"/>
  <c r="F249" i="14" s="1"/>
  <c r="E248" i="14"/>
  <c r="F248" i="14" s="1"/>
  <c r="E245" i="14"/>
  <c r="F245" i="14"/>
  <c r="E244" i="14"/>
  <c r="F244" i="14"/>
  <c r="E243" i="14"/>
  <c r="F243" i="14"/>
  <c r="C238" i="14"/>
  <c r="E238" i="14" s="1"/>
  <c r="C237" i="14"/>
  <c r="E234" i="14"/>
  <c r="F234" i="14" s="1"/>
  <c r="E233" i="14"/>
  <c r="F233" i="14" s="1"/>
  <c r="C230" i="14"/>
  <c r="E229" i="14"/>
  <c r="C229" i="14"/>
  <c r="E228" i="14"/>
  <c r="F228" i="14" s="1"/>
  <c r="C226" i="14"/>
  <c r="E225" i="14"/>
  <c r="F225" i="14" s="1"/>
  <c r="E224" i="14"/>
  <c r="F224" i="14" s="1"/>
  <c r="C223" i="14"/>
  <c r="E222" i="14"/>
  <c r="F222" i="14" s="1"/>
  <c r="E221" i="14"/>
  <c r="F221" i="14" s="1"/>
  <c r="C204" i="14"/>
  <c r="C203" i="14"/>
  <c r="C267" i="14" s="1"/>
  <c r="C198" i="14"/>
  <c r="C274" i="14" s="1"/>
  <c r="C191" i="14"/>
  <c r="C280" i="14" s="1"/>
  <c r="C189" i="14"/>
  <c r="C255" i="14" s="1"/>
  <c r="C188" i="14"/>
  <c r="C180" i="14"/>
  <c r="E180" i="14" s="1"/>
  <c r="C179" i="14"/>
  <c r="C171" i="14"/>
  <c r="E171" i="14" s="1"/>
  <c r="C170" i="14"/>
  <c r="E170" i="14" s="1"/>
  <c r="E169" i="14"/>
  <c r="F169" i="14" s="1"/>
  <c r="E168" i="14"/>
  <c r="F168" i="14" s="1"/>
  <c r="C165" i="14"/>
  <c r="C164" i="14"/>
  <c r="E164" i="14" s="1"/>
  <c r="F164" i="14" s="1"/>
  <c r="E163" i="14"/>
  <c r="F163" i="14" s="1"/>
  <c r="C158" i="14"/>
  <c r="C159" i="14" s="1"/>
  <c r="E157" i="14"/>
  <c r="F157" i="14" s="1"/>
  <c r="E156" i="14"/>
  <c r="F156" i="14"/>
  <c r="C155" i="14"/>
  <c r="E155" i="14"/>
  <c r="F155" i="14" s="1"/>
  <c r="E154" i="14"/>
  <c r="F154" i="14" s="1"/>
  <c r="E153" i="14"/>
  <c r="F153" i="14" s="1"/>
  <c r="C145" i="14"/>
  <c r="E145" i="14" s="1"/>
  <c r="C144" i="14"/>
  <c r="C136" i="14"/>
  <c r="E136" i="14" s="1"/>
  <c r="C135" i="14"/>
  <c r="E134" i="14"/>
  <c r="F134" i="14" s="1"/>
  <c r="E133" i="14"/>
  <c r="F133" i="14" s="1"/>
  <c r="C130" i="14"/>
  <c r="C129" i="14"/>
  <c r="E128" i="14"/>
  <c r="F128" i="14" s="1"/>
  <c r="C123" i="14"/>
  <c r="E122" i="14"/>
  <c r="F122" i="14" s="1"/>
  <c r="E121" i="14"/>
  <c r="F121" i="14" s="1"/>
  <c r="C120" i="14"/>
  <c r="E120" i="14" s="1"/>
  <c r="E119" i="14"/>
  <c r="F119" i="14"/>
  <c r="E118" i="14"/>
  <c r="F118" i="14"/>
  <c r="C110" i="14"/>
  <c r="E110" i="14"/>
  <c r="C109" i="14"/>
  <c r="C102" i="14"/>
  <c r="C103" i="14" s="1"/>
  <c r="C101" i="14"/>
  <c r="E101" i="14" s="1"/>
  <c r="C100" i="14"/>
  <c r="E99" i="14"/>
  <c r="F99" i="14" s="1"/>
  <c r="E98" i="14"/>
  <c r="F98" i="14" s="1"/>
  <c r="F95" i="14"/>
  <c r="C95" i="14"/>
  <c r="E95" i="14" s="1"/>
  <c r="C94" i="14"/>
  <c r="E94" i="14" s="1"/>
  <c r="E93" i="14"/>
  <c r="F93" i="14" s="1"/>
  <c r="C88" i="14"/>
  <c r="E88" i="14" s="1"/>
  <c r="E87" i="14"/>
  <c r="F87" i="14" s="1"/>
  <c r="E86" i="14"/>
  <c r="F86" i="14" s="1"/>
  <c r="C85" i="14"/>
  <c r="E84" i="14"/>
  <c r="F84" i="14" s="1"/>
  <c r="E83" i="14"/>
  <c r="F83" i="14" s="1"/>
  <c r="C76" i="14"/>
  <c r="E76" i="14" s="1"/>
  <c r="E74" i="14"/>
  <c r="F74" i="14" s="1"/>
  <c r="E73" i="14"/>
  <c r="F73" i="14" s="1"/>
  <c r="C67" i="14"/>
  <c r="E67" i="14" s="1"/>
  <c r="C66" i="14"/>
  <c r="E66" i="14"/>
  <c r="C59" i="14"/>
  <c r="C58" i="14"/>
  <c r="E58" i="14" s="1"/>
  <c r="E57" i="14"/>
  <c r="F57" i="14" s="1"/>
  <c r="E56" i="14"/>
  <c r="F56" i="14" s="1"/>
  <c r="C53" i="14"/>
  <c r="C52" i="14"/>
  <c r="E51" i="14"/>
  <c r="F51" i="14" s="1"/>
  <c r="C47" i="14"/>
  <c r="C48" i="14" s="1"/>
  <c r="E46" i="14"/>
  <c r="F46" i="14"/>
  <c r="E45" i="14"/>
  <c r="F45" i="14"/>
  <c r="C44" i="14"/>
  <c r="E44" i="14" s="1"/>
  <c r="F43" i="14"/>
  <c r="E43" i="14"/>
  <c r="F42" i="14"/>
  <c r="E42" i="14"/>
  <c r="C36" i="14"/>
  <c r="E36" i="14" s="1"/>
  <c r="C35" i="14"/>
  <c r="E35" i="14"/>
  <c r="C30" i="14"/>
  <c r="C31" i="14" s="1"/>
  <c r="E31" i="14" s="1"/>
  <c r="C29" i="14"/>
  <c r="E29" i="14" s="1"/>
  <c r="E28" i="14"/>
  <c r="F28" i="14" s="1"/>
  <c r="E27" i="14"/>
  <c r="F27" i="14" s="1"/>
  <c r="C24" i="14"/>
  <c r="E24" i="14" s="1"/>
  <c r="C23" i="14"/>
  <c r="E22" i="14"/>
  <c r="F22" i="14" s="1"/>
  <c r="C20" i="14"/>
  <c r="E19" i="14"/>
  <c r="F19" i="14"/>
  <c r="E18" i="14"/>
  <c r="F18" i="14"/>
  <c r="C17" i="14"/>
  <c r="E17" i="14" s="1"/>
  <c r="F17" i="14" s="1"/>
  <c r="F16" i="14"/>
  <c r="E16" i="14"/>
  <c r="F15" i="14"/>
  <c r="E15" i="14"/>
  <c r="D21" i="13"/>
  <c r="E21" i="13" s="1"/>
  <c r="F21" i="13" s="1"/>
  <c r="C21" i="13"/>
  <c r="F20" i="13"/>
  <c r="E20" i="13"/>
  <c r="D17" i="13"/>
  <c r="E17" i="13" s="1"/>
  <c r="F17" i="13" s="1"/>
  <c r="C17" i="13"/>
  <c r="F16" i="13"/>
  <c r="E16" i="13"/>
  <c r="D13" i="13"/>
  <c r="E13" i="13" s="1"/>
  <c r="F13" i="13" s="1"/>
  <c r="C13" i="13"/>
  <c r="F12" i="13"/>
  <c r="E12" i="13"/>
  <c r="D99" i="12"/>
  <c r="E99" i="12" s="1"/>
  <c r="F99" i="12" s="1"/>
  <c r="C99" i="12"/>
  <c r="F98" i="12"/>
  <c r="E98" i="12"/>
  <c r="F97" i="12"/>
  <c r="E97" i="12"/>
  <c r="F96" i="12"/>
  <c r="E96" i="12"/>
  <c r="D92" i="12"/>
  <c r="E92" i="12" s="1"/>
  <c r="F92" i="12" s="1"/>
  <c r="C92" i="12"/>
  <c r="F91" i="12"/>
  <c r="E91" i="12"/>
  <c r="F90" i="12"/>
  <c r="E90" i="12"/>
  <c r="F89" i="12"/>
  <c r="E89" i="12"/>
  <c r="F88" i="12"/>
  <c r="E88" i="12"/>
  <c r="F87" i="12"/>
  <c r="E87" i="12"/>
  <c r="D84" i="12"/>
  <c r="E84" i="12" s="1"/>
  <c r="F84" i="12" s="1"/>
  <c r="C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F74" i="12"/>
  <c r="E74" i="12"/>
  <c r="E73" i="12"/>
  <c r="F73" i="12" s="1"/>
  <c r="D70" i="12"/>
  <c r="C70" i="12"/>
  <c r="E69" i="12"/>
  <c r="F69" i="12" s="1"/>
  <c r="E68" i="12"/>
  <c r="F68" i="12" s="1"/>
  <c r="D65" i="12"/>
  <c r="C65" i="12"/>
  <c r="E64" i="12"/>
  <c r="F64" i="12" s="1"/>
  <c r="E63" i="12"/>
  <c r="F63" i="12" s="1"/>
  <c r="D60" i="12"/>
  <c r="C60" i="12"/>
  <c r="F60" i="12" s="1"/>
  <c r="F59" i="12"/>
  <c r="E59" i="12"/>
  <c r="F58" i="12"/>
  <c r="E58" i="12"/>
  <c r="E60" i="12" s="1"/>
  <c r="D55" i="12"/>
  <c r="E55" i="12" s="1"/>
  <c r="C55" i="12"/>
  <c r="F55" i="12" s="1"/>
  <c r="F54" i="12"/>
  <c r="E54" i="12"/>
  <c r="F53" i="12"/>
  <c r="E53" i="12"/>
  <c r="D50" i="12"/>
  <c r="E50" i="12" s="1"/>
  <c r="C50" i="12"/>
  <c r="F50" i="12" s="1"/>
  <c r="F49" i="12"/>
  <c r="E49" i="12"/>
  <c r="F48" i="12"/>
  <c r="E48" i="12"/>
  <c r="D45" i="12"/>
  <c r="E45" i="12" s="1"/>
  <c r="C45" i="12"/>
  <c r="F45" i="12" s="1"/>
  <c r="F44" i="12"/>
  <c r="E44" i="12"/>
  <c r="F43" i="12"/>
  <c r="E43" i="12"/>
  <c r="D37" i="12"/>
  <c r="C37" i="12"/>
  <c r="F36" i="12"/>
  <c r="E36" i="12"/>
  <c r="F35" i="12"/>
  <c r="E35" i="12"/>
  <c r="E34" i="12"/>
  <c r="F34" i="12" s="1"/>
  <c r="E33" i="12"/>
  <c r="F33" i="12" s="1"/>
  <c r="D30" i="12"/>
  <c r="E30" i="12" s="1"/>
  <c r="C30" i="12"/>
  <c r="F30" i="12" s="1"/>
  <c r="F29" i="12"/>
  <c r="E29" i="12"/>
  <c r="F28" i="12"/>
  <c r="E28" i="12"/>
  <c r="F27" i="12"/>
  <c r="E27" i="12"/>
  <c r="F26" i="12"/>
  <c r="E26" i="12"/>
  <c r="D23" i="12"/>
  <c r="C23" i="12"/>
  <c r="F22" i="12"/>
  <c r="E22" i="12"/>
  <c r="E21" i="12"/>
  <c r="F21" i="12" s="1"/>
  <c r="E20" i="12"/>
  <c r="F20" i="12" s="1"/>
  <c r="E19" i="12"/>
  <c r="F19" i="12" s="1"/>
  <c r="D16" i="12"/>
  <c r="C16" i="12"/>
  <c r="F15" i="12"/>
  <c r="E15" i="12"/>
  <c r="E14" i="12"/>
  <c r="F14" i="12" s="1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3" i="11" s="1"/>
  <c r="F17" i="11"/>
  <c r="F33" i="11" s="1"/>
  <c r="E17" i="11"/>
  <c r="E31" i="11" s="1"/>
  <c r="D17" i="11"/>
  <c r="D31" i="11" s="1"/>
  <c r="C17" i="11"/>
  <c r="C33" i="11" s="1"/>
  <c r="C36" i="11" s="1"/>
  <c r="C38" i="11" s="1"/>
  <c r="C40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D80" i="10" s="1"/>
  <c r="D77" i="10" s="1"/>
  <c r="C78" i="10"/>
  <c r="C80" i="10"/>
  <c r="C77" i="10" s="1"/>
  <c r="E73" i="10"/>
  <c r="E75" i="10" s="1"/>
  <c r="D73" i="10"/>
  <c r="D75" i="10" s="1"/>
  <c r="C73" i="10"/>
  <c r="C75" i="10" s="1"/>
  <c r="E71" i="10"/>
  <c r="D71" i="10"/>
  <c r="C71" i="10"/>
  <c r="E66" i="10"/>
  <c r="E65" i="10" s="1"/>
  <c r="D66" i="10"/>
  <c r="C66" i="10"/>
  <c r="C65" i="10" s="1"/>
  <c r="D65" i="10"/>
  <c r="E60" i="10"/>
  <c r="D60" i="10"/>
  <c r="C60" i="10"/>
  <c r="E58" i="10"/>
  <c r="D58" i="10"/>
  <c r="C58" i="10"/>
  <c r="E55" i="10"/>
  <c r="D55" i="10"/>
  <c r="C55" i="10"/>
  <c r="E54" i="10"/>
  <c r="E50" i="10" s="1"/>
  <c r="D54" i="10"/>
  <c r="C54" i="10"/>
  <c r="C50" i="10" s="1"/>
  <c r="E46" i="10"/>
  <c r="E59" i="10" s="1"/>
  <c r="E61" i="10" s="1"/>
  <c r="D46" i="10"/>
  <c r="D59" i="10" s="1"/>
  <c r="D61" i="10" s="1"/>
  <c r="D57" i="10" s="1"/>
  <c r="C46" i="10"/>
  <c r="C59" i="10" s="1"/>
  <c r="C61" i="10" s="1"/>
  <c r="C57" i="10" s="1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E25" i="10" s="1"/>
  <c r="E27" i="10" s="1"/>
  <c r="D13" i="10"/>
  <c r="D15" i="10" s="1"/>
  <c r="C13" i="10"/>
  <c r="C25" i="10" s="1"/>
  <c r="C27" i="10" s="1"/>
  <c r="D46" i="9"/>
  <c r="C46" i="9"/>
  <c r="E46" i="9" s="1"/>
  <c r="F45" i="9"/>
  <c r="E45" i="9"/>
  <c r="E44" i="9"/>
  <c r="F44" i="9" s="1"/>
  <c r="D39" i="9"/>
  <c r="C39" i="9"/>
  <c r="E38" i="9"/>
  <c r="F38" i="9" s="1"/>
  <c r="E37" i="9"/>
  <c r="F37" i="9" s="1"/>
  <c r="E36" i="9"/>
  <c r="F36" i="9" s="1"/>
  <c r="D31" i="9"/>
  <c r="C31" i="9"/>
  <c r="E31" i="9" s="1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F18" i="9"/>
  <c r="E18" i="9"/>
  <c r="E17" i="9"/>
  <c r="F17" i="9" s="1"/>
  <c r="D16" i="9"/>
  <c r="D19" i="9"/>
  <c r="C16" i="9"/>
  <c r="C19" i="9"/>
  <c r="F15" i="9"/>
  <c r="E15" i="9"/>
  <c r="E14" i="9"/>
  <c r="F14" i="9" s="1"/>
  <c r="E13" i="9"/>
  <c r="F13" i="9" s="1"/>
  <c r="E12" i="9"/>
  <c r="F12" i="9" s="1"/>
  <c r="D73" i="8"/>
  <c r="C73" i="8"/>
  <c r="E72" i="8"/>
  <c r="F72" i="8" s="1"/>
  <c r="E71" i="8"/>
  <c r="F71" i="8" s="1"/>
  <c r="E70" i="8"/>
  <c r="F70" i="8" s="1"/>
  <c r="F67" i="8"/>
  <c r="E67" i="8"/>
  <c r="E64" i="8"/>
  <c r="F64" i="8" s="1"/>
  <c r="E63" i="8"/>
  <c r="F63" i="8" s="1"/>
  <c r="D61" i="8"/>
  <c r="D65" i="8"/>
  <c r="C61" i="8"/>
  <c r="C65" i="8" s="1"/>
  <c r="F60" i="8"/>
  <c r="E60" i="8"/>
  <c r="F59" i="8"/>
  <c r="E59" i="8"/>
  <c r="D56" i="8"/>
  <c r="D75" i="8" s="1"/>
  <c r="C56" i="8"/>
  <c r="E55" i="8"/>
  <c r="F55" i="8" s="1"/>
  <c r="E54" i="8"/>
  <c r="F54" i="8"/>
  <c r="E53" i="8"/>
  <c r="F53" i="8" s="1"/>
  <c r="F52" i="8"/>
  <c r="E52" i="8"/>
  <c r="F51" i="8"/>
  <c r="E51" i="8"/>
  <c r="E50" i="8"/>
  <c r="F50" i="8" s="1"/>
  <c r="A50" i="8"/>
  <c r="A51" i="8" s="1"/>
  <c r="A52" i="8" s="1"/>
  <c r="A53" i="8" s="1"/>
  <c r="A54" i="8" s="1"/>
  <c r="A55" i="8" s="1"/>
  <c r="E49" i="8"/>
  <c r="F49" i="8" s="1"/>
  <c r="E40" i="8"/>
  <c r="F40" i="8" s="1"/>
  <c r="D38" i="8"/>
  <c r="C38" i="8"/>
  <c r="F37" i="8"/>
  <c r="E37" i="8"/>
  <c r="F36" i="8"/>
  <c r="E36" i="8"/>
  <c r="F33" i="8"/>
  <c r="E33" i="8"/>
  <c r="F32" i="8"/>
  <c r="E32" i="8"/>
  <c r="F31" i="8"/>
  <c r="E31" i="8"/>
  <c r="D29" i="8"/>
  <c r="E29" i="8" s="1"/>
  <c r="F29" i="8" s="1"/>
  <c r="C29" i="8"/>
  <c r="F28" i="8"/>
  <c r="E28" i="8"/>
  <c r="F27" i="8"/>
  <c r="E27" i="8"/>
  <c r="F26" i="8"/>
  <c r="E26" i="8"/>
  <c r="F25" i="8"/>
  <c r="E25" i="8"/>
  <c r="D22" i="8"/>
  <c r="C22" i="8"/>
  <c r="E21" i="8"/>
  <c r="F21" i="8" s="1"/>
  <c r="E20" i="8"/>
  <c r="F20" i="8" s="1"/>
  <c r="E19" i="8"/>
  <c r="F19" i="8" s="1"/>
  <c r="E18" i="8"/>
  <c r="F18" i="8" s="1"/>
  <c r="E17" i="8"/>
  <c r="F17" i="8" s="1"/>
  <c r="E16" i="8"/>
  <c r="F16" i="8" s="1"/>
  <c r="E15" i="8"/>
  <c r="F15" i="8" s="1"/>
  <c r="F14" i="8"/>
  <c r="E14" i="8"/>
  <c r="E13" i="8"/>
  <c r="F13" i="8" s="1"/>
  <c r="D120" i="7"/>
  <c r="C120" i="7"/>
  <c r="D119" i="7"/>
  <c r="C119" i="7"/>
  <c r="D118" i="7"/>
  <c r="C118" i="7"/>
  <c r="D117" i="7"/>
  <c r="C117" i="7"/>
  <c r="D116" i="7"/>
  <c r="C116" i="7"/>
  <c r="D115" i="7"/>
  <c r="C115" i="7"/>
  <c r="D114" i="7"/>
  <c r="C114" i="7"/>
  <c r="D113" i="7"/>
  <c r="C113" i="7"/>
  <c r="D112" i="7"/>
  <c r="E112" i="7" s="1"/>
  <c r="F112" i="7" s="1"/>
  <c r="C112" i="7"/>
  <c r="C121" i="7"/>
  <c r="D108" i="7"/>
  <c r="C108" i="7"/>
  <c r="E108" i="7" s="1"/>
  <c r="D107" i="7"/>
  <c r="C107" i="7"/>
  <c r="E107" i="7" s="1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C96" i="7"/>
  <c r="D95" i="7"/>
  <c r="C95" i="7"/>
  <c r="E94" i="7"/>
  <c r="F94" i="7" s="1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D84" i="7"/>
  <c r="C84" i="7"/>
  <c r="F84" i="7" s="1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F60" i="7" s="1"/>
  <c r="D59" i="7"/>
  <c r="C59" i="7"/>
  <c r="F59" i="7" s="1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C48" i="7"/>
  <c r="E48" i="7" s="1"/>
  <c r="D47" i="7"/>
  <c r="C47" i="7"/>
  <c r="E47" i="7" s="1"/>
  <c r="F46" i="7"/>
  <c r="E46" i="7"/>
  <c r="F45" i="7"/>
  <c r="E45" i="7"/>
  <c r="E44" i="7"/>
  <c r="F44" i="7" s="1"/>
  <c r="F43" i="7"/>
  <c r="E43" i="7"/>
  <c r="F42" i="7"/>
  <c r="E42" i="7"/>
  <c r="E41" i="7"/>
  <c r="F41" i="7" s="1"/>
  <c r="E40" i="7"/>
  <c r="F40" i="7" s="1"/>
  <c r="F39" i="7"/>
  <c r="E39" i="7"/>
  <c r="F38" i="7"/>
  <c r="E38" i="7"/>
  <c r="D36" i="7"/>
  <c r="C36" i="7"/>
  <c r="D35" i="7"/>
  <c r="C35" i="7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D24" i="7"/>
  <c r="C24" i="7"/>
  <c r="F24" i="7" s="1"/>
  <c r="D23" i="7"/>
  <c r="C23" i="7"/>
  <c r="E23" i="7" s="1"/>
  <c r="F22" i="7"/>
  <c r="E22" i="7"/>
  <c r="E21" i="7"/>
  <c r="F21" i="7" s="1"/>
  <c r="F20" i="7"/>
  <c r="E20" i="7"/>
  <c r="F19" i="7"/>
  <c r="E19" i="7"/>
  <c r="F18" i="7"/>
  <c r="E18" i="7"/>
  <c r="F17" i="7"/>
  <c r="E17" i="7"/>
  <c r="E16" i="7"/>
  <c r="F16" i="7" s="1"/>
  <c r="F15" i="7"/>
  <c r="E15" i="7"/>
  <c r="F14" i="7"/>
  <c r="E14" i="7"/>
  <c r="D206" i="6"/>
  <c r="C206" i="6"/>
  <c r="E206" i="6" s="1"/>
  <c r="D205" i="6"/>
  <c r="C205" i="6"/>
  <c r="E205" i="6" s="1"/>
  <c r="D204" i="6"/>
  <c r="E204" i="6"/>
  <c r="C204" i="6"/>
  <c r="D203" i="6"/>
  <c r="C203" i="6"/>
  <c r="D202" i="6"/>
  <c r="E202" i="6" s="1"/>
  <c r="C202" i="6"/>
  <c r="D201" i="6"/>
  <c r="C201" i="6"/>
  <c r="E201" i="6" s="1"/>
  <c r="D200" i="6"/>
  <c r="C200" i="6"/>
  <c r="E200" i="6" s="1"/>
  <c r="D199" i="6"/>
  <c r="C199" i="6"/>
  <c r="E199" i="6" s="1"/>
  <c r="D198" i="6"/>
  <c r="C198" i="6"/>
  <c r="C207" i="6" s="1"/>
  <c r="D193" i="6"/>
  <c r="C193" i="6"/>
  <c r="D192" i="6"/>
  <c r="C192" i="6"/>
  <c r="E191" i="6"/>
  <c r="F191" i="6" s="1"/>
  <c r="E190" i="6"/>
  <c r="F190" i="6" s="1"/>
  <c r="E189" i="6"/>
  <c r="F189" i="6" s="1"/>
  <c r="E188" i="6"/>
  <c r="F188" i="6" s="1"/>
  <c r="E187" i="6"/>
  <c r="F187" i="6" s="1"/>
  <c r="E186" i="6"/>
  <c r="F186" i="6" s="1"/>
  <c r="E185" i="6"/>
  <c r="F185" i="6" s="1"/>
  <c r="E184" i="6"/>
  <c r="F184" i="6" s="1"/>
  <c r="E183" i="6"/>
  <c r="F183" i="6" s="1"/>
  <c r="D180" i="6"/>
  <c r="C180" i="6"/>
  <c r="F180" i="6" s="1"/>
  <c r="D179" i="6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F167" i="6" s="1"/>
  <c r="D166" i="6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 s="1"/>
  <c r="D153" i="6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E141" i="6" s="1"/>
  <c r="D140" i="6"/>
  <c r="C140" i="6"/>
  <c r="E140" i="6" s="1"/>
  <c r="F139" i="6"/>
  <c r="E139" i="6"/>
  <c r="E138" i="6"/>
  <c r="F138" i="6" s="1"/>
  <c r="E137" i="6"/>
  <c r="F137" i="6" s="1"/>
  <c r="F136" i="6"/>
  <c r="E136" i="6"/>
  <c r="F135" i="6"/>
  <c r="E135" i="6"/>
  <c r="E134" i="6"/>
  <c r="F134" i="6" s="1"/>
  <c r="E133" i="6"/>
  <c r="F133" i="6" s="1"/>
  <c r="F132" i="6"/>
  <c r="E132" i="6"/>
  <c r="F131" i="6"/>
  <c r="E131" i="6"/>
  <c r="D128" i="6"/>
  <c r="C128" i="6"/>
  <c r="E128" i="6" s="1"/>
  <c r="D127" i="6"/>
  <c r="C127" i="6"/>
  <c r="E127" i="6" s="1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D115" i="6"/>
  <c r="E115" i="6" s="1"/>
  <c r="C115" i="6"/>
  <c r="F115" i="6" s="1"/>
  <c r="D114" i="6"/>
  <c r="E114" i="6" s="1"/>
  <c r="C114" i="6"/>
  <c r="F114" i="6" s="1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D102" i="6"/>
  <c r="E102" i="6" s="1"/>
  <c r="C102" i="6"/>
  <c r="F102" i="6" s="1"/>
  <c r="D101" i="6"/>
  <c r="E101" i="6" s="1"/>
  <c r="C101" i="6"/>
  <c r="F101" i="6" s="1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 s="1"/>
  <c r="C89" i="6"/>
  <c r="F89" i="6" s="1"/>
  <c r="D88" i="6"/>
  <c r="E88" i="6" s="1"/>
  <c r="C88" i="6"/>
  <c r="F88" i="6" s="1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D75" i="6"/>
  <c r="C75" i="6"/>
  <c r="E74" i="6"/>
  <c r="F74" i="6" s="1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D63" i="6"/>
  <c r="C63" i="6"/>
  <c r="E63" i="6" s="1"/>
  <c r="D62" i="6"/>
  <c r="C62" i="6"/>
  <c r="E62" i="6" s="1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C49" i="6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C37" i="6"/>
  <c r="F37" i="6" s="1"/>
  <c r="D36" i="6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E24" i="6" s="1"/>
  <c r="D23" i="6"/>
  <c r="C23" i="6"/>
  <c r="E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91" i="5"/>
  <c r="D191" i="5"/>
  <c r="C191" i="5"/>
  <c r="E176" i="5"/>
  <c r="D176" i="5"/>
  <c r="C176" i="5"/>
  <c r="E164" i="5"/>
  <c r="E160" i="5" s="1"/>
  <c r="E166" i="5" s="1"/>
  <c r="D164" i="5"/>
  <c r="D160" i="5" s="1"/>
  <c r="C164" i="5"/>
  <c r="E162" i="5"/>
  <c r="D162" i="5"/>
  <c r="C162" i="5"/>
  <c r="E161" i="5"/>
  <c r="D161" i="5"/>
  <c r="C161" i="5"/>
  <c r="C160" i="5"/>
  <c r="C166" i="5" s="1"/>
  <c r="E147" i="5"/>
  <c r="E143" i="5" s="1"/>
  <c r="D147" i="5"/>
  <c r="D143" i="5" s="1"/>
  <c r="D149" i="5" s="1"/>
  <c r="C147" i="5"/>
  <c r="C143" i="5" s="1"/>
  <c r="E145" i="5"/>
  <c r="D145" i="5"/>
  <c r="C145" i="5"/>
  <c r="E144" i="5"/>
  <c r="D144" i="5"/>
  <c r="C144" i="5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C107" i="5"/>
  <c r="C109" i="5" s="1"/>
  <c r="C106" i="5" s="1"/>
  <c r="E102" i="5"/>
  <c r="E104" i="5" s="1"/>
  <c r="D102" i="5"/>
  <c r="D104" i="5" s="1"/>
  <c r="C102" i="5"/>
  <c r="C104" i="5" s="1"/>
  <c r="E100" i="5"/>
  <c r="D100" i="5"/>
  <c r="C100" i="5"/>
  <c r="E95" i="5"/>
  <c r="E94" i="5" s="1"/>
  <c r="D95" i="5"/>
  <c r="D94" i="5" s="1"/>
  <c r="C95" i="5"/>
  <c r="C94" i="5"/>
  <c r="E89" i="5"/>
  <c r="D89" i="5"/>
  <c r="C89" i="5"/>
  <c r="E87" i="5"/>
  <c r="D87" i="5"/>
  <c r="C87" i="5"/>
  <c r="E84" i="5"/>
  <c r="D84" i="5"/>
  <c r="D79" i="5" s="1"/>
  <c r="C84" i="5"/>
  <c r="E83" i="5"/>
  <c r="E79" i="5"/>
  <c r="D83" i="5"/>
  <c r="C83" i="5"/>
  <c r="C79" i="5" s="1"/>
  <c r="E75" i="5"/>
  <c r="E88" i="5" s="1"/>
  <c r="E90" i="5" s="1"/>
  <c r="D75" i="5"/>
  <c r="C75" i="5"/>
  <c r="C88" i="5" s="1"/>
  <c r="C90" i="5" s="1"/>
  <c r="C86" i="5" s="1"/>
  <c r="E74" i="5"/>
  <c r="D74" i="5"/>
  <c r="C74" i="5"/>
  <c r="E67" i="5"/>
  <c r="D67" i="5"/>
  <c r="C67" i="5"/>
  <c r="E38" i="5"/>
  <c r="E49" i="5" s="1"/>
  <c r="D38" i="5"/>
  <c r="D53" i="5" s="1"/>
  <c r="C38" i="5"/>
  <c r="C57" i="5" s="1"/>
  <c r="C62" i="5" s="1"/>
  <c r="E33" i="5"/>
  <c r="E34" i="5" s="1"/>
  <c r="D33" i="5"/>
  <c r="D34" i="5" s="1"/>
  <c r="E26" i="5"/>
  <c r="D26" i="5"/>
  <c r="C26" i="5"/>
  <c r="E13" i="5"/>
  <c r="E25" i="5" s="1"/>
  <c r="D13" i="5"/>
  <c r="C13" i="5"/>
  <c r="C25" i="5" s="1"/>
  <c r="E174" i="4"/>
  <c r="F174" i="4" s="1"/>
  <c r="D171" i="4"/>
  <c r="C171" i="4"/>
  <c r="E170" i="4"/>
  <c r="F170" i="4" s="1"/>
  <c r="E169" i="4"/>
  <c r="F169" i="4" s="1"/>
  <c r="F168" i="4"/>
  <c r="E168" i="4"/>
  <c r="E167" i="4"/>
  <c r="F167" i="4" s="1"/>
  <c r="F166" i="4"/>
  <c r="E166" i="4"/>
  <c r="F165" i="4"/>
  <c r="E165" i="4"/>
  <c r="E164" i="4"/>
  <c r="F164" i="4" s="1"/>
  <c r="E163" i="4"/>
  <c r="F163" i="4" s="1"/>
  <c r="F162" i="4"/>
  <c r="E162" i="4"/>
  <c r="F161" i="4"/>
  <c r="E161" i="4"/>
  <c r="F160" i="4"/>
  <c r="E160" i="4"/>
  <c r="E159" i="4"/>
  <c r="F159" i="4" s="1"/>
  <c r="E158" i="4"/>
  <c r="F158" i="4" s="1"/>
  <c r="D155" i="4"/>
  <c r="C155" i="4"/>
  <c r="F154" i="4"/>
  <c r="E154" i="4"/>
  <c r="F153" i="4"/>
  <c r="E153" i="4"/>
  <c r="F152" i="4"/>
  <c r="E152" i="4"/>
  <c r="F151" i="4"/>
  <c r="E151" i="4"/>
  <c r="F150" i="4"/>
  <c r="E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D118" i="4"/>
  <c r="E118" i="4" s="1"/>
  <c r="F118" i="4" s="1"/>
  <c r="C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D109" i="4"/>
  <c r="E109" i="4" s="1"/>
  <c r="F109" i="4" s="1"/>
  <c r="C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81" i="4"/>
  <c r="E81" i="4"/>
  <c r="D78" i="4"/>
  <c r="E78" i="4" s="1"/>
  <c r="F78" i="4" s="1"/>
  <c r="C78" i="4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D59" i="4"/>
  <c r="C59" i="4"/>
  <c r="F58" i="4"/>
  <c r="E58" i="4"/>
  <c r="E57" i="4"/>
  <c r="F57" i="4" s="1"/>
  <c r="E56" i="4"/>
  <c r="F56" i="4" s="1"/>
  <c r="E55" i="4"/>
  <c r="F55" i="4" s="1"/>
  <c r="E54" i="4"/>
  <c r="F54" i="4" s="1"/>
  <c r="E53" i="4"/>
  <c r="F53" i="4" s="1"/>
  <c r="E50" i="4"/>
  <c r="F50" i="4" s="1"/>
  <c r="E47" i="4"/>
  <c r="F47" i="4" s="1"/>
  <c r="E44" i="4"/>
  <c r="F44" i="4" s="1"/>
  <c r="D41" i="4"/>
  <c r="C41" i="4"/>
  <c r="E40" i="4"/>
  <c r="F40" i="4" s="1"/>
  <c r="E39" i="4"/>
  <c r="F39" i="4" s="1"/>
  <c r="E38" i="4"/>
  <c r="F38" i="4" s="1"/>
  <c r="D35" i="4"/>
  <c r="E35" i="4" s="1"/>
  <c r="C35" i="4"/>
  <c r="E34" i="4"/>
  <c r="F34" i="4" s="1"/>
  <c r="E33" i="4"/>
  <c r="F33" i="4" s="1"/>
  <c r="D30" i="4"/>
  <c r="C30" i="4"/>
  <c r="E29" i="4"/>
  <c r="F29" i="4" s="1"/>
  <c r="E28" i="4"/>
  <c r="F28" i="4" s="1"/>
  <c r="E27" i="4"/>
  <c r="F27" i="4" s="1"/>
  <c r="D24" i="4"/>
  <c r="C24" i="4"/>
  <c r="E24" i="4" s="1"/>
  <c r="E23" i="4"/>
  <c r="F23" i="4" s="1"/>
  <c r="E22" i="4"/>
  <c r="F22" i="4" s="1"/>
  <c r="E21" i="4"/>
  <c r="F21" i="4" s="1"/>
  <c r="D18" i="4"/>
  <c r="E18" i="4" s="1"/>
  <c r="C18" i="4"/>
  <c r="E17" i="4"/>
  <c r="F17" i="4" s="1"/>
  <c r="E16" i="4"/>
  <c r="F16" i="4" s="1"/>
  <c r="E15" i="4"/>
  <c r="F15" i="4" s="1"/>
  <c r="D179" i="3"/>
  <c r="C179" i="3"/>
  <c r="E179" i="3" s="1"/>
  <c r="E178" i="3"/>
  <c r="F178" i="3" s="1"/>
  <c r="E177" i="3"/>
  <c r="F177" i="3" s="1"/>
  <c r="E176" i="3"/>
  <c r="F176" i="3" s="1"/>
  <c r="E175" i="3"/>
  <c r="F175" i="3" s="1"/>
  <c r="F174" i="3"/>
  <c r="E174" i="3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C166" i="3"/>
  <c r="E166" i="3" s="1"/>
  <c r="E165" i="3"/>
  <c r="F165" i="3" s="1"/>
  <c r="E164" i="3"/>
  <c r="F164" i="3" s="1"/>
  <c r="E163" i="3"/>
  <c r="F163" i="3" s="1"/>
  <c r="E162" i="3"/>
  <c r="F162" i="3" s="1"/>
  <c r="F161" i="3"/>
  <c r="E161" i="3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C153" i="3"/>
  <c r="E153" i="3" s="1"/>
  <c r="E152" i="3"/>
  <c r="F152" i="3" s="1"/>
  <c r="E151" i="3"/>
  <c r="F151" i="3" s="1"/>
  <c r="E150" i="3"/>
  <c r="F150" i="3" s="1"/>
  <c r="E149" i="3"/>
  <c r="F149" i="3" s="1"/>
  <c r="F148" i="3"/>
  <c r="E148" i="3"/>
  <c r="E147" i="3"/>
  <c r="F147" i="3" s="1"/>
  <c r="E146" i="3"/>
  <c r="F146" i="3" s="1"/>
  <c r="E145" i="3"/>
  <c r="F145" i="3" s="1"/>
  <c r="E144" i="3"/>
  <c r="F144" i="3" s="1"/>
  <c r="E143" i="3"/>
  <c r="F143" i="3" s="1"/>
  <c r="E142" i="3"/>
  <c r="F142" i="3" s="1"/>
  <c r="D137" i="3"/>
  <c r="C137" i="3"/>
  <c r="E136" i="3"/>
  <c r="F136" i="3" s="1"/>
  <c r="E135" i="3"/>
  <c r="F135" i="3" s="1"/>
  <c r="E134" i="3"/>
  <c r="F134" i="3" s="1"/>
  <c r="E133" i="3"/>
  <c r="F133" i="3" s="1"/>
  <c r="F132" i="3"/>
  <c r="E132" i="3"/>
  <c r="E131" i="3"/>
  <c r="F131" i="3" s="1"/>
  <c r="E130" i="3"/>
  <c r="F130" i="3" s="1"/>
  <c r="E129" i="3"/>
  <c r="F129" i="3" s="1"/>
  <c r="E128" i="3"/>
  <c r="F128" i="3" s="1"/>
  <c r="E127" i="3"/>
  <c r="F127" i="3" s="1"/>
  <c r="E126" i="3"/>
  <c r="F126" i="3" s="1"/>
  <c r="D124" i="3"/>
  <c r="C124" i="3"/>
  <c r="E124" i="3" s="1"/>
  <c r="E123" i="3"/>
  <c r="F123" i="3" s="1"/>
  <c r="E122" i="3"/>
  <c r="F122" i="3" s="1"/>
  <c r="E121" i="3"/>
  <c r="F121" i="3" s="1"/>
  <c r="E120" i="3"/>
  <c r="F120" i="3" s="1"/>
  <c r="F119" i="3"/>
  <c r="E119" i="3"/>
  <c r="E118" i="3"/>
  <c r="F118" i="3" s="1"/>
  <c r="E117" i="3"/>
  <c r="F117" i="3" s="1"/>
  <c r="E116" i="3"/>
  <c r="F116" i="3" s="1"/>
  <c r="E115" i="3"/>
  <c r="F115" i="3" s="1"/>
  <c r="E114" i="3"/>
  <c r="F114" i="3" s="1"/>
  <c r="E113" i="3"/>
  <c r="F113" i="3" s="1"/>
  <c r="D111" i="3"/>
  <c r="C111" i="3"/>
  <c r="E111" i="3" s="1"/>
  <c r="E110" i="3"/>
  <c r="F110" i="3" s="1"/>
  <c r="E109" i="3"/>
  <c r="F109" i="3" s="1"/>
  <c r="E108" i="3"/>
  <c r="F108" i="3" s="1"/>
  <c r="E107" i="3"/>
  <c r="F107" i="3" s="1"/>
  <c r="F106" i="3"/>
  <c r="E106" i="3"/>
  <c r="E105" i="3"/>
  <c r="F105" i="3" s="1"/>
  <c r="E104" i="3"/>
  <c r="F104" i="3" s="1"/>
  <c r="E103" i="3"/>
  <c r="F103" i="3" s="1"/>
  <c r="E102" i="3"/>
  <c r="F102" i="3" s="1"/>
  <c r="E101" i="3"/>
  <c r="F101" i="3" s="1"/>
  <c r="E100" i="3"/>
  <c r="F100" i="3" s="1"/>
  <c r="D94" i="3"/>
  <c r="C94" i="3"/>
  <c r="E94" i="3" s="1"/>
  <c r="D93" i="3"/>
  <c r="C93" i="3"/>
  <c r="E93" i="3" s="1"/>
  <c r="D92" i="3"/>
  <c r="C92" i="3"/>
  <c r="E92" i="3" s="1"/>
  <c r="D91" i="3"/>
  <c r="C91" i="3"/>
  <c r="E91" i="3" s="1"/>
  <c r="D90" i="3"/>
  <c r="C90" i="3"/>
  <c r="F90" i="3" s="1"/>
  <c r="D89" i="3"/>
  <c r="C89" i="3"/>
  <c r="D88" i="3"/>
  <c r="C88" i="3"/>
  <c r="E88" i="3" s="1"/>
  <c r="D87" i="3"/>
  <c r="C87" i="3"/>
  <c r="E87" i="3" s="1"/>
  <c r="D86" i="3"/>
  <c r="C86" i="3"/>
  <c r="D85" i="3"/>
  <c r="C85" i="3"/>
  <c r="E85" i="3" s="1"/>
  <c r="D84" i="3"/>
  <c r="C84" i="3"/>
  <c r="D81" i="3"/>
  <c r="C81" i="3"/>
  <c r="E80" i="3"/>
  <c r="F80" i="3" s="1"/>
  <c r="E79" i="3"/>
  <c r="F79" i="3" s="1"/>
  <c r="E78" i="3"/>
  <c r="F78" i="3" s="1"/>
  <c r="E77" i="3"/>
  <c r="F77" i="3" s="1"/>
  <c r="F76" i="3"/>
  <c r="E76" i="3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E68" i="3"/>
  <c r="F68" i="3" s="1"/>
  <c r="C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D51" i="3"/>
  <c r="E51" i="3" s="1"/>
  <c r="F51" i="3" s="1"/>
  <c r="C51" i="3"/>
  <c r="D50" i="3"/>
  <c r="E50" i="3" s="1"/>
  <c r="F50" i="3" s="1"/>
  <c r="C50" i="3"/>
  <c r="D49" i="3"/>
  <c r="C49" i="3"/>
  <c r="D48" i="3"/>
  <c r="E48" i="3"/>
  <c r="F48" i="3" s="1"/>
  <c r="C48" i="3"/>
  <c r="F47" i="3"/>
  <c r="D47" i="3"/>
  <c r="E47" i="3"/>
  <c r="C47" i="3"/>
  <c r="D46" i="3"/>
  <c r="E46" i="3" s="1"/>
  <c r="F46" i="3" s="1"/>
  <c r="C46" i="3"/>
  <c r="D45" i="3"/>
  <c r="C45" i="3"/>
  <c r="D44" i="3"/>
  <c r="E44" i="3"/>
  <c r="F44" i="3" s="1"/>
  <c r="C44" i="3"/>
  <c r="D43" i="3"/>
  <c r="E43" i="3" s="1"/>
  <c r="F43" i="3" s="1"/>
  <c r="C43" i="3"/>
  <c r="D42" i="3"/>
  <c r="E42" i="3" s="1"/>
  <c r="F42" i="3" s="1"/>
  <c r="C42" i="3"/>
  <c r="D41" i="3"/>
  <c r="C41" i="3"/>
  <c r="C52" i="3" s="1"/>
  <c r="D38" i="3"/>
  <c r="E38" i="3" s="1"/>
  <c r="C38" i="3"/>
  <c r="E37" i="3"/>
  <c r="F37" i="3" s="1"/>
  <c r="E36" i="3"/>
  <c r="F36" i="3" s="1"/>
  <c r="E35" i="3"/>
  <c r="F35" i="3" s="1"/>
  <c r="E34" i="3"/>
  <c r="F34" i="3" s="1"/>
  <c r="F33" i="3"/>
  <c r="E33" i="3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D25" i="3"/>
  <c r="C25" i="3"/>
  <c r="E24" i="3"/>
  <c r="F24" i="3" s="1"/>
  <c r="E23" i="3"/>
  <c r="F23" i="3" s="1"/>
  <c r="E22" i="3"/>
  <c r="F22" i="3" s="1"/>
  <c r="E21" i="3"/>
  <c r="F21" i="3" s="1"/>
  <c r="F20" i="3"/>
  <c r="E20" i="3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C46" i="2"/>
  <c r="F45" i="2"/>
  <c r="E45" i="2"/>
  <c r="E44" i="2"/>
  <c r="F44" i="2" s="1"/>
  <c r="D39" i="2"/>
  <c r="C39" i="2"/>
  <c r="E38" i="2"/>
  <c r="F38" i="2" s="1"/>
  <c r="E37" i="2"/>
  <c r="F37" i="2" s="1"/>
  <c r="E36" i="2"/>
  <c r="F36" i="2" s="1"/>
  <c r="D31" i="2"/>
  <c r="C31" i="2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F18" i="2"/>
  <c r="E18" i="2"/>
  <c r="E17" i="2"/>
  <c r="F17" i="2" s="1"/>
  <c r="D16" i="2"/>
  <c r="C16" i="2"/>
  <c r="E16" i="2" s="1"/>
  <c r="F15" i="2"/>
  <c r="E15" i="2"/>
  <c r="E14" i="2"/>
  <c r="F14" i="2" s="1"/>
  <c r="E13" i="2"/>
  <c r="F13" i="2" s="1"/>
  <c r="E12" i="2"/>
  <c r="F12" i="2" s="1"/>
  <c r="D73" i="1"/>
  <c r="E73" i="1" s="1"/>
  <c r="C73" i="1"/>
  <c r="E72" i="1"/>
  <c r="F72" i="1" s="1"/>
  <c r="E71" i="1"/>
  <c r="F71" i="1" s="1"/>
  <c r="E70" i="1"/>
  <c r="F70" i="1" s="1"/>
  <c r="F67" i="1"/>
  <c r="E67" i="1"/>
  <c r="E64" i="1"/>
  <c r="F64" i="1" s="1"/>
  <c r="E63" i="1"/>
  <c r="F63" i="1" s="1"/>
  <c r="D61" i="1"/>
  <c r="D65" i="1" s="1"/>
  <c r="C61" i="1"/>
  <c r="E61" i="1" s="1"/>
  <c r="F60" i="1"/>
  <c r="E60" i="1"/>
  <c r="E59" i="1"/>
  <c r="F59" i="1" s="1"/>
  <c r="D56" i="1"/>
  <c r="E56" i="1" s="1"/>
  <c r="C56" i="1"/>
  <c r="F56" i="1" s="1"/>
  <c r="E55" i="1"/>
  <c r="F55" i="1" s="1"/>
  <c r="E54" i="1"/>
  <c r="F54" i="1" s="1"/>
  <c r="E53" i="1"/>
  <c r="F53" i="1" s="1"/>
  <c r="F52" i="1"/>
  <c r="E52" i="1"/>
  <c r="F51" i="1"/>
  <c r="E51" i="1"/>
  <c r="E50" i="1"/>
  <c r="F50" i="1" s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C38" i="1"/>
  <c r="C41" i="1"/>
  <c r="E37" i="1"/>
  <c r="F37" i="1" s="1"/>
  <c r="E36" i="1"/>
  <c r="F36" i="1" s="1"/>
  <c r="E33" i="1"/>
  <c r="F33" i="1" s="1"/>
  <c r="E32" i="1"/>
  <c r="F32" i="1" s="1"/>
  <c r="F31" i="1"/>
  <c r="E31" i="1"/>
  <c r="D29" i="1"/>
  <c r="C29" i="1"/>
  <c r="E28" i="1"/>
  <c r="F28" i="1" s="1"/>
  <c r="E27" i="1"/>
  <c r="F27" i="1" s="1"/>
  <c r="F26" i="1"/>
  <c r="E26" i="1"/>
  <c r="E25" i="1"/>
  <c r="F25" i="1" s="1"/>
  <c r="D22" i="1"/>
  <c r="C22" i="1"/>
  <c r="E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F14" i="1"/>
  <c r="E14" i="1"/>
  <c r="E13" i="1"/>
  <c r="F13" i="1" s="1"/>
  <c r="D103" i="14"/>
  <c r="E103" i="14" s="1"/>
  <c r="F103" i="14" s="1"/>
  <c r="E102" i="14"/>
  <c r="E23" i="14"/>
  <c r="F44" i="14"/>
  <c r="F67" i="14"/>
  <c r="D264" i="14"/>
  <c r="D214" i="14"/>
  <c r="D254" i="14"/>
  <c r="E52" i="14"/>
  <c r="E144" i="14"/>
  <c r="F144" i="14" s="1"/>
  <c r="E297" i="14"/>
  <c r="F297" i="14" s="1"/>
  <c r="D68" i="14"/>
  <c r="D181" i="14"/>
  <c r="F36" i="11"/>
  <c r="F38" i="11" s="1"/>
  <c r="F40" i="11" s="1"/>
  <c r="H33" i="11"/>
  <c r="H36" i="11" s="1"/>
  <c r="H38" i="11" s="1"/>
  <c r="H40" i="11" s="1"/>
  <c r="D25" i="5"/>
  <c r="D27" i="5" s="1"/>
  <c r="D15" i="5"/>
  <c r="C53" i="5"/>
  <c r="C49" i="5"/>
  <c r="C43" i="5"/>
  <c r="D88" i="5"/>
  <c r="D90" i="5" s="1"/>
  <c r="D86" i="5" s="1"/>
  <c r="D77" i="5"/>
  <c r="D71" i="5" s="1"/>
  <c r="C156" i="5"/>
  <c r="C152" i="5"/>
  <c r="C155" i="5"/>
  <c r="C154" i="5"/>
  <c r="C157" i="5"/>
  <c r="C153" i="5"/>
  <c r="E21" i="10"/>
  <c r="C160" i="14"/>
  <c r="E48" i="14"/>
  <c r="F48" i="14" s="1"/>
  <c r="D52" i="3"/>
  <c r="D95" i="3"/>
  <c r="D83" i="4"/>
  <c r="E19" i="9"/>
  <c r="D33" i="9"/>
  <c r="D24" i="10"/>
  <c r="D17" i="10"/>
  <c r="D28" i="10"/>
  <c r="D70" i="10" s="1"/>
  <c r="D72" i="10" s="1"/>
  <c r="D69" i="10" s="1"/>
  <c r="C21" i="10"/>
  <c r="C33" i="9"/>
  <c r="F19" i="9"/>
  <c r="E159" i="14"/>
  <c r="F159" i="14"/>
  <c r="D41" i="1"/>
  <c r="D19" i="2"/>
  <c r="D75" i="1"/>
  <c r="D176" i="4"/>
  <c r="C214" i="14"/>
  <c r="C190" i="14"/>
  <c r="C261" i="14"/>
  <c r="C254" i="14"/>
  <c r="E188" i="14"/>
  <c r="F188" i="14" s="1"/>
  <c r="E43" i="15"/>
  <c r="C46" i="19"/>
  <c r="C40" i="19"/>
  <c r="C36" i="19"/>
  <c r="C30" i="19"/>
  <c r="C111" i="19"/>
  <c r="C54" i="19"/>
  <c r="E280" i="14"/>
  <c r="D208" i="6"/>
  <c r="D121" i="7"/>
  <c r="E121" i="7" s="1"/>
  <c r="F121" i="7" s="1"/>
  <c r="D122" i="7"/>
  <c r="D33" i="11"/>
  <c r="D36" i="11" s="1"/>
  <c r="D38" i="11" s="1"/>
  <c r="F29" i="14"/>
  <c r="F35" i="14"/>
  <c r="C37" i="14"/>
  <c r="F58" i="14"/>
  <c r="F94" i="14"/>
  <c r="C111" i="14"/>
  <c r="C193" i="14"/>
  <c r="C282" i="14" s="1"/>
  <c r="C277" i="14"/>
  <c r="E189" i="15"/>
  <c r="E244" i="15"/>
  <c r="E294" i="14"/>
  <c r="F294" i="14" s="1"/>
  <c r="E22" i="15"/>
  <c r="D284" i="15"/>
  <c r="E284" i="15" s="1"/>
  <c r="D100" i="15"/>
  <c r="D96" i="15"/>
  <c r="D89" i="15"/>
  <c r="D85" i="15"/>
  <c r="D99" i="15"/>
  <c r="D95" i="15"/>
  <c r="D88" i="15"/>
  <c r="D84" i="15"/>
  <c r="D258" i="15"/>
  <c r="D98" i="15"/>
  <c r="D87" i="15"/>
  <c r="D83" i="15"/>
  <c r="D101" i="15"/>
  <c r="D97" i="15"/>
  <c r="D86" i="15"/>
  <c r="E156" i="15"/>
  <c r="D157" i="15"/>
  <c r="E157" i="15"/>
  <c r="C108" i="19"/>
  <c r="C109" i="19"/>
  <c r="D62" i="14"/>
  <c r="D90" i="14"/>
  <c r="D160" i="14"/>
  <c r="E160" i="14" s="1"/>
  <c r="F160" i="14" s="1"/>
  <c r="D207" i="14"/>
  <c r="D138" i="14"/>
  <c r="D173" i="14"/>
  <c r="D207" i="6"/>
  <c r="E207" i="6" s="1"/>
  <c r="F207" i="6" s="1"/>
  <c r="E53" i="5"/>
  <c r="E22" i="8"/>
  <c r="F22" i="8" s="1"/>
  <c r="E56" i="8"/>
  <c r="F56" i="8" s="1"/>
  <c r="E61" i="8"/>
  <c r="F61" i="8" s="1"/>
  <c r="E16" i="9"/>
  <c r="F16" i="9" s="1"/>
  <c r="D25" i="10"/>
  <c r="D27" i="10"/>
  <c r="D48" i="10"/>
  <c r="D42" i="10"/>
  <c r="F31" i="11"/>
  <c r="C21" i="14"/>
  <c r="C32" i="14"/>
  <c r="E47" i="14"/>
  <c r="F47" i="14"/>
  <c r="C77" i="14"/>
  <c r="E77" i="14" s="1"/>
  <c r="C89" i="14"/>
  <c r="F110" i="14"/>
  <c r="F145" i="14"/>
  <c r="F180" i="14"/>
  <c r="C192" i="14"/>
  <c r="C206" i="14"/>
  <c r="F238" i="14"/>
  <c r="C266" i="14"/>
  <c r="E158" i="14"/>
  <c r="F158" i="14"/>
  <c r="C181" i="14"/>
  <c r="E179" i="14"/>
  <c r="F179" i="14" s="1"/>
  <c r="C239" i="14"/>
  <c r="E237" i="14"/>
  <c r="F237" i="14" s="1"/>
  <c r="C306" i="14"/>
  <c r="C168" i="15"/>
  <c r="C145" i="15"/>
  <c r="D320" i="15"/>
  <c r="E320" i="15"/>
  <c r="E316" i="15"/>
  <c r="D330" i="15"/>
  <c r="E330" i="15" s="1"/>
  <c r="E326" i="15"/>
  <c r="H17" i="11"/>
  <c r="F23" i="14"/>
  <c r="F31" i="14"/>
  <c r="C304" i="14"/>
  <c r="F52" i="14"/>
  <c r="F66" i="14"/>
  <c r="C68" i="14"/>
  <c r="F76" i="14"/>
  <c r="F88" i="14"/>
  <c r="D76" i="15"/>
  <c r="D41" i="17"/>
  <c r="E165" i="14"/>
  <c r="F165" i="14" s="1"/>
  <c r="C278" i="14"/>
  <c r="C215" i="14"/>
  <c r="C199" i="14"/>
  <c r="C283" i="14"/>
  <c r="C205" i="14"/>
  <c r="E33" i="15"/>
  <c r="E57" i="5"/>
  <c r="E62" i="5"/>
  <c r="D41" i="8"/>
  <c r="E20" i="14"/>
  <c r="F20" i="14" s="1"/>
  <c r="F101" i="14"/>
  <c r="F102" i="14"/>
  <c r="C124" i="14"/>
  <c r="F136" i="14"/>
  <c r="C146" i="14"/>
  <c r="F170" i="14"/>
  <c r="C262" i="14"/>
  <c r="F280" i="14"/>
  <c r="E295" i="14"/>
  <c r="F295" i="14"/>
  <c r="C76" i="15"/>
  <c r="C77" i="15"/>
  <c r="C303" i="15"/>
  <c r="C306" i="15" s="1"/>
  <c r="F44" i="17"/>
  <c r="E298" i="14"/>
  <c r="F298" i="14"/>
  <c r="E311" i="14"/>
  <c r="F311" i="14"/>
  <c r="E32" i="15"/>
  <c r="E38" i="15"/>
  <c r="E54" i="15"/>
  <c r="E60" i="15"/>
  <c r="E70" i="15"/>
  <c r="D77" i="15"/>
  <c r="E139" i="15"/>
  <c r="C163" i="15"/>
  <c r="E163" i="15" s="1"/>
  <c r="D175" i="15"/>
  <c r="E188" i="15"/>
  <c r="D217" i="15"/>
  <c r="E218" i="15"/>
  <c r="E233" i="15"/>
  <c r="D239" i="15"/>
  <c r="C242" i="15"/>
  <c r="E242" i="15" s="1"/>
  <c r="E251" i="15"/>
  <c r="D261" i="15"/>
  <c r="D283" i="15"/>
  <c r="D289" i="15"/>
  <c r="D302" i="15"/>
  <c r="E302" i="15" s="1"/>
  <c r="C37" i="16"/>
  <c r="C38" i="16" s="1"/>
  <c r="C127" i="16" s="1"/>
  <c r="C129" i="16" s="1"/>
  <c r="C133" i="16" s="1"/>
  <c r="C20" i="17"/>
  <c r="C40" i="17"/>
  <c r="C41" i="17"/>
  <c r="C46" i="17"/>
  <c r="E29" i="19"/>
  <c r="C33" i="19"/>
  <c r="D34" i="19"/>
  <c r="E35" i="19"/>
  <c r="E39" i="19"/>
  <c r="E45" i="19"/>
  <c r="C101" i="19"/>
  <c r="D267" i="14"/>
  <c r="D285" i="14"/>
  <c r="D306" i="14"/>
  <c r="E21" i="15"/>
  <c r="E151" i="15"/>
  <c r="C175" i="15"/>
  <c r="D222" i="15"/>
  <c r="C239" i="15"/>
  <c r="C261" i="15"/>
  <c r="C289" i="15"/>
  <c r="D303" i="15"/>
  <c r="E314" i="15"/>
  <c r="C49" i="16"/>
  <c r="D22" i="19"/>
  <c r="E23" i="19"/>
  <c r="C34" i="19"/>
  <c r="E108" i="19"/>
  <c r="D124" i="14"/>
  <c r="D200" i="14"/>
  <c r="D206" i="14"/>
  <c r="E206" i="14" s="1"/>
  <c r="F206" i="14" s="1"/>
  <c r="D262" i="14"/>
  <c r="D274" i="14"/>
  <c r="E274" i="14" s="1"/>
  <c r="F274" i="14" s="1"/>
  <c r="D65" i="15"/>
  <c r="D144" i="15"/>
  <c r="D245" i="15"/>
  <c r="E245" i="15"/>
  <c r="E324" i="15"/>
  <c r="E19" i="17"/>
  <c r="F19" i="17" s="1"/>
  <c r="E39" i="17"/>
  <c r="E43" i="17"/>
  <c r="E46" i="17" s="1"/>
  <c r="F46" i="17" s="1"/>
  <c r="C22" i="19"/>
  <c r="D23" i="19"/>
  <c r="E53" i="19"/>
  <c r="E101" i="19"/>
  <c r="E103" i="19" s="1"/>
  <c r="D199" i="14"/>
  <c r="E199" i="14"/>
  <c r="D205" i="14"/>
  <c r="E205" i="14"/>
  <c r="D215" i="14"/>
  <c r="D216" i="14"/>
  <c r="D283" i="14"/>
  <c r="D287" i="14" s="1"/>
  <c r="E191" i="14"/>
  <c r="F191" i="14" s="1"/>
  <c r="C65" i="15"/>
  <c r="C66" i="15" s="1"/>
  <c r="D21" i="14"/>
  <c r="D190" i="14"/>
  <c r="E190" i="14" s="1"/>
  <c r="F190" i="14" s="1"/>
  <c r="D140" i="14"/>
  <c r="D141" i="14" s="1"/>
  <c r="D104" i="14"/>
  <c r="D105" i="14"/>
  <c r="C126" i="15"/>
  <c r="C122" i="15"/>
  <c r="C115" i="15"/>
  <c r="C111" i="15"/>
  <c r="C125" i="15"/>
  <c r="C121" i="15"/>
  <c r="C114" i="15"/>
  <c r="C110" i="15"/>
  <c r="C124" i="15"/>
  <c r="C113" i="15"/>
  <c r="C109" i="15"/>
  <c r="C127" i="15"/>
  <c r="C123" i="15"/>
  <c r="C112" i="15"/>
  <c r="C45" i="19"/>
  <c r="C39" i="19"/>
  <c r="C35" i="19"/>
  <c r="C29" i="19"/>
  <c r="C110" i="19"/>
  <c r="C53" i="19"/>
  <c r="E54" i="19"/>
  <c r="E46" i="19"/>
  <c r="E40" i="19"/>
  <c r="E36" i="19"/>
  <c r="E30" i="19"/>
  <c r="E111" i="19"/>
  <c r="D306" i="15"/>
  <c r="E303" i="15"/>
  <c r="E254" i="14"/>
  <c r="E239" i="14"/>
  <c r="F239" i="14" s="1"/>
  <c r="C126" i="14"/>
  <c r="C161" i="14"/>
  <c r="C91" i="14"/>
  <c r="C49" i="14"/>
  <c r="D90" i="15"/>
  <c r="E111" i="14"/>
  <c r="F111" i="14"/>
  <c r="C56" i="19"/>
  <c r="C48" i="19"/>
  <c r="C38" i="19"/>
  <c r="C113" i="19"/>
  <c r="D33" i="2"/>
  <c r="E175" i="15"/>
  <c r="C259" i="15"/>
  <c r="C263" i="15" s="1"/>
  <c r="D270" i="14"/>
  <c r="E267" i="14"/>
  <c r="F267" i="14"/>
  <c r="D127" i="15"/>
  <c r="E127" i="15"/>
  <c r="D123" i="15"/>
  <c r="E123" i="15"/>
  <c r="D112" i="15"/>
  <c r="E112" i="15"/>
  <c r="E77" i="15"/>
  <c r="D126" i="15"/>
  <c r="E126" i="15" s="1"/>
  <c r="D122" i="15"/>
  <c r="D115" i="15"/>
  <c r="E115" i="15" s="1"/>
  <c r="D111" i="15"/>
  <c r="E111" i="15" s="1"/>
  <c r="D125" i="15"/>
  <c r="E125" i="15" s="1"/>
  <c r="D121" i="15"/>
  <c r="D114" i="15"/>
  <c r="E114" i="15" s="1"/>
  <c r="D110" i="15"/>
  <c r="D124" i="15"/>
  <c r="E124" i="15"/>
  <c r="D113" i="15"/>
  <c r="E113" i="15"/>
  <c r="D109" i="15"/>
  <c r="E146" i="14"/>
  <c r="F146" i="14" s="1"/>
  <c r="E181" i="14"/>
  <c r="F181" i="14"/>
  <c r="E89" i="14"/>
  <c r="F89" i="14"/>
  <c r="C105" i="14"/>
  <c r="E32" i="14"/>
  <c r="F32" i="14" s="1"/>
  <c r="D22" i="10"/>
  <c r="D21" i="10"/>
  <c r="D20" i="10"/>
  <c r="D63" i="14"/>
  <c r="D91" i="15"/>
  <c r="C287" i="14"/>
  <c r="C279" i="14"/>
  <c r="E277" i="14"/>
  <c r="F277" i="14" s="1"/>
  <c r="C284" i="14"/>
  <c r="E261" i="15"/>
  <c r="C90" i="14"/>
  <c r="D46" i="19"/>
  <c r="D40" i="19"/>
  <c r="D36" i="19"/>
  <c r="D30" i="19"/>
  <c r="D54" i="19"/>
  <c r="D286" i="14"/>
  <c r="E283" i="14"/>
  <c r="D272" i="14"/>
  <c r="E262" i="14"/>
  <c r="E68" i="14"/>
  <c r="F68" i="14" s="1"/>
  <c r="D208" i="14"/>
  <c r="D102" i="15"/>
  <c r="C194" i="14"/>
  <c r="C196" i="14" s="1"/>
  <c r="C268" i="14"/>
  <c r="C271" i="14"/>
  <c r="C263" i="14"/>
  <c r="E33" i="9"/>
  <c r="D41" i="9"/>
  <c r="D24" i="5"/>
  <c r="D17" i="5"/>
  <c r="F199" i="14"/>
  <c r="D253" i="15"/>
  <c r="D300" i="14"/>
  <c r="F43" i="17"/>
  <c r="D174" i="14"/>
  <c r="D43" i="8"/>
  <c r="D126" i="14"/>
  <c r="D91" i="14"/>
  <c r="D49" i="14"/>
  <c r="D161" i="14"/>
  <c r="E21" i="14"/>
  <c r="F21" i="14"/>
  <c r="D66" i="15"/>
  <c r="E65" i="15"/>
  <c r="E47" i="19"/>
  <c r="E37" i="19"/>
  <c r="E112" i="19"/>
  <c r="E55" i="19"/>
  <c r="F283" i="14"/>
  <c r="E215" i="14"/>
  <c r="F215" i="14"/>
  <c r="D255" i="14"/>
  <c r="E255" i="14"/>
  <c r="F255" i="14" s="1"/>
  <c r="D145" i="15"/>
  <c r="E144" i="15"/>
  <c r="D168" i="15"/>
  <c r="E168" i="15" s="1"/>
  <c r="D53" i="19"/>
  <c r="D45" i="19"/>
  <c r="D39" i="19"/>
  <c r="D35" i="19"/>
  <c r="D29" i="19"/>
  <c r="D246" i="15"/>
  <c r="E217" i="15"/>
  <c r="D241" i="15"/>
  <c r="F262" i="14"/>
  <c r="C169" i="15"/>
  <c r="D106" i="14"/>
  <c r="E105" i="14"/>
  <c r="F254" i="14"/>
  <c r="C216" i="14"/>
  <c r="E214" i="14"/>
  <c r="F214" i="14" s="1"/>
  <c r="E41" i="1"/>
  <c r="F41" i="1" s="1"/>
  <c r="D43" i="1"/>
  <c r="C41" i="9"/>
  <c r="F33" i="9"/>
  <c r="E239" i="15"/>
  <c r="E76" i="15"/>
  <c r="C294" i="15"/>
  <c r="E124" i="14"/>
  <c r="F124" i="14"/>
  <c r="D294" i="15"/>
  <c r="E306" i="14"/>
  <c r="E289" i="15"/>
  <c r="F39" i="17"/>
  <c r="F205" i="14"/>
  <c r="E20" i="17"/>
  <c r="F20" i="17" s="1"/>
  <c r="D125" i="14"/>
  <c r="D175" i="14"/>
  <c r="E40" i="17"/>
  <c r="F40" i="17" s="1"/>
  <c r="D223" i="15"/>
  <c r="D139" i="14"/>
  <c r="D259" i="15"/>
  <c r="C125" i="14"/>
  <c r="C158" i="5"/>
  <c r="D176" i="14"/>
  <c r="C48" i="9"/>
  <c r="D92" i="14"/>
  <c r="E91" i="14"/>
  <c r="F91" i="14" s="1"/>
  <c r="D112" i="5"/>
  <c r="D111" i="5" s="1"/>
  <c r="D28" i="5"/>
  <c r="D41" i="2"/>
  <c r="C50" i="14"/>
  <c r="C162" i="14"/>
  <c r="E48" i="19"/>
  <c r="E38" i="19"/>
  <c r="E113" i="19"/>
  <c r="E56" i="19"/>
  <c r="E259" i="15"/>
  <c r="D295" i="15"/>
  <c r="D50" i="14"/>
  <c r="E49" i="14"/>
  <c r="F49" i="14" s="1"/>
  <c r="E121" i="15"/>
  <c r="E122" i="15"/>
  <c r="D128" i="15"/>
  <c r="D129" i="15" s="1"/>
  <c r="C112" i="19"/>
  <c r="C55" i="19"/>
  <c r="C47" i="19"/>
  <c r="C37" i="19"/>
  <c r="E294" i="15"/>
  <c r="E41" i="17"/>
  <c r="F41" i="17" s="1"/>
  <c r="E216" i="14"/>
  <c r="F216" i="14" s="1"/>
  <c r="D247" i="15"/>
  <c r="D47" i="19"/>
  <c r="D37" i="19"/>
  <c r="D55" i="19"/>
  <c r="E145" i="15"/>
  <c r="D169" i="15"/>
  <c r="E169" i="15" s="1"/>
  <c r="D48" i="9"/>
  <c r="E48" i="9" s="1"/>
  <c r="F48" i="9" s="1"/>
  <c r="E41" i="9"/>
  <c r="F41" i="9" s="1"/>
  <c r="D210" i="14"/>
  <c r="D209" i="14"/>
  <c r="F105" i="14"/>
  <c r="C106" i="14"/>
  <c r="E106" i="14" s="1"/>
  <c r="F106" i="14" s="1"/>
  <c r="E109" i="15"/>
  <c r="D310" i="15"/>
  <c r="C116" i="15"/>
  <c r="C117" i="15" s="1"/>
  <c r="D162" i="14"/>
  <c r="E161" i="14"/>
  <c r="F161" i="14" s="1"/>
  <c r="D127" i="14"/>
  <c r="E126" i="14"/>
  <c r="F126" i="14"/>
  <c r="C195" i="14"/>
  <c r="D56" i="19"/>
  <c r="D48" i="19"/>
  <c r="D38" i="19"/>
  <c r="D116" i="15"/>
  <c r="E116" i="15"/>
  <c r="E110" i="15"/>
  <c r="C92" i="14"/>
  <c r="C113" i="14" s="1"/>
  <c r="C127" i="14"/>
  <c r="E125" i="14"/>
  <c r="F125" i="14" s="1"/>
  <c r="D103" i="15"/>
  <c r="E90" i="14"/>
  <c r="F90" i="14" s="1"/>
  <c r="C324" i="14"/>
  <c r="C197" i="14"/>
  <c r="D211" i="14"/>
  <c r="D99" i="5"/>
  <c r="D101" i="5" s="1"/>
  <c r="D98" i="5" s="1"/>
  <c r="D70" i="14"/>
  <c r="E50" i="14"/>
  <c r="F50" i="14" s="1"/>
  <c r="D324" i="14"/>
  <c r="E324" i="14" s="1"/>
  <c r="F324" i="14" s="1"/>
  <c r="D113" i="14"/>
  <c r="E92" i="14"/>
  <c r="D117" i="15"/>
  <c r="D48" i="2"/>
  <c r="D183" i="14"/>
  <c r="D323" i="14"/>
  <c r="E162" i="14"/>
  <c r="F162" i="14" s="1"/>
  <c r="E127" i="14"/>
  <c r="F127" i="14" s="1"/>
  <c r="D105" i="15"/>
  <c r="D140" i="5" l="1"/>
  <c r="D139" i="5"/>
  <c r="D138" i="5"/>
  <c r="D136" i="5"/>
  <c r="D135" i="5"/>
  <c r="D141" i="5" s="1"/>
  <c r="D137" i="5"/>
  <c r="E154" i="5"/>
  <c r="E153" i="5"/>
  <c r="E152" i="5"/>
  <c r="E157" i="5"/>
  <c r="E156" i="5"/>
  <c r="E155" i="5"/>
  <c r="C128" i="15"/>
  <c r="C129" i="15" s="1"/>
  <c r="E52" i="3"/>
  <c r="F52" i="3" s="1"/>
  <c r="E38" i="1"/>
  <c r="F38" i="1" s="1"/>
  <c r="F73" i="1"/>
  <c r="E31" i="2"/>
  <c r="E39" i="2"/>
  <c r="E46" i="2"/>
  <c r="E25" i="3"/>
  <c r="F38" i="3"/>
  <c r="E41" i="3"/>
  <c r="F41" i="3" s="1"/>
  <c r="E45" i="3"/>
  <c r="F45" i="3" s="1"/>
  <c r="E49" i="3"/>
  <c r="F49" i="3" s="1"/>
  <c r="E81" i="3"/>
  <c r="F81" i="3" s="1"/>
  <c r="E84" i="3"/>
  <c r="E86" i="3"/>
  <c r="E89" i="3"/>
  <c r="E90" i="3"/>
  <c r="E137" i="3"/>
  <c r="F18" i="4"/>
  <c r="E30" i="4"/>
  <c r="C83" i="4"/>
  <c r="E83" i="4" s="1"/>
  <c r="F83" i="4" s="1"/>
  <c r="E41" i="4"/>
  <c r="F41" i="4" s="1"/>
  <c r="E59" i="4"/>
  <c r="F59" i="4" s="1"/>
  <c r="E155" i="4"/>
  <c r="E171" i="4"/>
  <c r="C27" i="5"/>
  <c r="C21" i="5" s="1"/>
  <c r="E27" i="5"/>
  <c r="E21" i="5" s="1"/>
  <c r="D57" i="5"/>
  <c r="D62" i="5" s="1"/>
  <c r="E43" i="5"/>
  <c r="D43" i="5"/>
  <c r="E86" i="5"/>
  <c r="D109" i="5"/>
  <c r="D106" i="5" s="1"/>
  <c r="E149" i="5"/>
  <c r="D166" i="5"/>
  <c r="E36" i="6"/>
  <c r="E37" i="6"/>
  <c r="E29" i="1"/>
  <c r="F29" i="1" s="1"/>
  <c r="F84" i="3"/>
  <c r="F86" i="3"/>
  <c r="C149" i="5"/>
  <c r="C48" i="10"/>
  <c r="C42" i="10" s="1"/>
  <c r="D50" i="10"/>
  <c r="C31" i="11"/>
  <c r="H31" i="11" s="1"/>
  <c r="E75" i="12"/>
  <c r="F75" i="12" s="1"/>
  <c r="C210" i="15"/>
  <c r="C229" i="15"/>
  <c r="C65" i="16"/>
  <c r="C114" i="16" s="1"/>
  <c r="C116" i="16" s="1"/>
  <c r="C119" i="16" s="1"/>
  <c r="C123" i="16" s="1"/>
  <c r="F33" i="17"/>
  <c r="E36" i="17"/>
  <c r="E230" i="14"/>
  <c r="F230" i="14" s="1"/>
  <c r="E49" i="6"/>
  <c r="E50" i="6"/>
  <c r="E75" i="6"/>
  <c r="E76" i="6"/>
  <c r="E153" i="6"/>
  <c r="E154" i="6"/>
  <c r="E166" i="6"/>
  <c r="E167" i="6"/>
  <c r="E179" i="6"/>
  <c r="E180" i="6"/>
  <c r="E192" i="6"/>
  <c r="E193" i="6"/>
  <c r="E198" i="6"/>
  <c r="F198" i="6" s="1"/>
  <c r="E203" i="6"/>
  <c r="E24" i="7"/>
  <c r="E35" i="7"/>
  <c r="E36" i="7"/>
  <c r="E59" i="7"/>
  <c r="E60" i="7"/>
  <c r="E71" i="7"/>
  <c r="E72" i="7"/>
  <c r="E83" i="7"/>
  <c r="E84" i="7"/>
  <c r="E95" i="7"/>
  <c r="E96" i="7"/>
  <c r="E113" i="7"/>
  <c r="E114" i="7"/>
  <c r="E115" i="7"/>
  <c r="E116" i="7"/>
  <c r="E117" i="7"/>
  <c r="E118" i="7"/>
  <c r="E119" i="7"/>
  <c r="E120" i="7"/>
  <c r="E38" i="8"/>
  <c r="C75" i="8"/>
  <c r="E75" i="8" s="1"/>
  <c r="E73" i="8"/>
  <c r="E39" i="9"/>
  <c r="E57" i="10"/>
  <c r="E33" i="11"/>
  <c r="E36" i="11" s="1"/>
  <c r="E38" i="11" s="1"/>
  <c r="E16" i="12"/>
  <c r="F16" i="12" s="1"/>
  <c r="E23" i="12"/>
  <c r="F23" i="12" s="1"/>
  <c r="E37" i="12"/>
  <c r="F37" i="12" s="1"/>
  <c r="E65" i="12"/>
  <c r="F65" i="12" s="1"/>
  <c r="E70" i="12"/>
  <c r="F70" i="12" s="1"/>
  <c r="F24" i="14"/>
  <c r="C285" i="14"/>
  <c r="C269" i="14"/>
  <c r="E71" i="15"/>
  <c r="E161" i="15"/>
  <c r="E176" i="15"/>
  <c r="E279" i="15"/>
  <c r="E301" i="15"/>
  <c r="D278" i="14"/>
  <c r="E189" i="14"/>
  <c r="F189" i="14" s="1"/>
  <c r="E250" i="14"/>
  <c r="F250" i="14" s="1"/>
  <c r="E59" i="14"/>
  <c r="E100" i="14"/>
  <c r="F100" i="14" s="1"/>
  <c r="E109" i="14"/>
  <c r="F109" i="14" s="1"/>
  <c r="E135" i="14"/>
  <c r="F135" i="14" s="1"/>
  <c r="E223" i="14"/>
  <c r="F223" i="14" s="1"/>
  <c r="F229" i="14"/>
  <c r="F296" i="14"/>
  <c r="E299" i="14"/>
  <c r="F299" i="14" s="1"/>
  <c r="C44" i="15"/>
  <c r="E165" i="15"/>
  <c r="E167" i="15"/>
  <c r="E219" i="15"/>
  <c r="E231" i="15"/>
  <c r="E265" i="15"/>
  <c r="E276" i="15"/>
  <c r="E278" i="15"/>
  <c r="E280" i="15"/>
  <c r="E282" i="15"/>
  <c r="F36" i="17"/>
  <c r="F45" i="17"/>
  <c r="E19" i="18"/>
  <c r="F19" i="18" s="1"/>
  <c r="E21" i="18"/>
  <c r="F21" i="18" s="1"/>
  <c r="D77" i="19"/>
  <c r="C102" i="19"/>
  <c r="C103" i="19" s="1"/>
  <c r="D102" i="19"/>
  <c r="C88" i="19"/>
  <c r="E88" i="19"/>
  <c r="D88" i="19"/>
  <c r="C98" i="19"/>
  <c r="D37" i="14"/>
  <c r="E37" i="14" s="1"/>
  <c r="F37" i="14" s="1"/>
  <c r="D192" i="14"/>
  <c r="C295" i="15"/>
  <c r="E66" i="15"/>
  <c r="E287" i="14"/>
  <c r="F287" i="14" s="1"/>
  <c r="C310" i="15"/>
  <c r="E310" i="15" s="1"/>
  <c r="E306" i="15"/>
  <c r="E113" i="14"/>
  <c r="F113" i="14" s="1"/>
  <c r="C131" i="15"/>
  <c r="E117" i="15"/>
  <c r="E129" i="15"/>
  <c r="D131" i="15"/>
  <c r="E131" i="15" s="1"/>
  <c r="E295" i="15"/>
  <c r="D322" i="14"/>
  <c r="D148" i="14"/>
  <c r="C281" i="14"/>
  <c r="D21" i="5"/>
  <c r="D20" i="5"/>
  <c r="D22" i="5"/>
  <c r="D325" i="14"/>
  <c r="F92" i="14"/>
  <c r="E128" i="15"/>
  <c r="D284" i="14"/>
  <c r="E284" i="14" s="1"/>
  <c r="F284" i="14" s="1"/>
  <c r="F31" i="2"/>
  <c r="F46" i="2"/>
  <c r="F89" i="3"/>
  <c r="F137" i="3"/>
  <c r="F171" i="4"/>
  <c r="F22" i="1"/>
  <c r="C43" i="1"/>
  <c r="C65" i="1"/>
  <c r="E65" i="1" s="1"/>
  <c r="F61" i="1"/>
  <c r="C19" i="2"/>
  <c r="F16" i="2"/>
  <c r="F39" i="2"/>
  <c r="F25" i="3"/>
  <c r="C95" i="3"/>
  <c r="E95" i="3" s="1"/>
  <c r="F85" i="3"/>
  <c r="F87" i="3"/>
  <c r="F88" i="3"/>
  <c r="F91" i="3"/>
  <c r="F92" i="3"/>
  <c r="F93" i="3"/>
  <c r="F94" i="3"/>
  <c r="F111" i="3"/>
  <c r="F124" i="3"/>
  <c r="F153" i="3"/>
  <c r="F166" i="3"/>
  <c r="F179" i="3"/>
  <c r="F24" i="4"/>
  <c r="F30" i="4"/>
  <c r="F35" i="4"/>
  <c r="C176" i="4"/>
  <c r="F155" i="4"/>
  <c r="E15" i="5"/>
  <c r="D49" i="5"/>
  <c r="C77" i="5"/>
  <c r="C71" i="5" s="1"/>
  <c r="E77" i="5"/>
  <c r="E71" i="5" s="1"/>
  <c r="F23" i="6"/>
  <c r="F24" i="6"/>
  <c r="F49" i="6"/>
  <c r="F50" i="6"/>
  <c r="F62" i="6"/>
  <c r="F63" i="6"/>
  <c r="F75" i="6"/>
  <c r="F76" i="6"/>
  <c r="F127" i="6"/>
  <c r="F128" i="6"/>
  <c r="F140" i="6"/>
  <c r="F141" i="6"/>
  <c r="F192" i="6"/>
  <c r="F193" i="6"/>
  <c r="C208" i="6"/>
  <c r="F199" i="6"/>
  <c r="F200" i="6"/>
  <c r="F202" i="6"/>
  <c r="F204" i="6"/>
  <c r="E65" i="8"/>
  <c r="F65" i="8" s="1"/>
  <c r="C15" i="5"/>
  <c r="F201" i="6"/>
  <c r="F203" i="6"/>
  <c r="F205" i="6"/>
  <c r="G36" i="11"/>
  <c r="G38" i="11" s="1"/>
  <c r="G40" i="11" s="1"/>
  <c r="I33" i="11"/>
  <c r="I36" i="11" s="1"/>
  <c r="I38" i="11" s="1"/>
  <c r="I40" i="11" s="1"/>
  <c r="F206" i="6"/>
  <c r="F23" i="7"/>
  <c r="F35" i="7"/>
  <c r="F36" i="7"/>
  <c r="F47" i="7"/>
  <c r="F48" i="7"/>
  <c r="F95" i="7"/>
  <c r="F96" i="7"/>
  <c r="F107" i="7"/>
  <c r="F108" i="7"/>
  <c r="C122" i="7"/>
  <c r="F113" i="7"/>
  <c r="F114" i="7"/>
  <c r="F115" i="7"/>
  <c r="F116" i="7"/>
  <c r="F117" i="7"/>
  <c r="F118" i="7"/>
  <c r="F119" i="7"/>
  <c r="F120" i="7"/>
  <c r="C41" i="8"/>
  <c r="F38" i="8"/>
  <c r="F73" i="8"/>
  <c r="F31" i="9"/>
  <c r="F39" i="9"/>
  <c r="F46" i="9"/>
  <c r="C15" i="10"/>
  <c r="E15" i="10"/>
  <c r="I17" i="11"/>
  <c r="G31" i="11"/>
  <c r="I31" i="11" s="1"/>
  <c r="E30" i="14"/>
  <c r="F30" i="14" s="1"/>
  <c r="F36" i="14"/>
  <c r="E53" i="14"/>
  <c r="F53" i="14"/>
  <c r="E85" i="14"/>
  <c r="F85" i="14" s="1"/>
  <c r="E48" i="10"/>
  <c r="E42" i="10" s="1"/>
  <c r="C60" i="14"/>
  <c r="F59" i="14"/>
  <c r="F120" i="14"/>
  <c r="E123" i="14"/>
  <c r="F123" i="14" s="1"/>
  <c r="E130" i="14"/>
  <c r="F130" i="14" s="1"/>
  <c r="C137" i="14"/>
  <c r="F171" i="14"/>
  <c r="C172" i="14"/>
  <c r="C264" i="14"/>
  <c r="C290" i="14"/>
  <c r="E198" i="14"/>
  <c r="F198" i="14" s="1"/>
  <c r="C200" i="14"/>
  <c r="E200" i="14" s="1"/>
  <c r="E203" i="14"/>
  <c r="F203" i="14" s="1"/>
  <c r="E204" i="14"/>
  <c r="F204" i="14" s="1"/>
  <c r="E226" i="14"/>
  <c r="F226" i="14" s="1"/>
  <c r="C227" i="14"/>
  <c r="C283" i="15"/>
  <c r="E283" i="15" s="1"/>
  <c r="E37" i="15"/>
  <c r="C222" i="15"/>
  <c r="C223" i="15" s="1"/>
  <c r="C240" i="15"/>
  <c r="C241" i="15"/>
  <c r="E241" i="15" s="1"/>
  <c r="E227" i="14"/>
  <c r="E129" i="14"/>
  <c r="F129" i="14" s="1"/>
  <c r="E195" i="15"/>
  <c r="D260" i="15"/>
  <c r="D210" i="15"/>
  <c r="E205" i="15"/>
  <c r="D229" i="15"/>
  <c r="E229" i="15" s="1"/>
  <c r="E215" i="15"/>
  <c r="E216" i="15"/>
  <c r="E34" i="19"/>
  <c r="D101" i="19"/>
  <c r="D103" i="19" s="1"/>
  <c r="D243" i="15"/>
  <c r="E25" i="17"/>
  <c r="F25" i="17" s="1"/>
  <c r="E33" i="19"/>
  <c r="D261" i="14"/>
  <c r="D193" i="14" l="1"/>
  <c r="E192" i="14"/>
  <c r="F192" i="14" s="1"/>
  <c r="D109" i="19"/>
  <c r="D112" i="19"/>
  <c r="D113" i="19"/>
  <c r="D108" i="19"/>
  <c r="D111" i="19"/>
  <c r="D110" i="19"/>
  <c r="E44" i="15"/>
  <c r="C99" i="15"/>
  <c r="E99" i="15" s="1"/>
  <c r="C88" i="15"/>
  <c r="E88" i="15" s="1"/>
  <c r="C258" i="15"/>
  <c r="C87" i="15"/>
  <c r="E87" i="15" s="1"/>
  <c r="C101" i="15"/>
  <c r="E101" i="15" s="1"/>
  <c r="C86" i="15"/>
  <c r="E86" i="15" s="1"/>
  <c r="C96" i="15"/>
  <c r="C85" i="15"/>
  <c r="E85" i="15" s="1"/>
  <c r="C95" i="15"/>
  <c r="C84" i="15"/>
  <c r="C98" i="15"/>
  <c r="E98" i="15" s="1"/>
  <c r="C83" i="15"/>
  <c r="C97" i="15"/>
  <c r="E97" i="15" s="1"/>
  <c r="C100" i="15"/>
  <c r="E100" i="15" s="1"/>
  <c r="C89" i="15"/>
  <c r="E89" i="15" s="1"/>
  <c r="C288" i="14"/>
  <c r="E285" i="14"/>
  <c r="F285" i="14" s="1"/>
  <c r="C286" i="14"/>
  <c r="E286" i="14" s="1"/>
  <c r="F286" i="14" s="1"/>
  <c r="E137" i="5"/>
  <c r="E136" i="5"/>
  <c r="E135" i="5"/>
  <c r="E140" i="5"/>
  <c r="E139" i="5"/>
  <c r="E138" i="5"/>
  <c r="E158" i="5"/>
  <c r="D279" i="14"/>
  <c r="E279" i="14" s="1"/>
  <c r="F279" i="14" s="1"/>
  <c r="E278" i="14"/>
  <c r="F278" i="14" s="1"/>
  <c r="D288" i="14"/>
  <c r="E269" i="14"/>
  <c r="C270" i="14"/>
  <c r="F269" i="14"/>
  <c r="C272" i="14"/>
  <c r="F75" i="8"/>
  <c r="C234" i="15"/>
  <c r="C211" i="15"/>
  <c r="C180" i="15"/>
  <c r="C139" i="5"/>
  <c r="C138" i="5"/>
  <c r="C140" i="5"/>
  <c r="C135" i="5"/>
  <c r="C137" i="5"/>
  <c r="C136" i="5"/>
  <c r="D157" i="5"/>
  <c r="D156" i="5"/>
  <c r="D155" i="5"/>
  <c r="D153" i="5"/>
  <c r="D152" i="5"/>
  <c r="D158" i="5" s="1"/>
  <c r="D154" i="5"/>
  <c r="D268" i="14"/>
  <c r="E268" i="14" s="1"/>
  <c r="F268" i="14" s="1"/>
  <c r="E261" i="14"/>
  <c r="F261" i="14" s="1"/>
  <c r="D271" i="14"/>
  <c r="D263" i="14"/>
  <c r="E263" i="14" s="1"/>
  <c r="F263" i="14" s="1"/>
  <c r="E210" i="15"/>
  <c r="D211" i="15"/>
  <c r="D234" i="15"/>
  <c r="E234" i="15" s="1"/>
  <c r="D180" i="15"/>
  <c r="E180" i="15" s="1"/>
  <c r="C252" i="15"/>
  <c r="C254" i="15" s="1"/>
  <c r="C253" i="15"/>
  <c r="E253" i="15" s="1"/>
  <c r="F227" i="14"/>
  <c r="D252" i="15"/>
  <c r="E243" i="15"/>
  <c r="E240" i="15"/>
  <c r="C247" i="15"/>
  <c r="E247" i="15" s="1"/>
  <c r="E223" i="15"/>
  <c r="E260" i="15"/>
  <c r="D263" i="15"/>
  <c r="C246" i="15"/>
  <c r="E246" i="15" s="1"/>
  <c r="E222" i="15"/>
  <c r="E264" i="14"/>
  <c r="C265" i="14"/>
  <c r="F264" i="14"/>
  <c r="C300" i="14"/>
  <c r="E60" i="14"/>
  <c r="C61" i="14"/>
  <c r="F60" i="14"/>
  <c r="C24" i="10"/>
  <c r="C20" i="10" s="1"/>
  <c r="C17" i="10"/>
  <c r="C28" i="10" s="1"/>
  <c r="C43" i="8"/>
  <c r="E41" i="8"/>
  <c r="F41" i="8" s="1"/>
  <c r="C75" i="1"/>
  <c r="F200" i="14"/>
  <c r="E290" i="14"/>
  <c r="F290" i="14" s="1"/>
  <c r="C173" i="14"/>
  <c r="E172" i="14"/>
  <c r="F172" i="14" s="1"/>
  <c r="C207" i="14"/>
  <c r="E137" i="14"/>
  <c r="F137" i="14" s="1"/>
  <c r="C138" i="14"/>
  <c r="E24" i="10"/>
  <c r="E20" i="10" s="1"/>
  <c r="E17" i="10"/>
  <c r="E28" i="10" s="1"/>
  <c r="E122" i="7"/>
  <c r="F122" i="7" s="1"/>
  <c r="C24" i="5"/>
  <c r="C20" i="5" s="1"/>
  <c r="C17" i="5"/>
  <c r="E208" i="6"/>
  <c r="F208" i="6" s="1"/>
  <c r="E24" i="5"/>
  <c r="E20" i="5" s="1"/>
  <c r="E17" i="5"/>
  <c r="F95" i="3"/>
  <c r="C33" i="2"/>
  <c r="E19" i="2"/>
  <c r="F19" i="2" s="1"/>
  <c r="F65" i="1"/>
  <c r="E176" i="4"/>
  <c r="F176" i="4" s="1"/>
  <c r="E43" i="1"/>
  <c r="F43" i="1" s="1"/>
  <c r="C235" i="15" l="1"/>
  <c r="C181" i="15"/>
  <c r="E141" i="5"/>
  <c r="E95" i="15"/>
  <c r="E96" i="15"/>
  <c r="C102" i="15"/>
  <c r="E102" i="15" s="1"/>
  <c r="E258" i="15"/>
  <c r="C264" i="15"/>
  <c r="C266" i="15" s="1"/>
  <c r="C267" i="15" s="1"/>
  <c r="C141" i="5"/>
  <c r="E272" i="14"/>
  <c r="F272" i="14" s="1"/>
  <c r="C273" i="14"/>
  <c r="E270" i="14"/>
  <c r="F270" i="14" s="1"/>
  <c r="E288" i="14"/>
  <c r="D291" i="14"/>
  <c r="D289" i="14"/>
  <c r="E289" i="14" s="1"/>
  <c r="F289" i="14" s="1"/>
  <c r="C289" i="14"/>
  <c r="F288" i="14"/>
  <c r="C291" i="14"/>
  <c r="C305" i="14" s="1"/>
  <c r="C309" i="14" s="1"/>
  <c r="C310" i="14" s="1"/>
  <c r="C312" i="14" s="1"/>
  <c r="E83" i="15"/>
  <c r="C90" i="15"/>
  <c r="E90" i="15" s="1"/>
  <c r="E84" i="15"/>
  <c r="D266" i="14"/>
  <c r="D282" i="14"/>
  <c r="D194" i="14"/>
  <c r="E193" i="14"/>
  <c r="F193" i="14" s="1"/>
  <c r="C313" i="14"/>
  <c r="E112" i="5"/>
  <c r="E111" i="5" s="1"/>
  <c r="E28" i="5"/>
  <c r="C28" i="5"/>
  <c r="C112" i="5"/>
  <c r="C111" i="5" s="1"/>
  <c r="E22" i="10"/>
  <c r="E70" i="10"/>
  <c r="E72" i="10" s="1"/>
  <c r="E69" i="10" s="1"/>
  <c r="C140" i="14"/>
  <c r="E138" i="14"/>
  <c r="F138" i="14" s="1"/>
  <c r="E173" i="14"/>
  <c r="F173" i="14"/>
  <c r="C175" i="14"/>
  <c r="E75" i="1"/>
  <c r="F75" i="1" s="1"/>
  <c r="C70" i="10"/>
  <c r="C72" i="10" s="1"/>
  <c r="C69" i="10" s="1"/>
  <c r="C22" i="10"/>
  <c r="E263" i="15"/>
  <c r="D264" i="15"/>
  <c r="E252" i="15"/>
  <c r="D254" i="15"/>
  <c r="E254" i="15" s="1"/>
  <c r="D181" i="15"/>
  <c r="E181" i="15" s="1"/>
  <c r="D235" i="15"/>
  <c r="E235" i="15" s="1"/>
  <c r="E211" i="15"/>
  <c r="C41" i="2"/>
  <c r="E33" i="2"/>
  <c r="F33" i="2" s="1"/>
  <c r="C208" i="14"/>
  <c r="E207" i="14"/>
  <c r="F207" i="14"/>
  <c r="E43" i="8"/>
  <c r="F43" i="8"/>
  <c r="C62" i="14"/>
  <c r="C209" i="14"/>
  <c r="C104" i="14"/>
  <c r="C174" i="14"/>
  <c r="C139" i="14"/>
  <c r="E61" i="14"/>
  <c r="F61" i="14" s="1"/>
  <c r="E300" i="14"/>
  <c r="F300" i="14" s="1"/>
  <c r="D273" i="14"/>
  <c r="E273" i="14" s="1"/>
  <c r="F273" i="14" s="1"/>
  <c r="D304" i="14"/>
  <c r="E271" i="14"/>
  <c r="F271" i="14" s="1"/>
  <c r="D281" i="14" l="1"/>
  <c r="E281" i="14" s="1"/>
  <c r="F281" i="14" s="1"/>
  <c r="E282" i="14"/>
  <c r="F282" i="14" s="1"/>
  <c r="C91" i="15"/>
  <c r="E291" i="14"/>
  <c r="F291" i="14" s="1"/>
  <c r="D305" i="14"/>
  <c r="D196" i="14"/>
  <c r="E194" i="14"/>
  <c r="F194" i="14" s="1"/>
  <c r="D195" i="14"/>
  <c r="E195" i="14" s="1"/>
  <c r="F195" i="14" s="1"/>
  <c r="E266" i="14"/>
  <c r="F266" i="14" s="1"/>
  <c r="D265" i="14"/>
  <c r="E265" i="14" s="1"/>
  <c r="F265" i="14" s="1"/>
  <c r="C269" i="15"/>
  <c r="C268" i="15"/>
  <c r="C103" i="15"/>
  <c r="E103" i="15" s="1"/>
  <c r="E139" i="14"/>
  <c r="F139" i="14" s="1"/>
  <c r="E209" i="14"/>
  <c r="F209" i="14" s="1"/>
  <c r="E304" i="14"/>
  <c r="F304" i="14" s="1"/>
  <c r="E174" i="14"/>
  <c r="F174" i="14"/>
  <c r="E62" i="14"/>
  <c r="C63" i="14"/>
  <c r="F62" i="14"/>
  <c r="C48" i="2"/>
  <c r="E41" i="2"/>
  <c r="F41" i="2" s="1"/>
  <c r="D266" i="15"/>
  <c r="E264" i="15"/>
  <c r="E175" i="14"/>
  <c r="F175" i="14" s="1"/>
  <c r="C176" i="14"/>
  <c r="E140" i="14"/>
  <c r="C141" i="14"/>
  <c r="F140" i="14"/>
  <c r="E99" i="5"/>
  <c r="E101" i="5" s="1"/>
  <c r="E98" i="5" s="1"/>
  <c r="E22" i="5"/>
  <c r="C251" i="14"/>
  <c r="C315" i="14"/>
  <c r="C256" i="14"/>
  <c r="C314" i="14"/>
  <c r="E104" i="14"/>
  <c r="F104" i="14" s="1"/>
  <c r="C210" i="14"/>
  <c r="E208" i="14"/>
  <c r="F208" i="14" s="1"/>
  <c r="C99" i="5"/>
  <c r="C101" i="5" s="1"/>
  <c r="C98" i="5" s="1"/>
  <c r="C22" i="5"/>
  <c r="C271" i="15" l="1"/>
  <c r="E196" i="14"/>
  <c r="F196" i="14" s="1"/>
  <c r="D197" i="14"/>
  <c r="E197" i="14" s="1"/>
  <c r="F197" i="14" s="1"/>
  <c r="D309" i="14"/>
  <c r="E305" i="14"/>
  <c r="F305" i="14" s="1"/>
  <c r="C105" i="15"/>
  <c r="E105" i="15" s="1"/>
  <c r="E91" i="15"/>
  <c r="C318" i="14"/>
  <c r="C148" i="14"/>
  <c r="C211" i="14"/>
  <c r="C322" i="14"/>
  <c r="E141" i="14"/>
  <c r="F141" i="14" s="1"/>
  <c r="C183" i="14"/>
  <c r="E176" i="14"/>
  <c r="F176" i="14" s="1"/>
  <c r="C323" i="14"/>
  <c r="E266" i="15"/>
  <c r="D267" i="15"/>
  <c r="E210" i="14"/>
  <c r="F210" i="14" s="1"/>
  <c r="C257" i="14"/>
  <c r="E48" i="2"/>
  <c r="F48" i="2" s="1"/>
  <c r="E63" i="14"/>
  <c r="F63" i="14" s="1"/>
  <c r="C70" i="14"/>
  <c r="E309" i="14" l="1"/>
  <c r="F309" i="14" s="1"/>
  <c r="D310" i="14"/>
  <c r="E70" i="14"/>
  <c r="F70" i="14" s="1"/>
  <c r="E211" i="14"/>
  <c r="F211" i="14" s="1"/>
  <c r="E267" i="15"/>
  <c r="D269" i="15"/>
  <c r="E269" i="15" s="1"/>
  <c r="D268" i="15"/>
  <c r="E323" i="14"/>
  <c r="F323" i="14" s="1"/>
  <c r="E183" i="14"/>
  <c r="F183" i="14" s="1"/>
  <c r="C325" i="14"/>
  <c r="E322" i="14"/>
  <c r="F322" i="14" s="1"/>
  <c r="E148" i="14"/>
  <c r="F148" i="14" s="1"/>
  <c r="D312" i="14" l="1"/>
  <c r="E310" i="14"/>
  <c r="F310" i="14" s="1"/>
  <c r="E325" i="14"/>
  <c r="F325" i="14" s="1"/>
  <c r="E268" i="15"/>
  <c r="D271" i="15"/>
  <c r="E271" i="15" s="1"/>
  <c r="E312" i="14" l="1"/>
  <c r="F312" i="14" s="1"/>
  <c r="D313" i="14"/>
  <c r="E313" i="14" l="1"/>
  <c r="F313" i="14" s="1"/>
  <c r="D314" i="14"/>
  <c r="D251" i="14"/>
  <c r="E251" i="14" s="1"/>
  <c r="F251" i="14" s="1"/>
  <c r="D256" i="14"/>
  <c r="D315" i="14"/>
  <c r="E315" i="14" s="1"/>
  <c r="F315" i="14" s="1"/>
  <c r="E256" i="14" l="1"/>
  <c r="F256" i="14" s="1"/>
  <c r="D257" i="14"/>
  <c r="E257" i="14" s="1"/>
  <c r="F257" i="14" s="1"/>
  <c r="E314" i="14"/>
  <c r="F314" i="14" s="1"/>
  <c r="D318" i="14"/>
  <c r="E318" i="14" s="1"/>
  <c r="F318" i="14" s="1"/>
</calcChain>
</file>

<file path=xl/sharedStrings.xml><?xml version="1.0" encoding="utf-8"?>
<sst xmlns="http://schemas.openxmlformats.org/spreadsheetml/2006/main" count="2307" uniqueCount="982">
  <si>
    <t>WINDHAM COMMUNITY MEMORIAL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</si>
  <si>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</si>
  <si>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</si>
  <si>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</si>
  <si>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</si>
  <si>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</si>
  <si>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</si>
  <si>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</si>
  <si>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</si>
  <si>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</si>
  <si>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</si>
  <si>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</si>
  <si>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</si>
  <si>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</si>
  <si>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</si>
  <si>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</si>
  <si>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</si>
  <si>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</si>
  <si>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</si>
  <si>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</si>
  <si>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</si>
  <si>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</si>
  <si>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</si>
  <si>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</si>
  <si>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</si>
  <si>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</si>
  <si>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</si>
  <si>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</si>
  <si>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</si>
  <si>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</si>
  <si>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</si>
  <si>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</si>
  <si>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</si>
  <si>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</si>
  <si>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</si>
  <si>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</si>
  <si>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</si>
  <si>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</si>
  <si>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</si>
  <si>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</si>
  <si>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</si>
  <si>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</si>
  <si>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</si>
  <si>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</si>
  <si>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</si>
  <si>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</si>
  <si>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</si>
  <si>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</si>
  <si>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</si>
  <si>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</si>
  <si>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</si>
  <si>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</si>
  <si>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</si>
  <si>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</si>
  <si>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</si>
  <si>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</si>
  <si>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</si>
  <si>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</si>
  <si>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</si>
  <si>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</si>
  <si>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</si>
  <si>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</si>
  <si>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</si>
  <si>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</si>
  <si>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</si>
  <si>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</si>
  <si>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</si>
  <si>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</si>
  <si>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</si>
  <si>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</si>
  <si>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</si>
  <si>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</si>
  <si>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</si>
  <si>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</si>
  <si>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</si>
  <si>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</si>
  <si>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</si>
  <si>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</si>
  <si>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</si>
  <si>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</si>
  <si>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</si>
  <si>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</si>
  <si>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</si>
  <si>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</si>
  <si>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</si>
  <si>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</si>
  <si>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</si>
  <si>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</si>
  <si>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</si>
  <si>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</si>
  <si>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</si>
  <si>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</si>
  <si>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</si>
  <si>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</si>
  <si>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</si>
  <si>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</si>
  <si>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</si>
  <si>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</si>
  <si>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</si>
  <si>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</si>
  <si>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</si>
  <si>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</si>
  <si>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</si>
  <si>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</si>
  <si>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</si>
  <si>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</si>
  <si>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</si>
  <si>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</si>
  <si>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</si>
  <si>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</si>
  <si>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</si>
  <si>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</si>
  <si>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</si>
  <si>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</si>
  <si>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</si>
  <si>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</si>
  <si>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</si>
  <si>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</si>
  <si>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</si>
  <si>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</si>
  <si>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</si>
  <si>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</si>
  <si>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</si>
  <si>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</si>
  <si>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</si>
  <si>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</si>
  <si>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</si>
  <si>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</si>
  <si>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</si>
  <si>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</si>
  <si>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</si>
  <si>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</si>
  <si>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</si>
  <si>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</si>
  <si>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</si>
  <si>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</si>
  <si>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</si>
  <si>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</si>
  <si>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</si>
  <si>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</si>
  <si>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</si>
  <si>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</si>
  <si>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</si>
  <si>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</si>
  <si>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</si>
  <si>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</si>
  <si>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</si>
  <si>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</si>
  <si>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</si>
  <si>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</si>
  <si>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</si>
  <si>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</si>
  <si>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</si>
  <si>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</si>
  <si>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</si>
  <si>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</si>
  <si>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</si>
  <si>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</si>
  <si>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</si>
  <si>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</si>
  <si>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</si>
  <si>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</si>
  <si>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</si>
  <si>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</si>
  <si>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</si>
  <si>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</si>
  <si>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</si>
  <si>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</si>
  <si>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</si>
  <si>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</si>
  <si>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</si>
  <si>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</si>
  <si>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</si>
  <si>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</si>
  <si>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</si>
  <si>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</si>
  <si>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</si>
  <si>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</si>
  <si>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</si>
  <si>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</si>
  <si>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</si>
  <si>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</si>
  <si>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</si>
  <si>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</si>
  <si>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</si>
  <si>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</si>
  <si>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</si>
  <si>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</si>
  <si>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</si>
  <si>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</si>
  <si>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</si>
  <si>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</si>
  <si>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</si>
  <si>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</si>
  <si>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</si>
  <si>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</si>
  <si>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</si>
  <si>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</si>
  <si>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</si>
  <si>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</si>
  <si>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</si>
  <si>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</si>
  <si>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</si>
  <si>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</si>
  <si>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</si>
  <si>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</si>
  <si>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</si>
  <si>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</si>
  <si>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</si>
  <si>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</si>
  <si>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</si>
  <si>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</si>
  <si>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</si>
  <si>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</si>
  <si>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</si>
  <si>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</si>
  <si>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</si>
  <si>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</si>
  <si>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</si>
  <si>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</si>
  <si>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</si>
  <si>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</si>
  <si>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</si>
  <si>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</si>
  <si>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</si>
  <si>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</si>
  <si>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</si>
  <si>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</si>
  <si>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</si>
  <si>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</si>
  <si>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</si>
  <si>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</si>
  <si>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</si>
  <si>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</si>
  <si>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</si>
  <si>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</si>
  <si>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</si>
  <si>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</si>
  <si>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</si>
  <si>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</si>
  <si>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</si>
  <si>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</si>
  <si>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</si>
  <si>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</si>
  <si>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</si>
  <si>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</si>
  <si>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</si>
  <si>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</si>
  <si>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</si>
  <si>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</si>
  <si>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</si>
  <si>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</si>
  <si>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</si>
  <si>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</si>
  <si>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</si>
  <si>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</si>
  <si>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</si>
  <si>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</si>
  <si>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</si>
  <si>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</si>
  <si>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</si>
  <si>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</si>
  <si>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</si>
  <si>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</si>
  <si>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</si>
  <si>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</si>
  <si>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</si>
  <si>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</si>
  <si>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</si>
  <si>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</si>
  <si>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</si>
  <si>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</si>
  <si>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</si>
  <si>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</si>
  <si>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</si>
  <si>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</si>
  <si>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</si>
  <si>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</si>
  <si>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</si>
  <si>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</si>
  <si>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</si>
  <si>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</si>
  <si>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</si>
  <si>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</si>
  <si>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</si>
  <si>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</si>
  <si>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</si>
  <si>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</si>
  <si>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</si>
  <si>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</si>
  <si>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</si>
  <si>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</si>
  <si>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</si>
  <si>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</si>
  <si>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</si>
  <si>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</si>
  <si>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</si>
  <si>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</si>
  <si>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</si>
  <si>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</si>
  <si>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</si>
  <si>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</si>
  <si>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</si>
  <si>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</si>
  <si>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</si>
  <si>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</si>
  <si>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</si>
  <si>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</si>
  <si>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</si>
  <si>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</si>
  <si>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</si>
  <si>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</si>
  <si>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</si>
  <si>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</si>
  <si>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</si>
  <si>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</si>
  <si>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</si>
  <si>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</si>
  <si>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</si>
  <si>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</si>
  <si>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</si>
  <si>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</si>
  <si>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</si>
  <si>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</si>
  <si>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</si>
  <si>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</si>
  <si>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</si>
  <si>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</si>
  <si>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</si>
  <si>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</si>
  <si>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</si>
  <si>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</si>
  <si>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</si>
  <si>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</si>
  <si>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</si>
  <si>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</si>
  <si>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</si>
  <si>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</si>
  <si>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</si>
  <si>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</si>
  <si>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</si>
  <si>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</si>
  <si>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</si>
  <si>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</si>
  <si>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</si>
  <si>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</si>
  <si>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</si>
  <si>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</si>
  <si>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</si>
  <si>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</si>
  <si>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</si>
  <si>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</si>
  <si>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</si>
  <si>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</si>
  <si>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</si>
  <si>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</si>
  <si>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</si>
  <si>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</si>
  <si>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</si>
  <si>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</si>
  <si>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</si>
  <si>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</si>
  <si>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</si>
  <si>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</si>
  <si>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</si>
  <si>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</si>
  <si>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</si>
  <si>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</si>
  <si>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</si>
  <si>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</si>
  <si>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</si>
  <si>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</si>
  <si>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</si>
  <si>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</si>
  <si>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</si>
  <si>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</si>
  <si>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</si>
  <si>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</si>
  <si>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</si>
  <si>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</si>
  <si>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</si>
  <si>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</si>
  <si>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</si>
  <si>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</si>
  <si>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</si>
  <si>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</si>
  <si>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</si>
  <si>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</si>
  <si>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</si>
  <si>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</si>
  <si>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</si>
  <si>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</si>
  <si>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</si>
  <si>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</si>
  <si>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</si>
  <si>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</si>
  <si>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</si>
  <si>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</si>
  <si>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</si>
  <si>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</si>
  <si>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</si>
  <si>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</si>
  <si>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</si>
  <si>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</si>
  <si>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</si>
  <si>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</si>
  <si>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</si>
  <si>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</si>
  <si>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</si>
  <si>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</si>
  <si>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</si>
  <si>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</si>
  <si>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</si>
  <si>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</si>
  <si>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</si>
  <si>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</si>
  <si>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</si>
  <si>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</si>
  <si>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</si>
  <si>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</si>
  <si>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</si>
  <si>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</si>
  <si>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</si>
  <si>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</si>
  <si>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</si>
  <si>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</si>
  <si>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</si>
  <si>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</si>
  <si>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</si>
  <si>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</si>
  <si>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</si>
  <si>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</si>
  <si>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</si>
  <si>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</si>
  <si>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</si>
  <si>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</si>
  <si>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</si>
  <si>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</si>
  <si>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</si>
  <si>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</si>
  <si>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</si>
  <si>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</si>
  <si>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</si>
  <si>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</si>
  <si>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</si>
  <si>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</si>
  <si>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</si>
  <si>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</si>
  <si>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</si>
  <si>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</si>
  <si>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</si>
  <si>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</si>
  <si>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</si>
  <si>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</si>
  <si>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</si>
  <si>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</si>
  <si>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</si>
  <si>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</si>
  <si>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</si>
  <si>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</si>
  <si>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</si>
  <si>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</si>
  <si>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</si>
  <si>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</si>
  <si>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</si>
  <si>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</si>
  <si>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</si>
  <si>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</si>
  <si>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</si>
  <si>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</si>
  <si>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</si>
  <si>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</si>
  <si>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</si>
  <si>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</si>
  <si>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</si>
  <si>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</si>
  <si>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</si>
  <si>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</si>
  <si>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</si>
  <si>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</si>
  <si>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</si>
  <si>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</si>
  <si>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</si>
  <si>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</si>
  <si>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</si>
  <si>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</si>
  <si>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</si>
  <si>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</si>
  <si>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</si>
  <si>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</si>
  <si>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</si>
  <si>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</si>
  <si>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</si>
  <si>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</si>
  <si>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</si>
  <si>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</si>
  <si>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</si>
  <si>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</si>
  <si>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</si>
  <si>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</si>
  <si>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</si>
  <si>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</si>
  <si>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</si>
  <si>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</si>
  <si>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</si>
  <si>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</si>
  <si>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</si>
  <si>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</si>
  <si>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</si>
  <si>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</si>
  <si>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</si>
  <si>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</si>
  <si>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</si>
  <si>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</si>
  <si>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</si>
  <si>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</si>
  <si>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</si>
  <si>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</si>
  <si>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</si>
  <si>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</si>
  <si>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</si>
  <si>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</si>
  <si>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</si>
  <si>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</si>
  <si>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</si>
  <si>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</si>
  <si>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</si>
  <si>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</si>
  <si>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</si>
  <si>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</si>
  <si>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</si>
  <si>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</si>
  <si>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</si>
  <si>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</si>
  <si>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</si>
  <si>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</si>
  <si>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</si>
  <si>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</si>
  <si>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</si>
  <si>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</si>
  <si>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</si>
  <si>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</si>
  <si>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</si>
  <si>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</si>
  <si>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</si>
  <si>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</si>
  <si>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</si>
  <si>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</si>
  <si>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</si>
  <si>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</si>
  <si>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</si>
  <si>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</si>
  <si>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</si>
  <si>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</si>
  <si>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</si>
  <si>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</si>
  <si>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</si>
  <si>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</si>
  <si>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</si>
  <si>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</si>
  <si>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</si>
  <si>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</si>
  <si>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</si>
  <si>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</si>
  <si>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</si>
  <si>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</si>
  <si>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</si>
  <si>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</si>
  <si>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</si>
  <si>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</si>
  <si>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</si>
  <si>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</si>
  <si>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</si>
  <si>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</si>
  <si>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</si>
  <si>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</si>
  <si>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</si>
  <si>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</si>
  <si>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</si>
  <si>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</si>
  <si>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</si>
  <si>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</si>
  <si>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</si>
  <si>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</si>
  <si>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</si>
  <si>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</si>
  <si>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</si>
  <si>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Windham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</si>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</sst>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80" zoomScaleNormal="80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3314081</v>
      </c>
      <c r="D13" s="23">
        <v>2502682</v>
      </c>
      <c r="E13" s="23">
        <f t="shared" ref="E13:E22" si="0">D13-C13</f>
        <v>-811399</v>
      </c>
      <c r="F13" s="24">
        <f t="shared" ref="F13:F22" si="1">IF(C13=0,0,E13/C13)</f>
        <v>-0.24483378650069204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4.5" customHeight="1" x14ac:dyDescent="0.2">
      <c r="A15" s="21">
        <v>3</v>
      </c>
      <c r="B15" s="22" t="s">
        <v>18</v>
      </c>
      <c r="C15" s="23">
        <v>14090656</v>
      </c>
      <c r="D15" s="23">
        <v>14881466</v>
      </c>
      <c r="E15" s="23">
        <f t="shared" si="0"/>
        <v>790810</v>
      </c>
      <c r="F15" s="24">
        <f t="shared" si="1"/>
        <v>5.6123008041641213E-2</v>
      </c>
    </row>
    <row r="16" spans="1:8" ht="24" customHeight="1" x14ac:dyDescent="0.2">
      <c r="A16" s="21">
        <v>4</v>
      </c>
      <c r="B16" s="22" t="s">
        <v>19</v>
      </c>
      <c r="C16" s="23">
        <v>677311</v>
      </c>
      <c r="D16" s="23">
        <v>762364</v>
      </c>
      <c r="E16" s="23">
        <f t="shared" si="0"/>
        <v>85053</v>
      </c>
      <c r="F16" s="24">
        <f t="shared" si="1"/>
        <v>0.12557451451401203</v>
      </c>
    </row>
    <row r="17" spans="1:11" ht="24" customHeight="1" x14ac:dyDescent="0.2">
      <c r="A17" s="21">
        <v>5</v>
      </c>
      <c r="B17" s="22" t="s">
        <v>20</v>
      </c>
      <c r="C17" s="23">
        <v>105104</v>
      </c>
      <c r="D17" s="23">
        <v>170422</v>
      </c>
      <c r="E17" s="23">
        <f t="shared" si="0"/>
        <v>65318</v>
      </c>
      <c r="F17" s="24">
        <f t="shared" si="1"/>
        <v>0.62146064850053284</v>
      </c>
    </row>
    <row r="18" spans="1:11" ht="24" customHeight="1" x14ac:dyDescent="0.2">
      <c r="A18" s="21">
        <v>6</v>
      </c>
      <c r="B18" s="22" t="s">
        <v>21</v>
      </c>
      <c r="C18" s="23">
        <v>1585717</v>
      </c>
      <c r="D18" s="23">
        <v>0</v>
      </c>
      <c r="E18" s="23">
        <f t="shared" si="0"/>
        <v>-1585717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1175285</v>
      </c>
      <c r="D19" s="23">
        <v>1113332</v>
      </c>
      <c r="E19" s="23">
        <f t="shared" si="0"/>
        <v>-61953</v>
      </c>
      <c r="F19" s="24">
        <f t="shared" si="1"/>
        <v>-5.2713171698779447E-2</v>
      </c>
    </row>
    <row r="20" spans="1:11" ht="24" customHeight="1" x14ac:dyDescent="0.2">
      <c r="A20" s="21">
        <v>8</v>
      </c>
      <c r="B20" s="22" t="s">
        <v>23</v>
      </c>
      <c r="C20" s="23">
        <v>280392</v>
      </c>
      <c r="D20" s="23">
        <v>839664</v>
      </c>
      <c r="E20" s="23">
        <f t="shared" si="0"/>
        <v>559272</v>
      </c>
      <c r="F20" s="24">
        <f t="shared" si="1"/>
        <v>1.9946075494307969</v>
      </c>
    </row>
    <row r="21" spans="1:11" ht="24" customHeight="1" x14ac:dyDescent="0.2">
      <c r="A21" s="21">
        <v>9</v>
      </c>
      <c r="B21" s="22" t="s">
        <v>24</v>
      </c>
      <c r="C21" s="23">
        <v>1524302</v>
      </c>
      <c r="D21" s="23">
        <v>1506027</v>
      </c>
      <c r="E21" s="23">
        <f t="shared" si="0"/>
        <v>-18275</v>
      </c>
      <c r="F21" s="24">
        <f t="shared" si="1"/>
        <v>-1.19890940246749E-2</v>
      </c>
    </row>
    <row r="22" spans="1:11" ht="24" customHeight="1" x14ac:dyDescent="0.25">
      <c r="A22" s="25"/>
      <c r="B22" s="26" t="s">
        <v>25</v>
      </c>
      <c r="C22" s="27">
        <f>SUM(C13:C21)</f>
        <v>22752848</v>
      </c>
      <c r="D22" s="27">
        <f>SUM(D13:D21)</f>
        <v>21775957</v>
      </c>
      <c r="E22" s="27">
        <f t="shared" si="0"/>
        <v>-976891</v>
      </c>
      <c r="F22" s="28">
        <f t="shared" si="1"/>
        <v>-4.293488885435353E-2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2607805</v>
      </c>
      <c r="D25" s="23">
        <v>2505394</v>
      </c>
      <c r="E25" s="23">
        <f>D25-C25</f>
        <v>-102411</v>
      </c>
      <c r="F25" s="24">
        <f>IF(C25=0,0,E25/C25)</f>
        <v>-3.9270957759495052E-2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1673374</v>
      </c>
      <c r="D27" s="23">
        <v>1439934</v>
      </c>
      <c r="E27" s="23">
        <f>D27-C27</f>
        <v>-233440</v>
      </c>
      <c r="F27" s="24">
        <f>IF(C27=0,0,E27/C27)</f>
        <v>-0.1395025857937317</v>
      </c>
    </row>
    <row r="28" spans="1:11" ht="24" customHeight="1" x14ac:dyDescent="0.2">
      <c r="A28" s="21">
        <v>4</v>
      </c>
      <c r="B28" s="22" t="s">
        <v>31</v>
      </c>
      <c r="C28" s="23">
        <v>1885179</v>
      </c>
      <c r="D28" s="23">
        <v>1477742</v>
      </c>
      <c r="E28" s="23">
        <f>D28-C28</f>
        <v>-407437</v>
      </c>
      <c r="F28" s="24">
        <f>IF(C28=0,0,E28/C28)</f>
        <v>-0.21612642619082856</v>
      </c>
    </row>
    <row r="29" spans="1:11" ht="24" customHeight="1" x14ac:dyDescent="0.25">
      <c r="A29" s="25"/>
      <c r="B29" s="26" t="s">
        <v>32</v>
      </c>
      <c r="C29" s="27">
        <f>SUM(C25:C28)</f>
        <v>6166358</v>
      </c>
      <c r="D29" s="27">
        <f>SUM(D25:D28)</f>
        <v>5423070</v>
      </c>
      <c r="E29" s="27">
        <f>D29-C29</f>
        <v>-743288</v>
      </c>
      <c r="F29" s="28">
        <f>IF(C29=0,0,E29/C29)</f>
        <v>-0.12053922266595614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347049</v>
      </c>
      <c r="D32" s="23">
        <v>325966</v>
      </c>
      <c r="E32" s="23">
        <f>D32-C32</f>
        <v>-21083</v>
      </c>
      <c r="F32" s="24">
        <f>IF(C32=0,0,E32/C32)</f>
        <v>-6.0749346634048795E-2</v>
      </c>
    </row>
    <row r="33" spans="1:8" ht="24" customHeight="1" x14ac:dyDescent="0.2">
      <c r="A33" s="21">
        <v>7</v>
      </c>
      <c r="B33" s="22" t="s">
        <v>35</v>
      </c>
      <c r="C33" s="23">
        <v>2339911</v>
      </c>
      <c r="D33" s="23">
        <v>2036739</v>
      </c>
      <c r="E33" s="23">
        <f>D33-C33</f>
        <v>-303172</v>
      </c>
      <c r="F33" s="24">
        <f>IF(C33=0,0,E33/C33)</f>
        <v>-0.12956561168352129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98445867</v>
      </c>
      <c r="D36" s="23">
        <v>101775114</v>
      </c>
      <c r="E36" s="23">
        <f>D36-C36</f>
        <v>3329247</v>
      </c>
      <c r="F36" s="24">
        <f>IF(C36=0,0,E36/C36)</f>
        <v>3.3818047435145243E-2</v>
      </c>
    </row>
    <row r="37" spans="1:8" ht="24" customHeight="1" x14ac:dyDescent="0.2">
      <c r="A37" s="21">
        <v>2</v>
      </c>
      <c r="B37" s="22" t="s">
        <v>39</v>
      </c>
      <c r="C37" s="23">
        <v>62488848</v>
      </c>
      <c r="D37" s="23">
        <v>66982063</v>
      </c>
      <c r="E37" s="23">
        <f>D37-C37</f>
        <v>4493215</v>
      </c>
      <c r="F37" s="24">
        <f>IF(C37=0,0,E37/C37)</f>
        <v>7.1904270022708688E-2</v>
      </c>
    </row>
    <row r="38" spans="1:8" ht="24" customHeight="1" x14ac:dyDescent="0.25">
      <c r="A38" s="25"/>
      <c r="B38" s="26" t="s">
        <v>40</v>
      </c>
      <c r="C38" s="27">
        <f>C36-C37</f>
        <v>35957019</v>
      </c>
      <c r="D38" s="27">
        <f>D36-D37</f>
        <v>34793051</v>
      </c>
      <c r="E38" s="27">
        <f>D38-C38</f>
        <v>-1163968</v>
      </c>
      <c r="F38" s="28">
        <f>IF(C38=0,0,E38/C38)</f>
        <v>-3.2371092831694419E-2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270392</v>
      </c>
      <c r="D40" s="23">
        <v>2014711</v>
      </c>
      <c r="E40" s="23">
        <f>D40-C40</f>
        <v>1744319</v>
      </c>
      <c r="F40" s="24">
        <f>IF(C40=0,0,E40/C40)</f>
        <v>6.4510747359389331</v>
      </c>
    </row>
    <row r="41" spans="1:8" ht="24" customHeight="1" x14ac:dyDescent="0.25">
      <c r="A41" s="25"/>
      <c r="B41" s="26" t="s">
        <v>42</v>
      </c>
      <c r="C41" s="27">
        <f>+C38+C40</f>
        <v>36227411</v>
      </c>
      <c r="D41" s="27">
        <f>+D38+D40</f>
        <v>36807762</v>
      </c>
      <c r="E41" s="27">
        <f>D41-C41</f>
        <v>580351</v>
      </c>
      <c r="F41" s="28">
        <f>IF(C41=0,0,E41/C41)</f>
        <v>1.6019665330210871E-2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67833577</v>
      </c>
      <c r="D43" s="27">
        <f>D22+D29+D31+D32+D33+D41</f>
        <v>66369494</v>
      </c>
      <c r="E43" s="27">
        <f>D43-C43</f>
        <v>-1464083</v>
      </c>
      <c r="F43" s="28">
        <f>IF(C43=0,0,E43/C43)</f>
        <v>-2.1583455638790803E-2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3465207</v>
      </c>
      <c r="D49" s="23">
        <v>5823590</v>
      </c>
      <c r="E49" s="23">
        <f t="shared" ref="E49:E56" si="2">D49-C49</f>
        <v>2358383</v>
      </c>
      <c r="F49" s="24">
        <f t="shared" ref="F49:F56" si="3">IF(C49=0,0,E49/C49)</f>
        <v>0.68058935584511981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840849</v>
      </c>
      <c r="D50" s="23">
        <v>813367</v>
      </c>
      <c r="E50" s="23">
        <f t="shared" si="2"/>
        <v>-27482</v>
      </c>
      <c r="F50" s="24">
        <f t="shared" si="3"/>
        <v>-3.2683632852034072E-2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71283</v>
      </c>
      <c r="E51" s="23">
        <f t="shared" si="2"/>
        <v>71283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263466</v>
      </c>
      <c r="D53" s="23">
        <v>3406605</v>
      </c>
      <c r="E53" s="23">
        <f t="shared" si="2"/>
        <v>3143139</v>
      </c>
      <c r="F53" s="24">
        <f t="shared" si="3"/>
        <v>11.92996060212703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440019</v>
      </c>
      <c r="D54" s="23">
        <v>367375</v>
      </c>
      <c r="E54" s="23">
        <f t="shared" si="2"/>
        <v>-72644</v>
      </c>
      <c r="F54" s="24">
        <f t="shared" si="3"/>
        <v>-0.1650928709896618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5800501</v>
      </c>
      <c r="D55" s="23">
        <v>6135012</v>
      </c>
      <c r="E55" s="23">
        <f t="shared" si="2"/>
        <v>334511</v>
      </c>
      <c r="F55" s="24">
        <f t="shared" si="3"/>
        <v>5.766932890796847E-2</v>
      </c>
    </row>
    <row r="56" spans="1:6" ht="24" customHeight="1" x14ac:dyDescent="0.25">
      <c r="A56" s="25"/>
      <c r="B56" s="26" t="s">
        <v>54</v>
      </c>
      <c r="C56" s="27">
        <f>SUM(C49:C55)</f>
        <v>10810042</v>
      </c>
      <c r="D56" s="27">
        <f>SUM(D49:D55)</f>
        <v>16617232</v>
      </c>
      <c r="E56" s="27">
        <f t="shared" si="2"/>
        <v>5807190</v>
      </c>
      <c r="F56" s="28">
        <f t="shared" si="3"/>
        <v>0.53720327821113001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19435038</v>
      </c>
      <c r="D59" s="23">
        <v>19388119</v>
      </c>
      <c r="E59" s="23">
        <f>D59-C59</f>
        <v>-46919</v>
      </c>
      <c r="F59" s="24">
        <f>IF(C59=0,0,E59/C59)</f>
        <v>-2.4141450096470097E-3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19435038</v>
      </c>
      <c r="D61" s="27">
        <f>SUM(D59:D60)</f>
        <v>19388119</v>
      </c>
      <c r="E61" s="27">
        <f>D61-C61</f>
        <v>-46919</v>
      </c>
      <c r="F61" s="28">
        <f>IF(C61=0,0,E61/C61)</f>
        <v>-2.4141450096470097E-3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53726319</v>
      </c>
      <c r="D63" s="23">
        <v>56931181</v>
      </c>
      <c r="E63" s="23">
        <f>D63-C63</f>
        <v>3204862</v>
      </c>
      <c r="F63" s="24">
        <f>IF(C63=0,0,E63/C63)</f>
        <v>5.9651620651695866E-2</v>
      </c>
    </row>
    <row r="64" spans="1:6" ht="24" customHeight="1" x14ac:dyDescent="0.2">
      <c r="A64" s="21">
        <v>4</v>
      </c>
      <c r="B64" s="22" t="s">
        <v>60</v>
      </c>
      <c r="C64" s="23">
        <v>3797901</v>
      </c>
      <c r="D64" s="23">
        <v>4482535</v>
      </c>
      <c r="E64" s="23">
        <f>D64-C64</f>
        <v>684634</v>
      </c>
      <c r="F64" s="24">
        <f>IF(C64=0,0,E64/C64)</f>
        <v>0.18026641558060624</v>
      </c>
    </row>
    <row r="65" spans="1:6" ht="24" customHeight="1" x14ac:dyDescent="0.25">
      <c r="A65" s="25"/>
      <c r="B65" s="26" t="s">
        <v>61</v>
      </c>
      <c r="C65" s="27">
        <f>SUM(C61:C64)</f>
        <v>76959258</v>
      </c>
      <c r="D65" s="27">
        <f>SUM(D61:D64)</f>
        <v>80801835</v>
      </c>
      <c r="E65" s="27">
        <f>D65-C65</f>
        <v>3842577</v>
      </c>
      <c r="F65" s="28">
        <f>IF(C65=0,0,E65/C65)</f>
        <v>4.99300162171522E-2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-25203815</v>
      </c>
      <c r="D70" s="23">
        <v>-35978450</v>
      </c>
      <c r="E70" s="23">
        <f>D70-C70</f>
        <v>-10774635</v>
      </c>
      <c r="F70" s="24">
        <f>IF(C70=0,0,E70/C70)</f>
        <v>0.42750016217782905</v>
      </c>
    </row>
    <row r="71" spans="1:6" ht="24" customHeight="1" x14ac:dyDescent="0.2">
      <c r="A71" s="21">
        <v>2</v>
      </c>
      <c r="B71" s="22" t="s">
        <v>65</v>
      </c>
      <c r="C71" s="23">
        <v>1538289</v>
      </c>
      <c r="D71" s="23">
        <v>1318536</v>
      </c>
      <c r="E71" s="23">
        <f>D71-C71</f>
        <v>-219753</v>
      </c>
      <c r="F71" s="24">
        <f>IF(C71=0,0,E71/C71)</f>
        <v>-0.14285547124109968</v>
      </c>
    </row>
    <row r="72" spans="1:6" ht="24" customHeight="1" x14ac:dyDescent="0.2">
      <c r="A72" s="21">
        <v>3</v>
      </c>
      <c r="B72" s="22" t="s">
        <v>66</v>
      </c>
      <c r="C72" s="23">
        <v>3729803</v>
      </c>
      <c r="D72" s="23">
        <v>3610341</v>
      </c>
      <c r="E72" s="23">
        <f>D72-C72</f>
        <v>-119462</v>
      </c>
      <c r="F72" s="24">
        <f>IF(C72=0,0,E72/C72)</f>
        <v>-3.2029037458546739E-2</v>
      </c>
    </row>
    <row r="73" spans="1:6" ht="24" customHeight="1" x14ac:dyDescent="0.25">
      <c r="A73" s="21"/>
      <c r="B73" s="26" t="s">
        <v>67</v>
      </c>
      <c r="C73" s="27">
        <f>SUM(C70:C72)</f>
        <v>-19935723</v>
      </c>
      <c r="D73" s="27">
        <f>SUM(D70:D72)</f>
        <v>-31049573</v>
      </c>
      <c r="E73" s="27">
        <f>D73-C73</f>
        <v>-11113850</v>
      </c>
      <c r="F73" s="28">
        <f>IF(C73=0,0,E73/C73)</f>
        <v>0.55748417050136578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67833577</v>
      </c>
      <c r="D75" s="27">
        <f>D56+D65+D67+D73</f>
        <v>66369494</v>
      </c>
      <c r="E75" s="27">
        <f>D75-C75</f>
        <v>-1464083</v>
      </c>
      <c r="F75" s="28">
        <f>IF(C75=0,0,E75/C75)</f>
        <v>-2.1583455638790803E-2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zoomScale="70" zoomScaleSheetLayoutView="75" workbookViewId="0"/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0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481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482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483</v>
      </c>
      <c r="C11" s="51">
        <v>83605148</v>
      </c>
      <c r="D11" s="51">
        <v>86942706</v>
      </c>
      <c r="E11" s="51">
        <v>85855448</v>
      </c>
      <c r="F11" s="28"/>
    </row>
    <row r="12" spans="1:6" ht="24" customHeight="1" x14ac:dyDescent="0.25">
      <c r="A12" s="44">
        <v>2</v>
      </c>
      <c r="B12" s="48" t="s">
        <v>76</v>
      </c>
      <c r="C12" s="49">
        <v>2401877</v>
      </c>
      <c r="D12" s="49">
        <v>2622664</v>
      </c>
      <c r="E12" s="49">
        <v>3044239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86007025</v>
      </c>
      <c r="D13" s="51">
        <f>+D11+D12</f>
        <v>89565370</v>
      </c>
      <c r="E13" s="51">
        <f>+E11+E12</f>
        <v>88899687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85401157</v>
      </c>
      <c r="D14" s="49">
        <v>91501818</v>
      </c>
      <c r="E14" s="49">
        <v>92639489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605868</v>
      </c>
      <c r="D15" s="51">
        <f>+D13-D14</f>
        <v>-1936448</v>
      </c>
      <c r="E15" s="51">
        <f>+E13-E14</f>
        <v>-3739802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-1790872</v>
      </c>
      <c r="D16" s="49">
        <v>273628</v>
      </c>
      <c r="E16" s="49">
        <v>-323008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-1185004</v>
      </c>
      <c r="D17" s="51">
        <f>D15+D16</f>
        <v>-1662820</v>
      </c>
      <c r="E17" s="51">
        <f>E15+E16</f>
        <v>-4062810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484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485</v>
      </c>
      <c r="C20" s="169">
        <f>IF(+C27=0,0,+C24/+C27)</f>
        <v>7.1942018059172096E-3</v>
      </c>
      <c r="D20" s="169">
        <f>IF(+D27=0,0,+D24/+D27)</f>
        <v>-2.1554648238619047E-2</v>
      </c>
      <c r="E20" s="169">
        <f>IF(+E27=0,0,+E24/+E27)</f>
        <v>-4.2221068143681477E-2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486</v>
      </c>
      <c r="C21" s="169">
        <f>IF(+C27=0,0,+C26/+C27)</f>
        <v>-2.1265184126850346E-2</v>
      </c>
      <c r="D21" s="169">
        <f>IF(+D27=0,0,+D26/+D27)</f>
        <v>3.0457597044882445E-3</v>
      </c>
      <c r="E21" s="169">
        <f>IF(+E27=0,0,+E26/+E27)</f>
        <v>-3.6466483463440755E-3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487</v>
      </c>
      <c r="C22" s="169">
        <f>IF(+C27=0,0,+C28/+C27)</f>
        <v>-1.4070982320933135E-2</v>
      </c>
      <c r="D22" s="169">
        <f>IF(+D27=0,0,+D28/+D27)</f>
        <v>-1.85088885341308E-2</v>
      </c>
      <c r="E22" s="169">
        <f>IF(+E27=0,0,+E28/+E27)</f>
        <v>-4.5867716490025551E-2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605868</v>
      </c>
      <c r="D24" s="51">
        <f>+D15</f>
        <v>-1936448</v>
      </c>
      <c r="E24" s="51">
        <f>+E15</f>
        <v>-3739802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86007025</v>
      </c>
      <c r="D25" s="51">
        <f>+D13</f>
        <v>89565370</v>
      </c>
      <c r="E25" s="51">
        <f>+E13</f>
        <v>88899687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-1790872</v>
      </c>
      <c r="D26" s="51">
        <f>+D16</f>
        <v>273628</v>
      </c>
      <c r="E26" s="51">
        <f>+E16</f>
        <v>-323008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84216153</v>
      </c>
      <c r="D27" s="51">
        <f>SUM(D25:D26)</f>
        <v>89838998</v>
      </c>
      <c r="E27" s="51">
        <f>SUM(E25:E26)</f>
        <v>88576679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-1185004</v>
      </c>
      <c r="D28" s="51">
        <f>+D17</f>
        <v>-1662820</v>
      </c>
      <c r="E28" s="51">
        <f>+E17</f>
        <v>-4062810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488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489</v>
      </c>
      <c r="C31" s="51">
        <v>-25502905</v>
      </c>
      <c r="D31" s="51">
        <v>-25203815</v>
      </c>
      <c r="E31" s="52">
        <v>-35978450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490</v>
      </c>
      <c r="C32" s="51">
        <v>-20171322</v>
      </c>
      <c r="D32" s="51">
        <v>-19935723</v>
      </c>
      <c r="E32" s="51">
        <v>-31049573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491</v>
      </c>
      <c r="C33" s="51">
        <v>-33443309</v>
      </c>
      <c r="D33" s="51">
        <f>+D32-C32</f>
        <v>235599</v>
      </c>
      <c r="E33" s="51">
        <f>+E32-D32</f>
        <v>-11113850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492</v>
      </c>
      <c r="C34" s="171">
        <v>-1.5198</v>
      </c>
      <c r="D34" s="171">
        <f>IF(C32=0,0,+D33/C32)</f>
        <v>-1.1679898818728886E-2</v>
      </c>
      <c r="E34" s="171">
        <f>IF(D32=0,0,+E33/D32)</f>
        <v>0.55748417050136578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2.6296984491256148</v>
      </c>
      <c r="D38" s="269">
        <f>IF(+D40=0,0,+D39/+D40)</f>
        <v>2.1047881220072964</v>
      </c>
      <c r="E38" s="269">
        <f>IF(+E40=0,0,+E39/+E40)</f>
        <v>1.3104443026371659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24003919</v>
      </c>
      <c r="D39" s="270">
        <v>22752848</v>
      </c>
      <c r="E39" s="270">
        <v>21775957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9128012</v>
      </c>
      <c r="D40" s="270">
        <v>10810042</v>
      </c>
      <c r="E40" s="270">
        <v>16617232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15.132808255151589</v>
      </c>
      <c r="D42" s="271">
        <f>IF((D48/365)=0,0,+D45/(D48/365))</f>
        <v>13.907273401751754</v>
      </c>
      <c r="E42" s="271">
        <f>IF((E48/365)=0,0,+E45/(E48/365))</f>
        <v>10.369408510868759</v>
      </c>
    </row>
    <row r="43" spans="1:14" ht="24" customHeight="1" x14ac:dyDescent="0.2">
      <c r="A43" s="17">
        <v>5</v>
      </c>
      <c r="B43" s="188" t="s">
        <v>16</v>
      </c>
      <c r="C43" s="272">
        <v>3357508</v>
      </c>
      <c r="D43" s="272">
        <v>3314081</v>
      </c>
      <c r="E43" s="272">
        <v>2502682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3357508</v>
      </c>
      <c r="D45" s="270">
        <f>+D43+D44</f>
        <v>3314081</v>
      </c>
      <c r="E45" s="270">
        <f>+E43+E44</f>
        <v>2502682</v>
      </c>
    </row>
    <row r="46" spans="1:14" ht="24" customHeight="1" x14ac:dyDescent="0.2">
      <c r="A46" s="17">
        <v>8</v>
      </c>
      <c r="B46" s="45" t="s">
        <v>324</v>
      </c>
      <c r="C46" s="270">
        <f>+C14</f>
        <v>85401157</v>
      </c>
      <c r="D46" s="270">
        <f>+D14</f>
        <v>91501818</v>
      </c>
      <c r="E46" s="270">
        <f>+E14</f>
        <v>92639489</v>
      </c>
    </row>
    <row r="47" spans="1:14" ht="24" customHeight="1" x14ac:dyDescent="0.2">
      <c r="A47" s="17">
        <v>9</v>
      </c>
      <c r="B47" s="45" t="s">
        <v>347</v>
      </c>
      <c r="C47" s="270">
        <v>4418804</v>
      </c>
      <c r="D47" s="270">
        <v>4522902</v>
      </c>
      <c r="E47" s="270">
        <v>4545850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80982353</v>
      </c>
      <c r="D48" s="270">
        <f>+D46-D47</f>
        <v>86978916</v>
      </c>
      <c r="E48" s="270">
        <f>+E46-E47</f>
        <v>88093639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62.755877185935965</v>
      </c>
      <c r="D50" s="278">
        <f>IF((D55/365)=0,0,+D54/(D55/365))</f>
        <v>65.812031948948075</v>
      </c>
      <c r="E50" s="278">
        <f>IF((E55/365)=0,0,+E54/(E55/365))</f>
        <v>62.963002592450515</v>
      </c>
    </row>
    <row r="51" spans="1:5" ht="24" customHeight="1" x14ac:dyDescent="0.2">
      <c r="A51" s="17">
        <v>12</v>
      </c>
      <c r="B51" s="188" t="s">
        <v>350</v>
      </c>
      <c r="C51" s="279">
        <v>13116037</v>
      </c>
      <c r="D51" s="279">
        <v>14090656</v>
      </c>
      <c r="E51" s="279">
        <v>14881466</v>
      </c>
    </row>
    <row r="52" spans="1:5" ht="24" customHeight="1" x14ac:dyDescent="0.2">
      <c r="A52" s="17">
        <v>13</v>
      </c>
      <c r="B52" s="188" t="s">
        <v>21</v>
      </c>
      <c r="C52" s="270">
        <v>1258523</v>
      </c>
      <c r="D52" s="270">
        <v>1585717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0</v>
      </c>
      <c r="E53" s="270">
        <v>71283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14374560</v>
      </c>
      <c r="D54" s="280">
        <f>+D51+D52-D53</f>
        <v>15676373</v>
      </c>
      <c r="E54" s="280">
        <f>+E51+E52-E53</f>
        <v>14810183</v>
      </c>
    </row>
    <row r="55" spans="1:5" ht="24" customHeight="1" x14ac:dyDescent="0.2">
      <c r="A55" s="17">
        <v>16</v>
      </c>
      <c r="B55" s="45" t="s">
        <v>75</v>
      </c>
      <c r="C55" s="270">
        <f>+C11</f>
        <v>83605148</v>
      </c>
      <c r="D55" s="270">
        <f>+D11</f>
        <v>86942706</v>
      </c>
      <c r="E55" s="270">
        <f>+E11</f>
        <v>85855448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41.141362983118064</v>
      </c>
      <c r="D57" s="283">
        <f>IF((D61/365)=0,0,+D58/(D61/365))</f>
        <v>45.363468659462256</v>
      </c>
      <c r="E57" s="283">
        <f>IF((E61/365)=0,0,+E58/(E61/365))</f>
        <v>68.85048397194717</v>
      </c>
    </row>
    <row r="58" spans="1:5" ht="24" customHeight="1" x14ac:dyDescent="0.2">
      <c r="A58" s="17">
        <v>18</v>
      </c>
      <c r="B58" s="45" t="s">
        <v>54</v>
      </c>
      <c r="C58" s="281">
        <f>+C40</f>
        <v>9128012</v>
      </c>
      <c r="D58" s="281">
        <f>+D40</f>
        <v>10810042</v>
      </c>
      <c r="E58" s="281">
        <f>+E40</f>
        <v>16617232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85401157</v>
      </c>
      <c r="D59" s="281">
        <f t="shared" si="0"/>
        <v>91501818</v>
      </c>
      <c r="E59" s="281">
        <f t="shared" si="0"/>
        <v>92639489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4418804</v>
      </c>
      <c r="D60" s="176">
        <f t="shared" si="0"/>
        <v>4522902</v>
      </c>
      <c r="E60" s="176">
        <f t="shared" si="0"/>
        <v>4545850</v>
      </c>
    </row>
    <row r="61" spans="1:5" ht="24" customHeight="1" x14ac:dyDescent="0.2">
      <c r="A61" s="17">
        <v>21</v>
      </c>
      <c r="B61" s="45" t="s">
        <v>353</v>
      </c>
      <c r="C61" s="281">
        <f>+C59-C60</f>
        <v>80982353</v>
      </c>
      <c r="D61" s="281">
        <f>+D59-D60</f>
        <v>86978916</v>
      </c>
      <c r="E61" s="281">
        <f>+E59-E60</f>
        <v>88093639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-28.936722605178705</v>
      </c>
      <c r="D65" s="284">
        <f>IF(D67=0,0,(D66/D67)*100)</f>
        <v>-29.38916666594185</v>
      </c>
      <c r="E65" s="284">
        <f>IF(E67=0,0,(E66/E67)*100)</f>
        <v>-46.78289848043741</v>
      </c>
    </row>
    <row r="66" spans="1:5" ht="24" customHeight="1" x14ac:dyDescent="0.2">
      <c r="A66" s="17">
        <v>2</v>
      </c>
      <c r="B66" s="45" t="s">
        <v>67</v>
      </c>
      <c r="C66" s="281">
        <f>+C32</f>
        <v>-20171322</v>
      </c>
      <c r="D66" s="281">
        <f>+D32</f>
        <v>-19935723</v>
      </c>
      <c r="E66" s="281">
        <f>+E32</f>
        <v>-31049573</v>
      </c>
    </row>
    <row r="67" spans="1:5" ht="24" customHeight="1" x14ac:dyDescent="0.2">
      <c r="A67" s="17">
        <v>3</v>
      </c>
      <c r="B67" s="45" t="s">
        <v>43</v>
      </c>
      <c r="C67" s="281">
        <v>69708385</v>
      </c>
      <c r="D67" s="281">
        <v>67833577</v>
      </c>
      <c r="E67" s="281">
        <v>66369494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11.218239863091544</v>
      </c>
      <c r="D69" s="284">
        <f>IF(D75=0,0,(D72/D75)*100)</f>
        <v>9.4563545541952614</v>
      </c>
      <c r="E69" s="284">
        <f>IF(E75=0,0,(E72/E75)*100)</f>
        <v>1.3415783670599406</v>
      </c>
    </row>
    <row r="70" spans="1:5" ht="24" customHeight="1" x14ac:dyDescent="0.2">
      <c r="A70" s="17">
        <v>5</v>
      </c>
      <c r="B70" s="45" t="s">
        <v>358</v>
      </c>
      <c r="C70" s="281">
        <f>+C28</f>
        <v>-1185004</v>
      </c>
      <c r="D70" s="281">
        <f>+D28</f>
        <v>-1662820</v>
      </c>
      <c r="E70" s="281">
        <f>+E28</f>
        <v>-4062810</v>
      </c>
    </row>
    <row r="71" spans="1:5" ht="24" customHeight="1" x14ac:dyDescent="0.2">
      <c r="A71" s="17">
        <v>6</v>
      </c>
      <c r="B71" s="45" t="s">
        <v>347</v>
      </c>
      <c r="C71" s="176">
        <f>+C47</f>
        <v>4418804</v>
      </c>
      <c r="D71" s="176">
        <f>+D47</f>
        <v>4522902</v>
      </c>
      <c r="E71" s="176">
        <f>+E47</f>
        <v>4545850</v>
      </c>
    </row>
    <row r="72" spans="1:5" ht="24" customHeight="1" x14ac:dyDescent="0.2">
      <c r="A72" s="17">
        <v>7</v>
      </c>
      <c r="B72" s="45" t="s">
        <v>359</v>
      </c>
      <c r="C72" s="281">
        <f>+C70+C71</f>
        <v>3233800</v>
      </c>
      <c r="D72" s="281">
        <f>+D70+D71</f>
        <v>2860082</v>
      </c>
      <c r="E72" s="281">
        <f>+E70+E71</f>
        <v>483040</v>
      </c>
    </row>
    <row r="73" spans="1:5" ht="24" customHeight="1" x14ac:dyDescent="0.2">
      <c r="A73" s="17">
        <v>8</v>
      </c>
      <c r="B73" s="45" t="s">
        <v>54</v>
      </c>
      <c r="C73" s="270">
        <f>+C40</f>
        <v>9128012</v>
      </c>
      <c r="D73" s="270">
        <f>+D40</f>
        <v>10810042</v>
      </c>
      <c r="E73" s="270">
        <f>+E40</f>
        <v>16617232</v>
      </c>
    </row>
    <row r="74" spans="1:5" ht="24" customHeight="1" x14ac:dyDescent="0.2">
      <c r="A74" s="17">
        <v>9</v>
      </c>
      <c r="B74" s="45" t="s">
        <v>58</v>
      </c>
      <c r="C74" s="281">
        <v>19698257</v>
      </c>
      <c r="D74" s="281">
        <v>19435038</v>
      </c>
      <c r="E74" s="281">
        <v>19388119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28826269</v>
      </c>
      <c r="D75" s="270">
        <f>+D73+D74</f>
        <v>30245080</v>
      </c>
      <c r="E75" s="270">
        <f>+E73+E74</f>
        <v>36005351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-4163.9641486899263</v>
      </c>
      <c r="D77" s="286">
        <f>IF(D80=0,0,(D78/D80)*100)</f>
        <v>-3881.68968513137</v>
      </c>
      <c r="E77" s="286">
        <f>IF(E80=0,0,(E78/E80)*100)</f>
        <v>-166.25816128932121</v>
      </c>
    </row>
    <row r="78" spans="1:5" ht="24" customHeight="1" x14ac:dyDescent="0.2">
      <c r="A78" s="17">
        <v>12</v>
      </c>
      <c r="B78" s="45" t="s">
        <v>58</v>
      </c>
      <c r="C78" s="270">
        <f>+C74</f>
        <v>19698257</v>
      </c>
      <c r="D78" s="270">
        <f>+D74</f>
        <v>19435038</v>
      </c>
      <c r="E78" s="270">
        <f>+E74</f>
        <v>19388119</v>
      </c>
    </row>
    <row r="79" spans="1:5" ht="24" customHeight="1" x14ac:dyDescent="0.2">
      <c r="A79" s="17">
        <v>13</v>
      </c>
      <c r="B79" s="45" t="s">
        <v>67</v>
      </c>
      <c r="C79" s="270">
        <f>+C32</f>
        <v>-20171322</v>
      </c>
      <c r="D79" s="270">
        <f>+D32</f>
        <v>-19935723</v>
      </c>
      <c r="E79" s="270">
        <f>+E32</f>
        <v>-31049573</v>
      </c>
    </row>
    <row r="80" spans="1:5" ht="24" customHeight="1" x14ac:dyDescent="0.2">
      <c r="A80" s="17">
        <v>14</v>
      </c>
      <c r="B80" s="45" t="s">
        <v>362</v>
      </c>
      <c r="C80" s="270">
        <f>+C78+C79</f>
        <v>-473065</v>
      </c>
      <c r="D80" s="270">
        <f>+D78+D79</f>
        <v>-500685</v>
      </c>
      <c r="E80" s="270">
        <f>+E78+E79</f>
        <v>-11661454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FILING&amp;R&amp;8WINDHAM COMMUNITY MEMORIAL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493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494</v>
      </c>
      <c r="E6" s="126" t="s">
        <v>495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496</v>
      </c>
      <c r="I7" s="126" t="s">
        <v>496</v>
      </c>
      <c r="J7" s="125"/>
      <c r="K7" s="289"/>
    </row>
    <row r="8" spans="1:11" ht="15.75" customHeight="1" x14ac:dyDescent="0.25">
      <c r="A8" s="287"/>
      <c r="B8" s="126"/>
      <c r="C8" s="126" t="s">
        <v>497</v>
      </c>
      <c r="D8" s="126" t="s">
        <v>498</v>
      </c>
      <c r="E8" s="126" t="s">
        <v>499</v>
      </c>
      <c r="F8" s="126" t="s">
        <v>500</v>
      </c>
      <c r="G8" s="126" t="s">
        <v>501</v>
      </c>
      <c r="H8" s="126" t="s">
        <v>502</v>
      </c>
      <c r="I8" s="126" t="s">
        <v>503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504</v>
      </c>
      <c r="D9" s="292" t="s">
        <v>505</v>
      </c>
      <c r="E9" s="292" t="s">
        <v>506</v>
      </c>
      <c r="F9" s="292" t="s">
        <v>507</v>
      </c>
      <c r="G9" s="292" t="s">
        <v>508</v>
      </c>
      <c r="H9" s="292" t="s">
        <v>507</v>
      </c>
      <c r="I9" s="292" t="s">
        <v>508</v>
      </c>
      <c r="J9" s="125"/>
      <c r="K9" s="56"/>
    </row>
    <row r="10" spans="1:11" ht="15.75" customHeight="1" x14ac:dyDescent="0.25">
      <c r="A10" s="293" t="s">
        <v>506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509</v>
      </c>
      <c r="C11" s="296">
        <v>15674</v>
      </c>
      <c r="D11" s="296">
        <v>3833</v>
      </c>
      <c r="E11" s="296">
        <v>3838</v>
      </c>
      <c r="F11" s="297">
        <v>53</v>
      </c>
      <c r="G11" s="297">
        <v>104</v>
      </c>
      <c r="H11" s="298">
        <f>IF(F11=0,0,$C11/(F11*365))</f>
        <v>0.81023520289480488</v>
      </c>
      <c r="I11" s="298">
        <f>IF(G11=0,0,$C11/(G11*365))</f>
        <v>0.41290832455216014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510</v>
      </c>
      <c r="C13" s="296">
        <v>2359</v>
      </c>
      <c r="D13" s="296">
        <v>584</v>
      </c>
      <c r="E13" s="296">
        <v>0</v>
      </c>
      <c r="F13" s="297">
        <v>12</v>
      </c>
      <c r="G13" s="297">
        <v>12</v>
      </c>
      <c r="H13" s="298">
        <f>IF(F13=0,0,$C13/(F13*365))</f>
        <v>0.53858447488584471</v>
      </c>
      <c r="I13" s="298">
        <f>IF(G13=0,0,$C13/(G13*365))</f>
        <v>0.53858447488584471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511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512</v>
      </c>
      <c r="C16" s="296">
        <v>0</v>
      </c>
      <c r="D16" s="296">
        <v>0</v>
      </c>
      <c r="E16" s="296">
        <v>0</v>
      </c>
      <c r="F16" s="297">
        <v>0</v>
      </c>
      <c r="G16" s="297">
        <v>0</v>
      </c>
      <c r="H16" s="298">
        <f t="shared" si="0"/>
        <v>0</v>
      </c>
      <c r="I16" s="298">
        <f t="shared" si="0"/>
        <v>0</v>
      </c>
      <c r="J16" s="125"/>
      <c r="K16" s="299"/>
    </row>
    <row r="17" spans="1:11" ht="15.75" customHeight="1" x14ac:dyDescent="0.25">
      <c r="A17" s="293"/>
      <c r="B17" s="135" t="s">
        <v>513</v>
      </c>
      <c r="C17" s="300">
        <f>SUM(C15:C16)</f>
        <v>0</v>
      </c>
      <c r="D17" s="300">
        <f>SUM(D15:D16)</f>
        <v>0</v>
      </c>
      <c r="E17" s="300">
        <f>SUM(E15:E16)</f>
        <v>0</v>
      </c>
      <c r="F17" s="300">
        <f>SUM(F15:F16)</f>
        <v>0</v>
      </c>
      <c r="G17" s="300">
        <f>SUM(G15:G16)</f>
        <v>0</v>
      </c>
      <c r="H17" s="301">
        <f t="shared" si="0"/>
        <v>0</v>
      </c>
      <c r="I17" s="301">
        <f t="shared" si="0"/>
        <v>0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514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515</v>
      </c>
      <c r="C21" s="296">
        <v>1086</v>
      </c>
      <c r="D21" s="296">
        <v>481</v>
      </c>
      <c r="E21" s="296">
        <v>495</v>
      </c>
      <c r="F21" s="297">
        <v>14</v>
      </c>
      <c r="G21" s="297">
        <v>14</v>
      </c>
      <c r="H21" s="298">
        <f>IF(F21=0,0,$C21/(F21*365))</f>
        <v>0.21252446183953033</v>
      </c>
      <c r="I21" s="298">
        <f>IF(G21=0,0,$C21/(G21*365))</f>
        <v>0.21252446183953033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516</v>
      </c>
      <c r="C23" s="296">
        <v>877</v>
      </c>
      <c r="D23" s="296">
        <v>387</v>
      </c>
      <c r="E23" s="296">
        <v>391</v>
      </c>
      <c r="F23" s="297">
        <v>8</v>
      </c>
      <c r="G23" s="297">
        <v>14</v>
      </c>
      <c r="H23" s="298">
        <f>IF(F23=0,0,$C23/(F23*365))</f>
        <v>0.30034246575342466</v>
      </c>
      <c r="I23" s="298">
        <f>IF(G23=0,0,$C23/(G23*365))</f>
        <v>0.1716242661448141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517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518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519</v>
      </c>
      <c r="C31" s="300">
        <f>SUM(C10:C29)-C17-C23</f>
        <v>19119</v>
      </c>
      <c r="D31" s="300">
        <f>SUM(D10:D29)-D13-D17-D23</f>
        <v>4314</v>
      </c>
      <c r="E31" s="300">
        <f>SUM(E10:E29)-E17-E23</f>
        <v>4333</v>
      </c>
      <c r="F31" s="300">
        <f>SUM(F10:F29)-F17-F23</f>
        <v>79</v>
      </c>
      <c r="G31" s="300">
        <f>SUM(G10:G29)-G17-G23</f>
        <v>130</v>
      </c>
      <c r="H31" s="301">
        <f>IF(F31=0,0,$C31/(F31*365))</f>
        <v>0.66304837870643318</v>
      </c>
      <c r="I31" s="301">
        <f>IF(G31=0,0,$C31/(G31*365))</f>
        <v>0.40292939936775551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520</v>
      </c>
      <c r="C33" s="300">
        <f>SUM(C10:C29)-C17</f>
        <v>19996</v>
      </c>
      <c r="D33" s="300">
        <f>SUM(D10:D29)-D13-D17</f>
        <v>4701</v>
      </c>
      <c r="E33" s="300">
        <f>SUM(E10:E29)-E17</f>
        <v>4724</v>
      </c>
      <c r="F33" s="300">
        <f>SUM(F10:F29)-F17</f>
        <v>87</v>
      </c>
      <c r="G33" s="300">
        <f>SUM(G10:G29)-G17</f>
        <v>144</v>
      </c>
      <c r="H33" s="301">
        <f>IF(F33=0,0,$C33/(F33*365))</f>
        <v>0.62969611084868526</v>
      </c>
      <c r="I33" s="301">
        <f>IF(G33=0,0,$C33/(G33*365))</f>
        <v>0.38044140030441398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521</v>
      </c>
      <c r="C36" s="300">
        <f t="shared" ref="C36:I36" si="1">+C33</f>
        <v>19996</v>
      </c>
      <c r="D36" s="300">
        <f t="shared" si="1"/>
        <v>4701</v>
      </c>
      <c r="E36" s="300">
        <f t="shared" si="1"/>
        <v>4724</v>
      </c>
      <c r="F36" s="300">
        <f t="shared" si="1"/>
        <v>87</v>
      </c>
      <c r="G36" s="300">
        <f t="shared" si="1"/>
        <v>144</v>
      </c>
      <c r="H36" s="301">
        <f t="shared" si="1"/>
        <v>0.62969611084868526</v>
      </c>
      <c r="I36" s="301">
        <f t="shared" si="1"/>
        <v>0.38044140030441398</v>
      </c>
      <c r="J36" s="125"/>
      <c r="K36" s="299"/>
    </row>
    <row r="37" spans="1:11" ht="15.75" customHeight="1" x14ac:dyDescent="0.25">
      <c r="A37" s="293"/>
      <c r="B37" s="135" t="s">
        <v>522</v>
      </c>
      <c r="C37" s="300">
        <v>20850</v>
      </c>
      <c r="D37" s="300">
        <v>0</v>
      </c>
      <c r="E37" s="300">
        <v>0</v>
      </c>
      <c r="F37" s="302">
        <v>87</v>
      </c>
      <c r="G37" s="302">
        <v>144</v>
      </c>
      <c r="H37" s="301">
        <f>IF(F37=0,0,$C37/(F37*365))</f>
        <v>0.65658951346244687</v>
      </c>
      <c r="I37" s="301">
        <f>IF(G37=0,0,$C37/(G37*365))</f>
        <v>0.39668949771689499</v>
      </c>
      <c r="J37" s="125"/>
      <c r="K37" s="299"/>
    </row>
    <row r="38" spans="1:11" ht="15.75" customHeight="1" x14ac:dyDescent="0.25">
      <c r="A38" s="293"/>
      <c r="B38" s="135" t="s">
        <v>523</v>
      </c>
      <c r="C38" s="300">
        <f t="shared" ref="C38:I38" si="2">+C36-C37</f>
        <v>-854</v>
      </c>
      <c r="D38" s="300">
        <f t="shared" si="2"/>
        <v>4701</v>
      </c>
      <c r="E38" s="300">
        <f t="shared" si="2"/>
        <v>4724</v>
      </c>
      <c r="F38" s="300">
        <f t="shared" si="2"/>
        <v>0</v>
      </c>
      <c r="G38" s="300">
        <f t="shared" si="2"/>
        <v>0</v>
      </c>
      <c r="H38" s="301">
        <f t="shared" si="2"/>
        <v>-2.6893402613761608E-2</v>
      </c>
      <c r="I38" s="301">
        <f t="shared" si="2"/>
        <v>-1.6248097412481011E-2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524</v>
      </c>
      <c r="C40" s="148">
        <f t="shared" ref="C40:I40" si="3">IF(C37=0,0,C38/C37)</f>
        <v>-4.0959232613908873E-2</v>
      </c>
      <c r="D40" s="148">
        <f t="shared" si="3"/>
        <v>0</v>
      </c>
      <c r="E40" s="148">
        <f t="shared" si="3"/>
        <v>0</v>
      </c>
      <c r="F40" s="148">
        <f t="shared" si="3"/>
        <v>0</v>
      </c>
      <c r="G40" s="148">
        <f t="shared" si="3"/>
        <v>0</v>
      </c>
      <c r="H40" s="148">
        <f t="shared" si="3"/>
        <v>-4.0959232613908866E-2</v>
      </c>
      <c r="I40" s="148">
        <f t="shared" si="3"/>
        <v>-4.0959232613908964E-2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525</v>
      </c>
      <c r="C42" s="295">
        <v>144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526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506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/>
  <headerFooter>
    <oddHeader>&amp;LOFFICE OF HEALTH CARE ACCESS&amp;CTWELVE MONTHS ACTUAL FILING&amp;RWINDHAM COMMUNITY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zoomScaleSheetLayoutView="90" workbookViewId="0"/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528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529</v>
      </c>
      <c r="C12" s="296">
        <v>3523</v>
      </c>
      <c r="D12" s="296">
        <v>2825</v>
      </c>
      <c r="E12" s="296">
        <f>+D12-C12</f>
        <v>-698</v>
      </c>
      <c r="F12" s="316">
        <f>IF(C12=0,0,+E12/C12)</f>
        <v>-0.19812659665058188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530</v>
      </c>
      <c r="C13" s="296">
        <v>4463</v>
      </c>
      <c r="D13" s="296">
        <v>3503</v>
      </c>
      <c r="E13" s="296">
        <f>+D13-C13</f>
        <v>-960</v>
      </c>
      <c r="F13" s="316">
        <f>IF(C13=0,0,+E13/C13)</f>
        <v>-0.21510194936141608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531</v>
      </c>
      <c r="C14" s="296">
        <v>5071</v>
      </c>
      <c r="D14" s="296">
        <v>4417</v>
      </c>
      <c r="E14" s="296">
        <f>+D14-C14</f>
        <v>-654</v>
      </c>
      <c r="F14" s="316">
        <f>IF(C14=0,0,+E14/C14)</f>
        <v>-0.12896864523762572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532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533</v>
      </c>
      <c r="C16" s="300">
        <f>SUM(C12:C15)</f>
        <v>13057</v>
      </c>
      <c r="D16" s="300">
        <f>SUM(D12:D15)</f>
        <v>10745</v>
      </c>
      <c r="E16" s="300">
        <f>+D16-C16</f>
        <v>-2312</v>
      </c>
      <c r="F16" s="309">
        <f>IF(C16=0,0,+E16/C16)</f>
        <v>-0.17706977100405913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534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529</v>
      </c>
      <c r="C19" s="296">
        <v>572</v>
      </c>
      <c r="D19" s="296">
        <v>518</v>
      </c>
      <c r="E19" s="296">
        <f>+D19-C19</f>
        <v>-54</v>
      </c>
      <c r="F19" s="316">
        <f>IF(C19=0,0,+E19/C19)</f>
        <v>-9.4405594405594401E-2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530</v>
      </c>
      <c r="C20" s="296">
        <v>3806</v>
      </c>
      <c r="D20" s="296">
        <v>3823</v>
      </c>
      <c r="E20" s="296">
        <f>+D20-C20</f>
        <v>17</v>
      </c>
      <c r="F20" s="316">
        <f>IF(C20=0,0,+E20/C20)</f>
        <v>4.4666316342616922E-3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531</v>
      </c>
      <c r="C21" s="296">
        <v>59</v>
      </c>
      <c r="D21" s="296">
        <v>74</v>
      </c>
      <c r="E21" s="296">
        <f>+D21-C21</f>
        <v>15</v>
      </c>
      <c r="F21" s="316">
        <f>IF(C21=0,0,+E21/C21)</f>
        <v>0.25423728813559321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532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535</v>
      </c>
      <c r="C23" s="300">
        <f>SUM(C19:C22)</f>
        <v>4437</v>
      </c>
      <c r="D23" s="300">
        <f>SUM(D19:D22)</f>
        <v>4415</v>
      </c>
      <c r="E23" s="300">
        <f>+D23-C23</f>
        <v>-22</v>
      </c>
      <c r="F23" s="309">
        <f>IF(C23=0,0,+E23/C23)</f>
        <v>-4.9583051611449174E-3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536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529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530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531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532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537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538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529</v>
      </c>
      <c r="C33" s="296">
        <v>7</v>
      </c>
      <c r="D33" s="296">
        <v>7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530</v>
      </c>
      <c r="C34" s="296">
        <v>104</v>
      </c>
      <c r="D34" s="296">
        <v>119</v>
      </c>
      <c r="E34" s="296">
        <f>+D34-C34</f>
        <v>15</v>
      </c>
      <c r="F34" s="316">
        <f>IF(C34=0,0,+E34/C34)</f>
        <v>0.14423076923076922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531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532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539</v>
      </c>
      <c r="C37" s="300">
        <f>SUM(C33:C36)</f>
        <v>111</v>
      </c>
      <c r="D37" s="300">
        <f>SUM(D33:D36)</f>
        <v>126</v>
      </c>
      <c r="E37" s="300">
        <f>+D37-C37</f>
        <v>15</v>
      </c>
      <c r="F37" s="309">
        <f>IF(C37=0,0,+E37/C37)</f>
        <v>0.13513513513513514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540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541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542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543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544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545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546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543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544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547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548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549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550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551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552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553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554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555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556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557</v>
      </c>
      <c r="C63" s="296">
        <v>1249</v>
      </c>
      <c r="D63" s="296">
        <v>1284</v>
      </c>
      <c r="E63" s="296">
        <f>+D63-C63</f>
        <v>35</v>
      </c>
      <c r="F63" s="316">
        <f>IF(C63=0,0,+E63/C63)</f>
        <v>2.8022417934347479E-2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558</v>
      </c>
      <c r="C64" s="296">
        <v>6058</v>
      </c>
      <c r="D64" s="296">
        <v>5200</v>
      </c>
      <c r="E64" s="296">
        <f>+D64-C64</f>
        <v>-858</v>
      </c>
      <c r="F64" s="316">
        <f>IF(C64=0,0,+E64/C64)</f>
        <v>-0.14163090128755365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559</v>
      </c>
      <c r="C65" s="300">
        <f>SUM(C63:C64)</f>
        <v>7307</v>
      </c>
      <c r="D65" s="300">
        <f>SUM(D63:D64)</f>
        <v>6484</v>
      </c>
      <c r="E65" s="300">
        <f>+D65-C65</f>
        <v>-823</v>
      </c>
      <c r="F65" s="309">
        <f>IF(C65=0,0,+E65/C65)</f>
        <v>-0.11263172300533734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560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561</v>
      </c>
      <c r="C68" s="296">
        <v>1213</v>
      </c>
      <c r="D68" s="296">
        <v>1187</v>
      </c>
      <c r="E68" s="296">
        <f>+D68-C68</f>
        <v>-26</v>
      </c>
      <c r="F68" s="316">
        <f>IF(C68=0,0,+E68/C68)</f>
        <v>-2.1434460016488046E-2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562</v>
      </c>
      <c r="C69" s="296">
        <v>3302</v>
      </c>
      <c r="D69" s="296">
        <v>3200</v>
      </c>
      <c r="E69" s="296">
        <f>+D69-C69</f>
        <v>-102</v>
      </c>
      <c r="F69" s="318">
        <f>IF(C69=0,0,+E69/C69)</f>
        <v>-3.0890369473046637E-2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563</v>
      </c>
      <c r="C70" s="300">
        <f>SUM(C68:C69)</f>
        <v>4515</v>
      </c>
      <c r="D70" s="300">
        <f>SUM(D68:D69)</f>
        <v>4387</v>
      </c>
      <c r="E70" s="300">
        <f>+D70-C70</f>
        <v>-128</v>
      </c>
      <c r="F70" s="309">
        <f>IF(C70=0,0,+E70/C70)</f>
        <v>-2.8349944629014398E-2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564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565</v>
      </c>
      <c r="C73" s="319">
        <v>3665</v>
      </c>
      <c r="D73" s="319">
        <v>3378</v>
      </c>
      <c r="E73" s="296">
        <f>+D73-C73</f>
        <v>-287</v>
      </c>
      <c r="F73" s="316">
        <f>IF(C73=0,0,+E73/C73)</f>
        <v>-7.8308321964529332E-2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566</v>
      </c>
      <c r="C74" s="319">
        <v>28697</v>
      </c>
      <c r="D74" s="319">
        <v>30744</v>
      </c>
      <c r="E74" s="296">
        <f>+D74-C74</f>
        <v>2047</v>
      </c>
      <c r="F74" s="316">
        <f>IF(C74=0,0,+E74/C74)</f>
        <v>7.1331498065999935E-2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32362</v>
      </c>
      <c r="D75" s="300">
        <f>SUM(D73:D74)</f>
        <v>34122</v>
      </c>
      <c r="E75" s="300">
        <f>SUM(E73:E74)</f>
        <v>1760</v>
      </c>
      <c r="F75" s="309">
        <f>IF(C75=0,0,+E75/C75)</f>
        <v>5.4384772263766146E-2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567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568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569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570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571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572</v>
      </c>
      <c r="C83" s="319">
        <v>2998</v>
      </c>
      <c r="D83" s="319">
        <v>2866</v>
      </c>
      <c r="E83" s="296">
        <f t="shared" si="0"/>
        <v>-132</v>
      </c>
      <c r="F83" s="316">
        <f t="shared" si="1"/>
        <v>-4.4029352901934625E-2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573</v>
      </c>
      <c r="C84" s="320">
        <f>SUM(C79:C83)</f>
        <v>2998</v>
      </c>
      <c r="D84" s="320">
        <f>SUM(D79:D83)</f>
        <v>2866</v>
      </c>
      <c r="E84" s="300">
        <f t="shared" si="0"/>
        <v>-132</v>
      </c>
      <c r="F84" s="309">
        <f t="shared" si="1"/>
        <v>-4.4029352901934625E-2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574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575</v>
      </c>
      <c r="C87" s="322">
        <v>15550</v>
      </c>
      <c r="D87" s="322">
        <v>17964</v>
      </c>
      <c r="E87" s="323">
        <f t="shared" ref="E87:E92" si="2">+D87-C87</f>
        <v>2414</v>
      </c>
      <c r="F87" s="318">
        <f t="shared" ref="F87:F92" si="3">IF(C87=0,0,+E87/C87)</f>
        <v>0.1552411575562701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1665</v>
      </c>
      <c r="D88" s="322">
        <v>1743</v>
      </c>
      <c r="E88" s="296">
        <f t="shared" si="2"/>
        <v>78</v>
      </c>
      <c r="F88" s="316">
        <f t="shared" si="3"/>
        <v>4.6846846846846847E-2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576</v>
      </c>
      <c r="C89" s="322">
        <v>156</v>
      </c>
      <c r="D89" s="322">
        <v>214</v>
      </c>
      <c r="E89" s="296">
        <f t="shared" si="2"/>
        <v>58</v>
      </c>
      <c r="F89" s="316">
        <f t="shared" si="3"/>
        <v>0.37179487179487181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577</v>
      </c>
      <c r="C90" s="322">
        <v>0</v>
      </c>
      <c r="D90" s="322">
        <v>2</v>
      </c>
      <c r="E90" s="296">
        <f t="shared" si="2"/>
        <v>2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578</v>
      </c>
      <c r="C91" s="322">
        <v>103765</v>
      </c>
      <c r="D91" s="322">
        <v>104374</v>
      </c>
      <c r="E91" s="296">
        <f t="shared" si="2"/>
        <v>609</v>
      </c>
      <c r="F91" s="316">
        <f t="shared" si="3"/>
        <v>5.8690309834722688E-3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579</v>
      </c>
      <c r="C92" s="320">
        <f>SUM(C87:C91)</f>
        <v>121136</v>
      </c>
      <c r="D92" s="320">
        <f>SUM(D87:D91)</f>
        <v>124297</v>
      </c>
      <c r="E92" s="300">
        <f t="shared" si="2"/>
        <v>3161</v>
      </c>
      <c r="F92" s="309">
        <f t="shared" si="3"/>
        <v>2.6094637432307489E-2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580</v>
      </c>
      <c r="B95" s="291" t="s">
        <v>581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582</v>
      </c>
      <c r="C96" s="325">
        <v>215.4</v>
      </c>
      <c r="D96" s="325">
        <v>208.6</v>
      </c>
      <c r="E96" s="326">
        <f>+D96-C96</f>
        <v>-6.8000000000000114</v>
      </c>
      <c r="F96" s="316">
        <f>IF(C96=0,0,+E96/C96)</f>
        <v>-3.1569173630455021E-2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583</v>
      </c>
      <c r="C97" s="325">
        <v>4.5</v>
      </c>
      <c r="D97" s="325">
        <v>9.3000000000000007</v>
      </c>
      <c r="E97" s="326">
        <f>+D97-C97</f>
        <v>4.8000000000000007</v>
      </c>
      <c r="F97" s="316">
        <f>IF(C97=0,0,+E97/C97)</f>
        <v>1.0666666666666669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584</v>
      </c>
      <c r="C98" s="325">
        <v>383.5</v>
      </c>
      <c r="D98" s="325">
        <v>389.6</v>
      </c>
      <c r="E98" s="326">
        <f>+D98-C98</f>
        <v>6.1000000000000227</v>
      </c>
      <c r="F98" s="316">
        <f>IF(C98=0,0,+E98/C98)</f>
        <v>1.5906127770534611E-2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585</v>
      </c>
      <c r="C99" s="327">
        <f>SUM(C96:C98)</f>
        <v>603.4</v>
      </c>
      <c r="D99" s="327">
        <f>SUM(D96:D98)</f>
        <v>607.5</v>
      </c>
      <c r="E99" s="327">
        <f>+D99-C99</f>
        <v>4.1000000000000227</v>
      </c>
      <c r="F99" s="309">
        <f>IF(C99=0,0,+E99/C99)</f>
        <v>6.7948293006298028E-3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FILING&amp;RWINDHAM COMMUNITY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zoomScale="75" zoomScaleSheetLayoutView="90" workbookViewId="0"/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586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558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587</v>
      </c>
      <c r="C12" s="296">
        <v>6058</v>
      </c>
      <c r="D12" s="296">
        <v>5200</v>
      </c>
      <c r="E12" s="296">
        <f>+D12-C12</f>
        <v>-858</v>
      </c>
      <c r="F12" s="316">
        <f>IF(C12=0,0,+E12/C12)</f>
        <v>-0.14163090128755365</v>
      </c>
    </row>
    <row r="13" spans="1:16" ht="15.75" customHeight="1" x14ac:dyDescent="0.25">
      <c r="A13" s="294"/>
      <c r="B13" s="135" t="s">
        <v>588</v>
      </c>
      <c r="C13" s="300">
        <f>SUM(C11:C12)</f>
        <v>6058</v>
      </c>
      <c r="D13" s="300">
        <f>SUM(D11:D12)</f>
        <v>5200</v>
      </c>
      <c r="E13" s="300">
        <f>+D13-C13</f>
        <v>-858</v>
      </c>
      <c r="F13" s="309">
        <f>IF(C13=0,0,+E13/C13)</f>
        <v>-0.14163090128755365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562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587</v>
      </c>
      <c r="C16" s="296">
        <v>3302</v>
      </c>
      <c r="D16" s="296">
        <v>3200</v>
      </c>
      <c r="E16" s="296">
        <f>+D16-C16</f>
        <v>-102</v>
      </c>
      <c r="F16" s="316">
        <f>IF(C16=0,0,+E16/C16)</f>
        <v>-3.0890369473046637E-2</v>
      </c>
    </row>
    <row r="17" spans="1:6" ht="15.75" customHeight="1" x14ac:dyDescent="0.25">
      <c r="A17" s="294"/>
      <c r="B17" s="135" t="s">
        <v>589</v>
      </c>
      <c r="C17" s="300">
        <f>SUM(C15:C16)</f>
        <v>3302</v>
      </c>
      <c r="D17" s="300">
        <f>SUM(D15:D16)</f>
        <v>3200</v>
      </c>
      <c r="E17" s="300">
        <f>+D17-C17</f>
        <v>-102</v>
      </c>
      <c r="F17" s="309">
        <f>IF(C17=0,0,+E17/C17)</f>
        <v>-3.0890369473046637E-2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590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587</v>
      </c>
      <c r="C20" s="296">
        <v>28697</v>
      </c>
      <c r="D20" s="296">
        <v>30744</v>
      </c>
      <c r="E20" s="296">
        <f>+D20-C20</f>
        <v>2047</v>
      </c>
      <c r="F20" s="316">
        <f>IF(C20=0,0,+E20/C20)</f>
        <v>7.1331498065999935E-2</v>
      </c>
    </row>
    <row r="21" spans="1:6" ht="15.75" customHeight="1" x14ac:dyDescent="0.25">
      <c r="A21" s="294"/>
      <c r="B21" s="135" t="s">
        <v>591</v>
      </c>
      <c r="C21" s="300">
        <f>SUM(C19:C20)</f>
        <v>28697</v>
      </c>
      <c r="D21" s="300">
        <f>SUM(D19:D20)</f>
        <v>30744</v>
      </c>
      <c r="E21" s="300">
        <f>+D21-C21</f>
        <v>2047</v>
      </c>
      <c r="F21" s="309">
        <f>IF(C21=0,0,+E21/C21)</f>
        <v>7.1331498065999935E-2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592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593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594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FILING&amp;RWINDHAM COMMUNITY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tabSelected="1" zoomScale="85" zoomScaleSheetLayoutView="80" workbookViewId="0"/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595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596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597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598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599</v>
      </c>
      <c r="D7" s="341" t="s">
        <v>599</v>
      </c>
      <c r="E7" s="341" t="s">
        <v>600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601</v>
      </c>
      <c r="D8" s="344" t="s">
        <v>602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603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604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605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606</v>
      </c>
      <c r="C15" s="361">
        <v>43401649</v>
      </c>
      <c r="D15" s="361">
        <v>43834404</v>
      </c>
      <c r="E15" s="361">
        <f t="shared" ref="E15:E24" si="0">D15-C15</f>
        <v>432755</v>
      </c>
      <c r="F15" s="362">
        <f t="shared" ref="F15:F24" si="1">IF(C15=0,0,E15/C15)</f>
        <v>9.9709345144927564E-3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607</v>
      </c>
      <c r="C16" s="361">
        <v>26608521</v>
      </c>
      <c r="D16" s="361">
        <v>26334949</v>
      </c>
      <c r="E16" s="361">
        <f t="shared" si="0"/>
        <v>-273572</v>
      </c>
      <c r="F16" s="362">
        <f t="shared" si="1"/>
        <v>-1.0281368137672891E-2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608</v>
      </c>
      <c r="C17" s="366">
        <f>IF(C15=0,0,C16/C15)</f>
        <v>0.61307626813902849</v>
      </c>
      <c r="D17" s="366">
        <f>IF(LN_IA1=0,0,LN_IA2/LN_IA1)</f>
        <v>0.60078264095937062</v>
      </c>
      <c r="E17" s="367">
        <f t="shared" si="0"/>
        <v>-1.2293627179657873E-2</v>
      </c>
      <c r="F17" s="362">
        <f t="shared" si="1"/>
        <v>-2.0052361865147295E-2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2517</v>
      </c>
      <c r="D18" s="369">
        <v>2372</v>
      </c>
      <c r="E18" s="369">
        <f t="shared" si="0"/>
        <v>-145</v>
      </c>
      <c r="F18" s="362">
        <f t="shared" si="1"/>
        <v>-5.7608263806118394E-2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609</v>
      </c>
      <c r="C19" s="372">
        <v>1.1798999999999999</v>
      </c>
      <c r="D19" s="372">
        <v>1.2727999999999999</v>
      </c>
      <c r="E19" s="373">
        <f t="shared" si="0"/>
        <v>9.2899999999999983E-2</v>
      </c>
      <c r="F19" s="362">
        <f t="shared" si="1"/>
        <v>7.8735486058140514E-2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610</v>
      </c>
      <c r="C20" s="376">
        <f>C18*C19</f>
        <v>2969.8082999999997</v>
      </c>
      <c r="D20" s="376">
        <f>LN_IA4*LN_IA5</f>
        <v>3019.0816</v>
      </c>
      <c r="E20" s="376">
        <f t="shared" si="0"/>
        <v>49.27330000000029</v>
      </c>
      <c r="F20" s="362">
        <f t="shared" si="1"/>
        <v>1.659140760028191E-2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611</v>
      </c>
      <c r="C21" s="378">
        <f>IF(C20=0,0,C16/C20)</f>
        <v>8959.6762861764528</v>
      </c>
      <c r="D21" s="378">
        <f>IF(LN_IA6=0,0,LN_IA2/LN_IA6)</f>
        <v>8722.8344540273447</v>
      </c>
      <c r="E21" s="378">
        <f t="shared" si="0"/>
        <v>-236.84183214910809</v>
      </c>
      <c r="F21" s="362">
        <f t="shared" si="1"/>
        <v>-2.6434195230303402E-2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12340</v>
      </c>
      <c r="D22" s="369">
        <v>12400</v>
      </c>
      <c r="E22" s="369">
        <f t="shared" si="0"/>
        <v>60</v>
      </c>
      <c r="F22" s="362">
        <f t="shared" si="1"/>
        <v>4.8622366288492711E-3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612</v>
      </c>
      <c r="C23" s="378">
        <f>IF(C22=0,0,C16/C22)</f>
        <v>2156.2820907617506</v>
      </c>
      <c r="D23" s="378">
        <f>IF(LN_IA8=0,0,LN_IA2/LN_IA8)</f>
        <v>2123.7862096774193</v>
      </c>
      <c r="E23" s="378">
        <f t="shared" si="0"/>
        <v>-32.495881084331359</v>
      </c>
      <c r="F23" s="362">
        <f t="shared" si="1"/>
        <v>-1.5070329259587519E-2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613</v>
      </c>
      <c r="C24" s="379">
        <f>IF(C18=0,0,C22/C18)</f>
        <v>4.9026618990862136</v>
      </c>
      <c r="D24" s="379">
        <f>IF(LN_IA4=0,0,LN_IA8/LN_IA4)</f>
        <v>5.2276559865092747</v>
      </c>
      <c r="E24" s="379">
        <f t="shared" si="0"/>
        <v>0.32499408742306102</v>
      </c>
      <c r="F24" s="362">
        <f t="shared" si="1"/>
        <v>6.6289312645368276E-2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614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615</v>
      </c>
      <c r="C27" s="361">
        <v>35705285</v>
      </c>
      <c r="D27" s="361">
        <v>38425421</v>
      </c>
      <c r="E27" s="361">
        <f t="shared" ref="E27:E32" si="2">D27-C27</f>
        <v>2720136</v>
      </c>
      <c r="F27" s="362">
        <f t="shared" ref="F27:F32" si="3">IF(C27=0,0,E27/C27)</f>
        <v>7.6183007641585837E-2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616</v>
      </c>
      <c r="C28" s="361">
        <v>9498280</v>
      </c>
      <c r="D28" s="361">
        <v>9474163</v>
      </c>
      <c r="E28" s="361">
        <f t="shared" si="2"/>
        <v>-24117</v>
      </c>
      <c r="F28" s="362">
        <f t="shared" si="3"/>
        <v>-2.5390912881068993E-3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617</v>
      </c>
      <c r="C29" s="366">
        <f>IF(C27=0,0,C28/C27)</f>
        <v>0.26601888207866148</v>
      </c>
      <c r="D29" s="366">
        <f>IF(LN_IA11=0,0,LN_IA12/LN_IA11)</f>
        <v>0.24655977093913947</v>
      </c>
      <c r="E29" s="367">
        <f t="shared" si="2"/>
        <v>-1.9459111139522006E-2</v>
      </c>
      <c r="F29" s="362">
        <f t="shared" si="3"/>
        <v>-7.3149360629851723E-2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618</v>
      </c>
      <c r="C30" s="366">
        <f>IF(C15=0,0,C27/C15)</f>
        <v>0.82267116164180765</v>
      </c>
      <c r="D30" s="366">
        <f>IF(LN_IA1=0,0,LN_IA11/LN_IA1)</f>
        <v>0.87660416233787508</v>
      </c>
      <c r="E30" s="367">
        <f t="shared" si="2"/>
        <v>5.3933000696067435E-2</v>
      </c>
      <c r="F30" s="362">
        <f t="shared" si="3"/>
        <v>6.5558394666993258E-2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619</v>
      </c>
      <c r="C31" s="376">
        <f>C30*C18</f>
        <v>2070.6633138524298</v>
      </c>
      <c r="D31" s="376">
        <f>LN_IA14*LN_IA4</f>
        <v>2079.3050730654395</v>
      </c>
      <c r="E31" s="376">
        <f t="shared" si="2"/>
        <v>8.6417592130096637</v>
      </c>
      <c r="F31" s="362">
        <f t="shared" si="3"/>
        <v>4.1734255661930062E-3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620</v>
      </c>
      <c r="C32" s="378">
        <f>IF(C31=0,0,C28/C31)</f>
        <v>4587.071174950519</v>
      </c>
      <c r="D32" s="378">
        <f>IF(LN_IA15=0,0,LN_IA12/LN_IA15)</f>
        <v>4556.4083513885753</v>
      </c>
      <c r="E32" s="378">
        <f t="shared" si="2"/>
        <v>-30.662823561943696</v>
      </c>
      <c r="F32" s="362">
        <f t="shared" si="3"/>
        <v>-6.6846190940724739E-3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621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622</v>
      </c>
      <c r="C35" s="361">
        <f>C15+C27</f>
        <v>79106934</v>
      </c>
      <c r="D35" s="361">
        <f>LN_IA1+LN_IA11</f>
        <v>82259825</v>
      </c>
      <c r="E35" s="361">
        <f>D35-C35</f>
        <v>3152891</v>
      </c>
      <c r="F35" s="362">
        <f>IF(C35=0,0,E35/C35)</f>
        <v>3.985606369221692E-2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623</v>
      </c>
      <c r="C36" s="361">
        <f>C16+C28</f>
        <v>36106801</v>
      </c>
      <c r="D36" s="361">
        <f>LN_IA2+LN_IA12</f>
        <v>35809112</v>
      </c>
      <c r="E36" s="361">
        <f>D36-C36</f>
        <v>-297689</v>
      </c>
      <c r="F36" s="362">
        <f>IF(C36=0,0,E36/C36)</f>
        <v>-8.2446794441855976E-3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624</v>
      </c>
      <c r="C37" s="361">
        <f>C35-C36</f>
        <v>43000133</v>
      </c>
      <c r="D37" s="361">
        <f>LN_IA17-LN_IA18</f>
        <v>46450713</v>
      </c>
      <c r="E37" s="361">
        <f>D37-C37</f>
        <v>3450580</v>
      </c>
      <c r="F37" s="362">
        <f>IF(C37=0,0,E37/C37)</f>
        <v>8.0245798309507552E-2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625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626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606</v>
      </c>
      <c r="C42" s="361">
        <v>17841128</v>
      </c>
      <c r="D42" s="361">
        <v>16693012</v>
      </c>
      <c r="E42" s="361">
        <f t="shared" ref="E42:E53" si="4">D42-C42</f>
        <v>-1148116</v>
      </c>
      <c r="F42" s="362">
        <f t="shared" ref="F42:F53" si="5">IF(C42=0,0,E42/C42)</f>
        <v>-6.435220912040987E-2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607</v>
      </c>
      <c r="C43" s="361">
        <v>8997337</v>
      </c>
      <c r="D43" s="361">
        <v>9413815</v>
      </c>
      <c r="E43" s="361">
        <f t="shared" si="4"/>
        <v>416478</v>
      </c>
      <c r="F43" s="362">
        <f t="shared" si="5"/>
        <v>4.6289029742911707E-2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608</v>
      </c>
      <c r="C44" s="366">
        <f>IF(C42=0,0,C43/C42)</f>
        <v>0.50430314720010971</v>
      </c>
      <c r="D44" s="366">
        <f>IF(LN_IB1=0,0,LN_IB2/LN_IB1)</f>
        <v>0.56393747275806183</v>
      </c>
      <c r="E44" s="367">
        <f t="shared" si="4"/>
        <v>5.9634325557952117E-2</v>
      </c>
      <c r="F44" s="362">
        <f t="shared" si="5"/>
        <v>0.11825094863881339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1381</v>
      </c>
      <c r="D45" s="369">
        <v>1256</v>
      </c>
      <c r="E45" s="369">
        <f t="shared" si="4"/>
        <v>-125</v>
      </c>
      <c r="F45" s="362">
        <f t="shared" si="5"/>
        <v>-9.0514120202751625E-2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609</v>
      </c>
      <c r="C46" s="372">
        <v>0.92630000000000001</v>
      </c>
      <c r="D46" s="372">
        <v>0.96199999999999997</v>
      </c>
      <c r="E46" s="373">
        <f t="shared" si="4"/>
        <v>3.5699999999999954E-2</v>
      </c>
      <c r="F46" s="362">
        <f t="shared" si="5"/>
        <v>3.8540429666414716E-2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610</v>
      </c>
      <c r="C47" s="376">
        <f>C45*C46</f>
        <v>1279.2203</v>
      </c>
      <c r="D47" s="376">
        <f>LN_IB4*LN_IB5</f>
        <v>1208.2719999999999</v>
      </c>
      <c r="E47" s="376">
        <f t="shared" si="4"/>
        <v>-70.948300000000017</v>
      </c>
      <c r="F47" s="362">
        <f t="shared" si="5"/>
        <v>-5.5462143619828437E-2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611</v>
      </c>
      <c r="C48" s="378">
        <f>IF(C47=0,0,C43/C47)</f>
        <v>7033.4538937507486</v>
      </c>
      <c r="D48" s="378">
        <f>IF(LN_IB6=0,0,LN_IB2/LN_IB6)</f>
        <v>7791.1389157408266</v>
      </c>
      <c r="E48" s="378">
        <f t="shared" si="4"/>
        <v>757.68502199007798</v>
      </c>
      <c r="F48" s="362">
        <f t="shared" si="5"/>
        <v>0.1077258816842866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627</v>
      </c>
      <c r="C49" s="378">
        <f>C21-C48</f>
        <v>1926.2223924257041</v>
      </c>
      <c r="D49" s="378">
        <f>LN_IA7-LN_IB7</f>
        <v>931.69553828651806</v>
      </c>
      <c r="E49" s="378">
        <f t="shared" si="4"/>
        <v>-994.52685413918607</v>
      </c>
      <c r="F49" s="362">
        <f t="shared" si="5"/>
        <v>-0.51630946564107383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628</v>
      </c>
      <c r="C50" s="391">
        <f>C49*C47</f>
        <v>2464062.786705527</v>
      </c>
      <c r="D50" s="391">
        <f>LN_IB8*LN_IB6</f>
        <v>1125741.6314365277</v>
      </c>
      <c r="E50" s="391">
        <f t="shared" si="4"/>
        <v>-1338321.1552689993</v>
      </c>
      <c r="F50" s="362">
        <f t="shared" si="5"/>
        <v>-0.54313597952524018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4491</v>
      </c>
      <c r="D51" s="369">
        <v>3966</v>
      </c>
      <c r="E51" s="369">
        <f t="shared" si="4"/>
        <v>-525</v>
      </c>
      <c r="F51" s="362">
        <f t="shared" si="5"/>
        <v>-0.11690046760187041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612</v>
      </c>
      <c r="C52" s="378">
        <f>IF(C51=0,0,C43/C51)</f>
        <v>2003.4150523268759</v>
      </c>
      <c r="D52" s="378">
        <f>IF(LN_IB10=0,0,LN_IB2/LN_IB10)</f>
        <v>2373.6296016137167</v>
      </c>
      <c r="E52" s="378">
        <f t="shared" si="4"/>
        <v>370.21454928684079</v>
      </c>
      <c r="F52" s="362">
        <f t="shared" si="5"/>
        <v>0.18479173791614142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613</v>
      </c>
      <c r="C53" s="379">
        <f>IF(C45=0,0,C51/C45)</f>
        <v>3.2519913106444607</v>
      </c>
      <c r="D53" s="379">
        <f>IF(LN_IB4=0,0,LN_IB10/LN_IB4)</f>
        <v>3.1576433121019107</v>
      </c>
      <c r="E53" s="379">
        <f t="shared" si="4"/>
        <v>-9.4347998542549938E-2</v>
      </c>
      <c r="F53" s="362">
        <f t="shared" si="5"/>
        <v>-2.9012377196005669E-2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629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615</v>
      </c>
      <c r="C56" s="361">
        <v>58698162</v>
      </c>
      <c r="D56" s="361">
        <v>60237644</v>
      </c>
      <c r="E56" s="361">
        <f t="shared" ref="E56:E63" si="6">D56-C56</f>
        <v>1539482</v>
      </c>
      <c r="F56" s="362">
        <f t="shared" ref="F56:F63" si="7">IF(C56=0,0,E56/C56)</f>
        <v>2.6227090381467141E-2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616</v>
      </c>
      <c r="C57" s="361">
        <v>25007601</v>
      </c>
      <c r="D57" s="361">
        <v>26079746</v>
      </c>
      <c r="E57" s="361">
        <f t="shared" si="6"/>
        <v>1072145</v>
      </c>
      <c r="F57" s="362">
        <f t="shared" si="7"/>
        <v>4.2872764964540185E-2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617</v>
      </c>
      <c r="C58" s="366">
        <f>IF(C56=0,0,C57/C56)</f>
        <v>0.42603720709346915</v>
      </c>
      <c r="D58" s="366">
        <f>IF(LN_IB13=0,0,LN_IB14/LN_IB13)</f>
        <v>0.43294764317143614</v>
      </c>
      <c r="E58" s="367">
        <f t="shared" si="6"/>
        <v>6.910436077966986E-3</v>
      </c>
      <c r="F58" s="362">
        <f t="shared" si="7"/>
        <v>1.6220264246664475E-2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618</v>
      </c>
      <c r="C59" s="366">
        <f>IF(C42=0,0,C56/C42)</f>
        <v>3.2900476920517581</v>
      </c>
      <c r="D59" s="366">
        <f>IF(LN_IB1=0,0,LN_IB13/LN_IB1)</f>
        <v>3.6085545256901512</v>
      </c>
      <c r="E59" s="367">
        <f t="shared" si="6"/>
        <v>0.31850683363839316</v>
      </c>
      <c r="F59" s="362">
        <f t="shared" si="7"/>
        <v>9.6809184379866589E-2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619</v>
      </c>
      <c r="C60" s="376">
        <f>C59*C45</f>
        <v>4543.5558627234777</v>
      </c>
      <c r="D60" s="376">
        <f>LN_IB16*LN_IB4</f>
        <v>4532.3444842668296</v>
      </c>
      <c r="E60" s="376">
        <f t="shared" si="6"/>
        <v>-11.211378456648163</v>
      </c>
      <c r="F60" s="362">
        <f t="shared" si="7"/>
        <v>-2.4675339745746823E-3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620</v>
      </c>
      <c r="C61" s="378">
        <f>IF(C60=0,0,C57/C60)</f>
        <v>5503.971284950826</v>
      </c>
      <c r="D61" s="378">
        <f>IF(LN_IB17=0,0,LN_IB14/LN_IB17)</f>
        <v>5754.14028887938</v>
      </c>
      <c r="E61" s="378">
        <f t="shared" si="6"/>
        <v>250.16900392855405</v>
      </c>
      <c r="F61" s="362">
        <f t="shared" si="7"/>
        <v>4.5452454414610766E-2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630</v>
      </c>
      <c r="C62" s="378">
        <f>C32-C61</f>
        <v>-916.900110000307</v>
      </c>
      <c r="D62" s="378">
        <f>LN_IA16-LN_IB18</f>
        <v>-1197.7319374908047</v>
      </c>
      <c r="E62" s="378">
        <f t="shared" si="6"/>
        <v>-280.83182749049774</v>
      </c>
      <c r="F62" s="362">
        <f t="shared" si="7"/>
        <v>0.30628399367342612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631</v>
      </c>
      <c r="C63" s="361">
        <f>C62*C60</f>
        <v>-4165986.8703236966</v>
      </c>
      <c r="D63" s="361">
        <f>LN_IB19*LN_IB17</f>
        <v>-5428533.7405166719</v>
      </c>
      <c r="E63" s="361">
        <f t="shared" si="6"/>
        <v>-1262546.8701929753</v>
      </c>
      <c r="F63" s="362">
        <f t="shared" si="7"/>
        <v>0.30306069353859377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632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622</v>
      </c>
      <c r="C66" s="361">
        <f>C42+C56</f>
        <v>76539290</v>
      </c>
      <c r="D66" s="361">
        <f>LN_IB1+LN_IB13</f>
        <v>76930656</v>
      </c>
      <c r="E66" s="361">
        <f>D66-C66</f>
        <v>391366</v>
      </c>
      <c r="F66" s="362">
        <f>IF(C66=0,0,E66/C66)</f>
        <v>5.1132692764722541E-3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623</v>
      </c>
      <c r="C67" s="361">
        <f>C43+C57</f>
        <v>34004938</v>
      </c>
      <c r="D67" s="361">
        <f>LN_IB2+LN_IB14</f>
        <v>35493561</v>
      </c>
      <c r="E67" s="361">
        <f>D67-C67</f>
        <v>1488623</v>
      </c>
      <c r="F67" s="362">
        <f>IF(C67=0,0,E67/C67)</f>
        <v>4.3776671494004785E-2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624</v>
      </c>
      <c r="C68" s="361">
        <f>C66-C67</f>
        <v>42534352</v>
      </c>
      <c r="D68" s="361">
        <f>LN_IB21-LN_IB22</f>
        <v>41437095</v>
      </c>
      <c r="E68" s="361">
        <f>D68-C68</f>
        <v>-1097257</v>
      </c>
      <c r="F68" s="362">
        <f>IF(C68=0,0,E68/C68)</f>
        <v>-2.5796960536744511E-2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633</v>
      </c>
      <c r="C70" s="353">
        <f>C50+C63</f>
        <v>-1701924.0836181697</v>
      </c>
      <c r="D70" s="353">
        <f>LN_IB9+LN_IB20</f>
        <v>-4302792.1090801442</v>
      </c>
      <c r="E70" s="361">
        <f>D70-C70</f>
        <v>-2600868.0254619746</v>
      </c>
      <c r="F70" s="362">
        <f>IF(C70=0,0,E70/C70)</f>
        <v>1.5281927381465299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634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635</v>
      </c>
      <c r="C73" s="400">
        <v>67897196</v>
      </c>
      <c r="D73" s="400">
        <v>70584617</v>
      </c>
      <c r="E73" s="400">
        <f>D73-C73</f>
        <v>2687421</v>
      </c>
      <c r="F73" s="401">
        <f>IF(C73=0,0,E73/C73)</f>
        <v>3.9580736147042064E-2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636</v>
      </c>
      <c r="C74" s="400">
        <v>33702394</v>
      </c>
      <c r="D74" s="400">
        <v>35324347</v>
      </c>
      <c r="E74" s="400">
        <f>D74-C74</f>
        <v>1621953</v>
      </c>
      <c r="F74" s="401">
        <f>IF(C74=0,0,E74/C74)</f>
        <v>4.8125750354707737E-2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637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638</v>
      </c>
      <c r="C76" s="353">
        <f>C73-C74</f>
        <v>34194802</v>
      </c>
      <c r="D76" s="353">
        <f>LN_IB32-LN_IB33</f>
        <v>35260270</v>
      </c>
      <c r="E76" s="400">
        <f>D76-C76</f>
        <v>1065468</v>
      </c>
      <c r="F76" s="401">
        <f>IF(C76=0,0,E76/C76)</f>
        <v>3.1158770856459413E-2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639</v>
      </c>
      <c r="C77" s="366">
        <f>IF(C73=0,0,C76/C73)</f>
        <v>0.50362612912615712</v>
      </c>
      <c r="D77" s="366">
        <f>IF(LN_IB1=0,0,LN_IB34/LN_IB32)</f>
        <v>0.49954609798336086</v>
      </c>
      <c r="E77" s="405">
        <f>D77-C77</f>
        <v>-4.0800311427962588E-3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640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641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606</v>
      </c>
      <c r="C83" s="361">
        <v>1567998</v>
      </c>
      <c r="D83" s="361">
        <v>952163</v>
      </c>
      <c r="E83" s="361">
        <f t="shared" ref="E83:E95" si="8">D83-C83</f>
        <v>-615835</v>
      </c>
      <c r="F83" s="362">
        <f t="shared" ref="F83:F95" si="9">IF(C83=0,0,E83/C83)</f>
        <v>-0.39275241422501816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607</v>
      </c>
      <c r="C84" s="361">
        <v>147158</v>
      </c>
      <c r="D84" s="361">
        <v>46750</v>
      </c>
      <c r="E84" s="361">
        <f t="shared" si="8"/>
        <v>-100408</v>
      </c>
      <c r="F84" s="362">
        <f t="shared" si="9"/>
        <v>-0.68231424727164003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608</v>
      </c>
      <c r="C85" s="366">
        <f>IF(C83=0,0,C84/C83)</f>
        <v>9.3850885013883945E-2</v>
      </c>
      <c r="D85" s="366">
        <f>IF(LN_IC1=0,0,LN_IC2/LN_IC1)</f>
        <v>4.9098736245789851E-2</v>
      </c>
      <c r="E85" s="367">
        <f t="shared" si="8"/>
        <v>-4.4752148768094094E-2</v>
      </c>
      <c r="F85" s="362">
        <f t="shared" si="9"/>
        <v>-0.47684311939598256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106</v>
      </c>
      <c r="D86" s="369">
        <v>66</v>
      </c>
      <c r="E86" s="369">
        <f t="shared" si="8"/>
        <v>-40</v>
      </c>
      <c r="F86" s="362">
        <f t="shared" si="9"/>
        <v>-0.37735849056603776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609</v>
      </c>
      <c r="C87" s="372">
        <v>0.72699999999999998</v>
      </c>
      <c r="D87" s="372">
        <v>1.0567</v>
      </c>
      <c r="E87" s="373">
        <f t="shared" si="8"/>
        <v>0.32969999999999999</v>
      </c>
      <c r="F87" s="362">
        <f t="shared" si="9"/>
        <v>0.45350756533700137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610</v>
      </c>
      <c r="C88" s="376">
        <f>C86*C87</f>
        <v>77.061999999999998</v>
      </c>
      <c r="D88" s="376">
        <f>LN_IC4*LN_IC5</f>
        <v>69.742199999999997</v>
      </c>
      <c r="E88" s="376">
        <f t="shared" si="8"/>
        <v>-7.3198000000000008</v>
      </c>
      <c r="F88" s="362">
        <f t="shared" si="9"/>
        <v>-9.498585554488595E-2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611</v>
      </c>
      <c r="C89" s="378">
        <f>IF(C88=0,0,C84/C88)</f>
        <v>1909.6052529132387</v>
      </c>
      <c r="D89" s="378">
        <f>IF(LN_IC6=0,0,LN_IC2/LN_IC6)</f>
        <v>670.32585722847864</v>
      </c>
      <c r="E89" s="378">
        <f t="shared" si="8"/>
        <v>-1239.2793956847599</v>
      </c>
      <c r="F89" s="362">
        <f t="shared" si="9"/>
        <v>-0.64897150539052562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642</v>
      </c>
      <c r="C90" s="378">
        <f>C48-C89</f>
        <v>5123.8486408375102</v>
      </c>
      <c r="D90" s="378">
        <f>LN_IB7-LN_IC7</f>
        <v>7120.8130585123481</v>
      </c>
      <c r="E90" s="378">
        <f t="shared" si="8"/>
        <v>1996.9644176748379</v>
      </c>
      <c r="F90" s="362">
        <f t="shared" si="9"/>
        <v>0.38973915071551124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643</v>
      </c>
      <c r="C91" s="378">
        <f>C21-C89</f>
        <v>7050.0710332632143</v>
      </c>
      <c r="D91" s="378">
        <f>LN_IA7-LN_IC7</f>
        <v>8052.5085967988662</v>
      </c>
      <c r="E91" s="378">
        <f t="shared" si="8"/>
        <v>1002.4375635356519</v>
      </c>
      <c r="F91" s="362">
        <f t="shared" si="9"/>
        <v>0.14218829268613212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628</v>
      </c>
      <c r="C92" s="353">
        <f>C91*C88</f>
        <v>543292.57396532979</v>
      </c>
      <c r="D92" s="353">
        <f>LN_IC9*LN_IC6</f>
        <v>561599.66505966592</v>
      </c>
      <c r="E92" s="353">
        <f t="shared" si="8"/>
        <v>18307.091094336123</v>
      </c>
      <c r="F92" s="362">
        <f t="shared" si="9"/>
        <v>3.3696560511987397E-2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398</v>
      </c>
      <c r="D93" s="369">
        <v>220</v>
      </c>
      <c r="E93" s="369">
        <f t="shared" si="8"/>
        <v>-178</v>
      </c>
      <c r="F93" s="362">
        <f t="shared" si="9"/>
        <v>-0.44723618090452261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612</v>
      </c>
      <c r="C94" s="411">
        <f>IF(C93=0,0,C84/C93)</f>
        <v>369.7437185929648</v>
      </c>
      <c r="D94" s="411">
        <f>IF(LN_IC11=0,0,LN_IC2/LN_IC11)</f>
        <v>212.5</v>
      </c>
      <c r="E94" s="411">
        <f t="shared" si="8"/>
        <v>-157.2437185929648</v>
      </c>
      <c r="F94" s="362">
        <f t="shared" si="9"/>
        <v>-0.42527759279142141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613</v>
      </c>
      <c r="C95" s="379">
        <f>IF(C86=0,0,C93/C86)</f>
        <v>3.7547169811320753</v>
      </c>
      <c r="D95" s="379">
        <f>IF(LN_IC4=0,0,LN_IC11/LN_IC4)</f>
        <v>3.3333333333333335</v>
      </c>
      <c r="E95" s="379">
        <f t="shared" si="8"/>
        <v>-0.42138364779874182</v>
      </c>
      <c r="F95" s="362">
        <f t="shared" si="9"/>
        <v>-0.1122278056951423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644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615</v>
      </c>
      <c r="C98" s="361">
        <v>3290522</v>
      </c>
      <c r="D98" s="361">
        <v>3740586</v>
      </c>
      <c r="E98" s="361">
        <f t="shared" ref="E98:E106" si="10">D98-C98</f>
        <v>450064</v>
      </c>
      <c r="F98" s="362">
        <f t="shared" ref="F98:F106" si="11">IF(C98=0,0,E98/C98)</f>
        <v>0.13677586717244256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616</v>
      </c>
      <c r="C99" s="361">
        <v>155386</v>
      </c>
      <c r="D99" s="361">
        <v>122464</v>
      </c>
      <c r="E99" s="361">
        <f t="shared" si="10"/>
        <v>-32922</v>
      </c>
      <c r="F99" s="362">
        <f t="shared" si="11"/>
        <v>-0.21187236945413357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617</v>
      </c>
      <c r="C100" s="366">
        <f>IF(C98=0,0,C99/C98)</f>
        <v>4.7222294821307985E-2</v>
      </c>
      <c r="D100" s="366">
        <f>IF(LN_IC14=0,0,LN_IC15/LN_IC14)</f>
        <v>3.27392552931546E-2</v>
      </c>
      <c r="E100" s="367">
        <f t="shared" si="10"/>
        <v>-1.4483039528153385E-2</v>
      </c>
      <c r="F100" s="362">
        <f t="shared" si="11"/>
        <v>-0.30669918907918559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618</v>
      </c>
      <c r="C101" s="366">
        <f>IF(C83=0,0,C98/C83)</f>
        <v>2.0985498705993249</v>
      </c>
      <c r="D101" s="366">
        <f>IF(LN_IC1=0,0,LN_IC14/LN_IC1)</f>
        <v>3.9285143405068248</v>
      </c>
      <c r="E101" s="367">
        <f t="shared" si="10"/>
        <v>1.8299644699074999</v>
      </c>
      <c r="F101" s="362">
        <f t="shared" si="11"/>
        <v>0.87201381084399976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619</v>
      </c>
      <c r="C102" s="376">
        <f>C101*C86</f>
        <v>222.44628628352842</v>
      </c>
      <c r="D102" s="376">
        <f>LN_IC17*LN_IC4</f>
        <v>259.28194647345043</v>
      </c>
      <c r="E102" s="376">
        <f t="shared" si="10"/>
        <v>36.83566018992201</v>
      </c>
      <c r="F102" s="362">
        <f t="shared" si="11"/>
        <v>0.165593504865132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620</v>
      </c>
      <c r="C103" s="378">
        <f>IF(C102=0,0,C99/C102)</f>
        <v>698.53267769076683</v>
      </c>
      <c r="D103" s="378">
        <f>IF(LN_IC18=0,0,LN_IC15/LN_IC18)</f>
        <v>472.31981117721165</v>
      </c>
      <c r="E103" s="378">
        <f t="shared" si="10"/>
        <v>-226.21286651355518</v>
      </c>
      <c r="F103" s="362">
        <f t="shared" si="11"/>
        <v>-0.32384006323280023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645</v>
      </c>
      <c r="C104" s="378">
        <f>C61-C103</f>
        <v>4805.4386072600591</v>
      </c>
      <c r="D104" s="378">
        <f>LN_IB18-LN_IC19</f>
        <v>5281.8204777021683</v>
      </c>
      <c r="E104" s="378">
        <f t="shared" si="10"/>
        <v>476.38187044210918</v>
      </c>
      <c r="F104" s="362">
        <f t="shared" si="11"/>
        <v>9.9133900019530208E-2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646</v>
      </c>
      <c r="C105" s="378">
        <f>C32-C103</f>
        <v>3888.5384972597521</v>
      </c>
      <c r="D105" s="378">
        <f>LN_IA16-LN_IC19</f>
        <v>4084.0885402113636</v>
      </c>
      <c r="E105" s="378">
        <f t="shared" si="10"/>
        <v>195.55004295161143</v>
      </c>
      <c r="F105" s="362">
        <f t="shared" si="11"/>
        <v>5.0288827817807455E-2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631</v>
      </c>
      <c r="C106" s="361">
        <f>C105*C102</f>
        <v>864990.94778596424</v>
      </c>
      <c r="D106" s="361">
        <f>LN_IC21*LN_IC18</f>
        <v>1058930.426275915</v>
      </c>
      <c r="E106" s="361">
        <f t="shared" si="10"/>
        <v>193939.47848995076</v>
      </c>
      <c r="F106" s="362">
        <f t="shared" si="11"/>
        <v>0.22420983593684923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647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622</v>
      </c>
      <c r="C109" s="361">
        <f>C83+C98</f>
        <v>4858520</v>
      </c>
      <c r="D109" s="361">
        <f>LN_IC1+LN_IC14</f>
        <v>4692749</v>
      </c>
      <c r="E109" s="361">
        <f>D109-C109</f>
        <v>-165771</v>
      </c>
      <c r="F109" s="362">
        <f>IF(C109=0,0,E109/C109)</f>
        <v>-3.4119649605229577E-2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623</v>
      </c>
      <c r="C110" s="361">
        <f>C84+C99</f>
        <v>302544</v>
      </c>
      <c r="D110" s="361">
        <f>LN_IC2+LN_IC15</f>
        <v>169214</v>
      </c>
      <c r="E110" s="361">
        <f>D110-C110</f>
        <v>-133330</v>
      </c>
      <c r="F110" s="362">
        <f>IF(C110=0,0,E110/C110)</f>
        <v>-0.44069622930879476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624</v>
      </c>
      <c r="C111" s="361">
        <f>C109-C110</f>
        <v>4555976</v>
      </c>
      <c r="D111" s="361">
        <f>LN_IC23-LN_IC24</f>
        <v>4523535</v>
      </c>
      <c r="E111" s="361">
        <f>D111-C111</f>
        <v>-32441</v>
      </c>
      <c r="F111" s="362">
        <f>IF(C111=0,0,E111/C111)</f>
        <v>-7.1205379484000795E-3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633</v>
      </c>
      <c r="C113" s="361">
        <f>C92+C106</f>
        <v>1408283.5217512939</v>
      </c>
      <c r="D113" s="361">
        <f>LN_IC10+LN_IC22</f>
        <v>1620530.0913355809</v>
      </c>
      <c r="E113" s="361">
        <f>D113-C113</f>
        <v>212246.569584287</v>
      </c>
      <c r="F113" s="362">
        <f>IF(C113=0,0,E113/C113)</f>
        <v>0.15071295396565057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648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649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606</v>
      </c>
      <c r="C118" s="361">
        <v>10036189</v>
      </c>
      <c r="D118" s="361">
        <v>11264038</v>
      </c>
      <c r="E118" s="361">
        <f t="shared" ref="E118:E130" si="12">D118-C118</f>
        <v>1227849</v>
      </c>
      <c r="F118" s="362">
        <f t="shared" ref="F118:F130" si="13">IF(C118=0,0,E118/C118)</f>
        <v>0.12234215597175382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607</v>
      </c>
      <c r="C119" s="361">
        <v>5043975</v>
      </c>
      <c r="D119" s="361">
        <v>4163615</v>
      </c>
      <c r="E119" s="361">
        <f t="shared" si="12"/>
        <v>-880360</v>
      </c>
      <c r="F119" s="362">
        <f t="shared" si="13"/>
        <v>-0.17453694754633003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608</v>
      </c>
      <c r="C120" s="366">
        <f>IF(C118=0,0,C119/C118)</f>
        <v>0.50257871787787178</v>
      </c>
      <c r="D120" s="366">
        <f>IF(LN_ID1=0,0,LN_1D2/LN_ID1)</f>
        <v>0.36963786876429217</v>
      </c>
      <c r="E120" s="367">
        <f t="shared" si="12"/>
        <v>-0.13294084911357962</v>
      </c>
      <c r="F120" s="362">
        <f t="shared" si="13"/>
        <v>-0.26451746638799112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1061</v>
      </c>
      <c r="D121" s="369">
        <v>1035</v>
      </c>
      <c r="E121" s="369">
        <f t="shared" si="12"/>
        <v>-26</v>
      </c>
      <c r="F121" s="362">
        <f t="shared" si="13"/>
        <v>-2.4505183788878417E-2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609</v>
      </c>
      <c r="C122" s="372">
        <v>0.81640000000000001</v>
      </c>
      <c r="D122" s="372">
        <v>0.89670000000000005</v>
      </c>
      <c r="E122" s="373">
        <f t="shared" si="12"/>
        <v>8.0300000000000038E-2</v>
      </c>
      <c r="F122" s="362">
        <f t="shared" si="13"/>
        <v>9.8358647721705092E-2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610</v>
      </c>
      <c r="C123" s="376">
        <f>C121*C122</f>
        <v>866.20040000000006</v>
      </c>
      <c r="D123" s="376">
        <f>LN_ID4*LN_ID5</f>
        <v>928.08450000000005</v>
      </c>
      <c r="E123" s="376">
        <f t="shared" si="12"/>
        <v>61.884099999999989</v>
      </c>
      <c r="F123" s="362">
        <f t="shared" si="13"/>
        <v>7.1443167193180682E-2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611</v>
      </c>
      <c r="C124" s="378">
        <f>IF(C123=0,0,C119/C123)</f>
        <v>5823.1039837894323</v>
      </c>
      <c r="D124" s="378">
        <f>IF(LN_ID6=0,0,LN_1D2/LN_ID6)</f>
        <v>4486.2455950939811</v>
      </c>
      <c r="E124" s="378">
        <f t="shared" si="12"/>
        <v>-1336.8583886954511</v>
      </c>
      <c r="F124" s="362">
        <f t="shared" si="13"/>
        <v>-0.22957831294392919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650</v>
      </c>
      <c r="C125" s="378">
        <f>C48-C124</f>
        <v>1210.3499099613164</v>
      </c>
      <c r="D125" s="378">
        <f>LN_IB7-LN_ID7</f>
        <v>3304.8933206468455</v>
      </c>
      <c r="E125" s="378">
        <f t="shared" si="12"/>
        <v>2094.5434106855291</v>
      </c>
      <c r="F125" s="362">
        <f t="shared" si="13"/>
        <v>1.7305271751971891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651</v>
      </c>
      <c r="C126" s="378">
        <f>C21-C124</f>
        <v>3136.5723023870205</v>
      </c>
      <c r="D126" s="378">
        <f>LN_IA7-LN_ID7</f>
        <v>4236.5888589333636</v>
      </c>
      <c r="E126" s="378">
        <f t="shared" si="12"/>
        <v>1100.0165565463431</v>
      </c>
      <c r="F126" s="362">
        <f t="shared" si="13"/>
        <v>0.35070658365158658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628</v>
      </c>
      <c r="C127" s="391">
        <f>C126*C123</f>
        <v>2716900.1829565582</v>
      </c>
      <c r="D127" s="391">
        <f>LN_ID9*LN_ID6</f>
        <v>3931912.4528487413</v>
      </c>
      <c r="E127" s="391">
        <f t="shared" si="12"/>
        <v>1215012.2698921831</v>
      </c>
      <c r="F127" s="362">
        <f t="shared" si="13"/>
        <v>0.44720533993633677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3359</v>
      </c>
      <c r="D128" s="369">
        <v>3525</v>
      </c>
      <c r="E128" s="369">
        <f t="shared" si="12"/>
        <v>166</v>
      </c>
      <c r="F128" s="362">
        <f t="shared" si="13"/>
        <v>4.9419470080381063E-2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612</v>
      </c>
      <c r="C129" s="378">
        <f>IF(C128=0,0,C119/C128)</f>
        <v>1501.6299493896993</v>
      </c>
      <c r="D129" s="378">
        <f>IF(LN_ID11=0,0,LN_1D2/LN_ID11)</f>
        <v>1181.1673758865247</v>
      </c>
      <c r="E129" s="378">
        <f t="shared" si="12"/>
        <v>-320.46257350317455</v>
      </c>
      <c r="F129" s="362">
        <f t="shared" si="13"/>
        <v>-0.21340981753421923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613</v>
      </c>
      <c r="C130" s="379">
        <f>IF(C121=0,0,C128/C121)</f>
        <v>3.1658812441093307</v>
      </c>
      <c r="D130" s="379">
        <f>IF(LN_ID4=0,0,LN_ID11/LN_ID4)</f>
        <v>3.4057971014492754</v>
      </c>
      <c r="E130" s="379">
        <f t="shared" si="12"/>
        <v>0.23991585733994469</v>
      </c>
      <c r="F130" s="362">
        <f t="shared" si="13"/>
        <v>7.5781698314284412E-2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652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615</v>
      </c>
      <c r="C133" s="361">
        <v>21255395</v>
      </c>
      <c r="D133" s="361">
        <v>27879540</v>
      </c>
      <c r="E133" s="361">
        <f t="shared" ref="E133:E141" si="14">D133-C133</f>
        <v>6624145</v>
      </c>
      <c r="F133" s="362">
        <f t="shared" ref="F133:F141" si="15">IF(C133=0,0,E133/C133)</f>
        <v>0.31164534933366328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616</v>
      </c>
      <c r="C134" s="361">
        <v>5743696</v>
      </c>
      <c r="D134" s="361">
        <v>6706228</v>
      </c>
      <c r="E134" s="361">
        <f t="shared" si="14"/>
        <v>962532</v>
      </c>
      <c r="F134" s="362">
        <f t="shared" si="15"/>
        <v>0.16758059618754195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617</v>
      </c>
      <c r="C135" s="366">
        <f>IF(C133=0,0,C134/C133)</f>
        <v>0.27022297162673287</v>
      </c>
      <c r="D135" s="366">
        <f>IF(LN_ID14=0,0,LN_ID15/LN_ID14)</f>
        <v>0.24054299317707536</v>
      </c>
      <c r="E135" s="367">
        <f t="shared" si="14"/>
        <v>-2.9679978449657501E-2</v>
      </c>
      <c r="F135" s="362">
        <f t="shared" si="15"/>
        <v>-0.10983514196067443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618</v>
      </c>
      <c r="C136" s="366">
        <f>IF(C118=0,0,C133/C118)</f>
        <v>2.1178751217220002</v>
      </c>
      <c r="D136" s="366">
        <f>IF(LN_ID1=0,0,LN_ID14/LN_ID1)</f>
        <v>2.4750928574637268</v>
      </c>
      <c r="E136" s="367">
        <f t="shared" si="14"/>
        <v>0.35721773574172655</v>
      </c>
      <c r="F136" s="362">
        <f t="shared" si="15"/>
        <v>0.16866798805931496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619</v>
      </c>
      <c r="C137" s="376">
        <f>C136*C121</f>
        <v>2247.0655041470422</v>
      </c>
      <c r="D137" s="376">
        <f>LN_ID17*LN_ID4</f>
        <v>2561.7211074749571</v>
      </c>
      <c r="E137" s="376">
        <f t="shared" si="14"/>
        <v>314.65560332791483</v>
      </c>
      <c r="F137" s="362">
        <f t="shared" si="15"/>
        <v>0.1400295642237426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620</v>
      </c>
      <c r="C138" s="378">
        <f>IF(C137=0,0,C134/C137)</f>
        <v>2556.0874791588394</v>
      </c>
      <c r="D138" s="378">
        <f>IF(LN_ID18=0,0,LN_ID15/LN_ID18)</f>
        <v>2617.8603051017562</v>
      </c>
      <c r="E138" s="378">
        <f t="shared" si="14"/>
        <v>61.772825942916825</v>
      </c>
      <c r="F138" s="362">
        <f t="shared" si="15"/>
        <v>2.4166945163881914E-2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653</v>
      </c>
      <c r="C139" s="378">
        <f>C61-C138</f>
        <v>2947.8838057919866</v>
      </c>
      <c r="D139" s="378">
        <f>LN_IB18-LN_ID19</f>
        <v>3136.2799837776238</v>
      </c>
      <c r="E139" s="378">
        <f t="shared" si="14"/>
        <v>188.39617798563722</v>
      </c>
      <c r="F139" s="362">
        <f t="shared" si="15"/>
        <v>6.3908956525178306E-2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654</v>
      </c>
      <c r="C140" s="378">
        <f>C32-C138</f>
        <v>2030.9836957916796</v>
      </c>
      <c r="D140" s="378">
        <f>LN_IA16-LN_ID19</f>
        <v>1938.548046286819</v>
      </c>
      <c r="E140" s="378">
        <f t="shared" si="14"/>
        <v>-92.435649504860521</v>
      </c>
      <c r="F140" s="362">
        <f t="shared" si="15"/>
        <v>-4.5512748180299406E-2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631</v>
      </c>
      <c r="C141" s="353">
        <f>C140*C137</f>
        <v>4563753.4022985538</v>
      </c>
      <c r="D141" s="353">
        <f>LN_ID21*LN_ID18</f>
        <v>4966019.4480272848</v>
      </c>
      <c r="E141" s="353">
        <f t="shared" si="14"/>
        <v>402266.04572873097</v>
      </c>
      <c r="F141" s="362">
        <f t="shared" si="15"/>
        <v>8.8143685749130965E-2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655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622</v>
      </c>
      <c r="C144" s="361">
        <f>C118+C133</f>
        <v>31291584</v>
      </c>
      <c r="D144" s="361">
        <f>LN_ID1+LN_ID14</f>
        <v>39143578</v>
      </c>
      <c r="E144" s="361">
        <f>D144-C144</f>
        <v>7851994</v>
      </c>
      <c r="F144" s="362">
        <f>IF(C144=0,0,E144/C144)</f>
        <v>0.25092989859509829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623</v>
      </c>
      <c r="C145" s="361">
        <f>C119+C134</f>
        <v>10787671</v>
      </c>
      <c r="D145" s="361">
        <f>LN_1D2+LN_ID15</f>
        <v>10869843</v>
      </c>
      <c r="E145" s="361">
        <f>D145-C145</f>
        <v>82172</v>
      </c>
      <c r="F145" s="362">
        <f>IF(C145=0,0,E145/C145)</f>
        <v>7.617214132689067E-3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624</v>
      </c>
      <c r="C146" s="361">
        <f>C144-C145</f>
        <v>20503913</v>
      </c>
      <c r="D146" s="361">
        <f>LN_ID23-LN_ID24</f>
        <v>28273735</v>
      </c>
      <c r="E146" s="361">
        <f>D146-C146</f>
        <v>7769822</v>
      </c>
      <c r="F146" s="362">
        <f>IF(C146=0,0,E146/C146)</f>
        <v>0.37894337534498901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633</v>
      </c>
      <c r="C148" s="361">
        <f>C127+C141</f>
        <v>7280653.5852551125</v>
      </c>
      <c r="D148" s="361">
        <f>LN_ID10+LN_ID22</f>
        <v>8897931.9008760266</v>
      </c>
      <c r="E148" s="361">
        <f>D148-C148</f>
        <v>1617278.3156209141</v>
      </c>
      <c r="F148" s="415">
        <f>IF(C148=0,0,E148/C148)</f>
        <v>0.22213367202310658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656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657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606</v>
      </c>
      <c r="C153" s="361">
        <v>2069554</v>
      </c>
      <c r="D153" s="361">
        <v>313592</v>
      </c>
      <c r="E153" s="361">
        <f t="shared" ref="E153:E165" si="16">D153-C153</f>
        <v>-1755962</v>
      </c>
      <c r="F153" s="362">
        <f t="shared" ref="F153:F165" si="17">IF(C153=0,0,E153/C153)</f>
        <v>-0.84847363248313401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607</v>
      </c>
      <c r="C154" s="361">
        <v>646001</v>
      </c>
      <c r="D154" s="361">
        <v>118590</v>
      </c>
      <c r="E154" s="361">
        <f t="shared" si="16"/>
        <v>-527411</v>
      </c>
      <c r="F154" s="362">
        <f t="shared" si="17"/>
        <v>-0.81642443277951582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608</v>
      </c>
      <c r="C155" s="366">
        <f>IF(C153=0,0,C154/C153)</f>
        <v>0.31214503221467038</v>
      </c>
      <c r="D155" s="366">
        <f>IF(LN_IE1=0,0,LN_IE2/LN_IE1)</f>
        <v>0.37816653486058316</v>
      </c>
      <c r="E155" s="367">
        <f t="shared" si="16"/>
        <v>6.6021502645912777E-2</v>
      </c>
      <c r="F155" s="362">
        <f t="shared" si="17"/>
        <v>0.21150906095634431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127</v>
      </c>
      <c r="D156" s="419">
        <v>20</v>
      </c>
      <c r="E156" s="419">
        <f t="shared" si="16"/>
        <v>-107</v>
      </c>
      <c r="F156" s="362">
        <f t="shared" si="17"/>
        <v>-0.84251968503937003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609</v>
      </c>
      <c r="C157" s="372">
        <v>1.2438</v>
      </c>
      <c r="D157" s="372">
        <v>0.68676999999999999</v>
      </c>
      <c r="E157" s="373">
        <f t="shared" si="16"/>
        <v>-0.55703000000000003</v>
      </c>
      <c r="F157" s="362">
        <f t="shared" si="17"/>
        <v>-0.44784531275124617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610</v>
      </c>
      <c r="C158" s="376">
        <f>C156*C157</f>
        <v>157.96260000000001</v>
      </c>
      <c r="D158" s="376">
        <f>LN_IE4*LN_IE5</f>
        <v>13.7354</v>
      </c>
      <c r="E158" s="376">
        <f t="shared" si="16"/>
        <v>-144.22720000000001</v>
      </c>
      <c r="F158" s="362">
        <f t="shared" si="17"/>
        <v>-0.91304650594507819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611</v>
      </c>
      <c r="C159" s="378">
        <f>IF(C158=0,0,C154/C158)</f>
        <v>4089.5819643383938</v>
      </c>
      <c r="D159" s="378">
        <f>IF(LN_IE6=0,0,LN_IE2/LN_IE6)</f>
        <v>8633.8948993112681</v>
      </c>
      <c r="E159" s="378">
        <f t="shared" si="16"/>
        <v>4544.3129349728742</v>
      </c>
      <c r="F159" s="362">
        <f t="shared" si="17"/>
        <v>1.1111925313148836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658</v>
      </c>
      <c r="C160" s="378">
        <f>C48-C159</f>
        <v>2943.8719294123548</v>
      </c>
      <c r="D160" s="378">
        <f>LN_IB7-LN_IE7</f>
        <v>-842.75598357044146</v>
      </c>
      <c r="E160" s="378">
        <f t="shared" si="16"/>
        <v>-3786.6279129827963</v>
      </c>
      <c r="F160" s="362">
        <f t="shared" si="17"/>
        <v>-1.2862746762691777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659</v>
      </c>
      <c r="C161" s="378">
        <f>C21-C159</f>
        <v>4870.0943218380589</v>
      </c>
      <c r="D161" s="378">
        <f>LN_IA7-LN_IE7</f>
        <v>88.9395547160766</v>
      </c>
      <c r="E161" s="378">
        <f t="shared" si="16"/>
        <v>-4781.1547671219823</v>
      </c>
      <c r="F161" s="362">
        <f t="shared" si="17"/>
        <v>-0.98173761146323979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628</v>
      </c>
      <c r="C162" s="391">
        <f>C161*C158</f>
        <v>769292.76132277655</v>
      </c>
      <c r="D162" s="391">
        <f>LN_IE9*LN_IE6</f>
        <v>1221.6203598471986</v>
      </c>
      <c r="E162" s="391">
        <f t="shared" si="16"/>
        <v>-768071.14096292935</v>
      </c>
      <c r="F162" s="362">
        <f t="shared" si="17"/>
        <v>-0.99841202150694008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622</v>
      </c>
      <c r="D163" s="369">
        <v>70</v>
      </c>
      <c r="E163" s="419">
        <f t="shared" si="16"/>
        <v>-552</v>
      </c>
      <c r="F163" s="362">
        <f t="shared" si="17"/>
        <v>-0.887459807073955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612</v>
      </c>
      <c r="C164" s="378">
        <f>IF(C163=0,0,C154/C163)</f>
        <v>1038.5868167202573</v>
      </c>
      <c r="D164" s="378">
        <f>IF(LN_IE11=0,0,LN_IE2/LN_IE11)</f>
        <v>1694.1428571428571</v>
      </c>
      <c r="E164" s="378">
        <f t="shared" si="16"/>
        <v>655.55604042259984</v>
      </c>
      <c r="F164" s="362">
        <f t="shared" si="17"/>
        <v>0.63120004015915931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613</v>
      </c>
      <c r="C165" s="379">
        <f>IF(C156=0,0,C163/C156)</f>
        <v>4.8976377952755907</v>
      </c>
      <c r="D165" s="379">
        <f>IF(LN_IE4=0,0,LN_IE11/LN_IE4)</f>
        <v>3.5</v>
      </c>
      <c r="E165" s="379">
        <f t="shared" si="16"/>
        <v>-1.3976377952755907</v>
      </c>
      <c r="F165" s="362">
        <f t="shared" si="17"/>
        <v>-0.28536977491961418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660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615</v>
      </c>
      <c r="C168" s="424">
        <v>4338737</v>
      </c>
      <c r="D168" s="424">
        <v>180466</v>
      </c>
      <c r="E168" s="424">
        <f t="shared" ref="E168:E176" si="18">D168-C168</f>
        <v>-4158271</v>
      </c>
      <c r="F168" s="362">
        <f t="shared" ref="F168:F176" si="19">IF(C168=0,0,E168/C168)</f>
        <v>-0.95840586788275017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616</v>
      </c>
      <c r="C169" s="424">
        <v>715045</v>
      </c>
      <c r="D169" s="424">
        <v>28274</v>
      </c>
      <c r="E169" s="424">
        <f t="shared" si="18"/>
        <v>-686771</v>
      </c>
      <c r="F169" s="362">
        <f t="shared" si="19"/>
        <v>-0.96045843268605469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617</v>
      </c>
      <c r="C170" s="366">
        <f>IF(C168=0,0,C169/C168)</f>
        <v>0.16480487293882989</v>
      </c>
      <c r="D170" s="366">
        <f>IF(LN_IE14=0,0,LN_IE15/LN_IE14)</f>
        <v>0.15667217093524541</v>
      </c>
      <c r="E170" s="367">
        <f t="shared" si="18"/>
        <v>-8.1327020035844855E-3</v>
      </c>
      <c r="F170" s="362">
        <f t="shared" si="19"/>
        <v>-4.9347460779288213E-2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618</v>
      </c>
      <c r="C171" s="366">
        <f>IF(C153=0,0,C168/C153)</f>
        <v>2.096459913585246</v>
      </c>
      <c r="D171" s="366">
        <f>IF(LN_IE1=0,0,LN_IE14/LN_IE1)</f>
        <v>0.57548024184290414</v>
      </c>
      <c r="E171" s="367">
        <f t="shared" si="18"/>
        <v>-1.5209796717423418</v>
      </c>
      <c r="F171" s="362">
        <f t="shared" si="19"/>
        <v>-0.72549904812692045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619</v>
      </c>
      <c r="C172" s="376">
        <f>C171*C156</f>
        <v>266.25040902532623</v>
      </c>
      <c r="D172" s="376">
        <f>LN_IE17*LN_IE4</f>
        <v>11.509604836858083</v>
      </c>
      <c r="E172" s="376">
        <f t="shared" si="18"/>
        <v>-254.74080418846816</v>
      </c>
      <c r="F172" s="362">
        <f t="shared" si="19"/>
        <v>-0.95677150364203478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620</v>
      </c>
      <c r="C173" s="378">
        <f>IF(C172=0,0,C169/C172)</f>
        <v>2685.6108977169069</v>
      </c>
      <c r="D173" s="378">
        <f>IF(LN_IE18=0,0,LN_IE15/LN_IE18)</f>
        <v>2456.5569713962741</v>
      </c>
      <c r="E173" s="378">
        <f t="shared" si="18"/>
        <v>-229.05392632063285</v>
      </c>
      <c r="F173" s="362">
        <f t="shared" si="19"/>
        <v>-8.5289319653623796E-2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661</v>
      </c>
      <c r="C174" s="378">
        <f>C61-C173</f>
        <v>2818.360387233919</v>
      </c>
      <c r="D174" s="378">
        <f>LN_IB18-LN_IE19</f>
        <v>3297.5833174831059</v>
      </c>
      <c r="E174" s="378">
        <f t="shared" si="18"/>
        <v>479.2229302491869</v>
      </c>
      <c r="F174" s="362">
        <f t="shared" si="19"/>
        <v>0.17003607218575778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662</v>
      </c>
      <c r="C175" s="378">
        <f>C32-C173</f>
        <v>1901.460277233612</v>
      </c>
      <c r="D175" s="378">
        <f>LN_IA16-LN_IE19</f>
        <v>2099.8513799923012</v>
      </c>
      <c r="E175" s="378">
        <f t="shared" si="18"/>
        <v>198.39110275868916</v>
      </c>
      <c r="F175" s="362">
        <f t="shared" si="19"/>
        <v>0.10433618053137744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631</v>
      </c>
      <c r="C176" s="353">
        <f>C175*C172</f>
        <v>506264.57655885944</v>
      </c>
      <c r="D176" s="353">
        <f>LN_IE21*LN_IE18</f>
        <v>24168.45959984251</v>
      </c>
      <c r="E176" s="353">
        <f t="shared" si="18"/>
        <v>-482096.11695901694</v>
      </c>
      <c r="F176" s="362">
        <f t="shared" si="19"/>
        <v>-0.9522612074419301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663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622</v>
      </c>
      <c r="C179" s="361">
        <f>C153+C168</f>
        <v>6408291</v>
      </c>
      <c r="D179" s="361">
        <f>LN_IE1+LN_IE14</f>
        <v>494058</v>
      </c>
      <c r="E179" s="361">
        <f>D179-C179</f>
        <v>-5914233</v>
      </c>
      <c r="F179" s="362">
        <f>IF(C179=0,0,E179/C179)</f>
        <v>-0.92290331384763891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623</v>
      </c>
      <c r="C180" s="361">
        <f>C154+C169</f>
        <v>1361046</v>
      </c>
      <c r="D180" s="361">
        <f>LN_IE15+LN_IE2</f>
        <v>146864</v>
      </c>
      <c r="E180" s="361">
        <f>D180-C180</f>
        <v>-1214182</v>
      </c>
      <c r="F180" s="362">
        <f>IF(C180=0,0,E180/C180)</f>
        <v>-0.89209475653284309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624</v>
      </c>
      <c r="C181" s="361">
        <f>C179-C180</f>
        <v>5047245</v>
      </c>
      <c r="D181" s="361">
        <f>LN_IE23-LN_IE24</f>
        <v>347194</v>
      </c>
      <c r="E181" s="361">
        <f>D181-C181</f>
        <v>-4700051</v>
      </c>
      <c r="F181" s="362">
        <f>IF(C181=0,0,E181/C181)</f>
        <v>-0.93121118550813364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664</v>
      </c>
      <c r="C183" s="361">
        <f>C162+C176</f>
        <v>1275557.3378816359</v>
      </c>
      <c r="D183" s="361">
        <f>LN_IE10+LN_IE22</f>
        <v>25390.079959689709</v>
      </c>
      <c r="E183" s="353">
        <f>D183-C183</f>
        <v>-1250167.2579219462</v>
      </c>
      <c r="F183" s="362">
        <f>IF(C183=0,0,E183/C183)</f>
        <v>-0.9800949128622819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665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666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606</v>
      </c>
      <c r="C188" s="361">
        <f>C118+C153</f>
        <v>12105743</v>
      </c>
      <c r="D188" s="361">
        <f>LN_ID1+LN_IE1</f>
        <v>11577630</v>
      </c>
      <c r="E188" s="361">
        <f t="shared" ref="E188:E200" si="20">D188-C188</f>
        <v>-528113</v>
      </c>
      <c r="F188" s="362">
        <f t="shared" ref="F188:F200" si="21">IF(C188=0,0,E188/C188)</f>
        <v>-4.3624996830016957E-2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607</v>
      </c>
      <c r="C189" s="361">
        <f>C119+C154</f>
        <v>5689976</v>
      </c>
      <c r="D189" s="361">
        <f>LN_1D2+LN_IE2</f>
        <v>4282205</v>
      </c>
      <c r="E189" s="361">
        <f t="shared" si="20"/>
        <v>-1407771</v>
      </c>
      <c r="F189" s="362">
        <f t="shared" si="21"/>
        <v>-0.24741246711761175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608</v>
      </c>
      <c r="C190" s="366">
        <f>IF(C188=0,0,C189/C188)</f>
        <v>0.47002286435454643</v>
      </c>
      <c r="D190" s="366">
        <f>IF(LN_IF1=0,0,LN_IF2/LN_IF1)</f>
        <v>0.36986887644535194</v>
      </c>
      <c r="E190" s="367">
        <f t="shared" si="20"/>
        <v>-0.1001539879091945</v>
      </c>
      <c r="F190" s="362">
        <f t="shared" si="21"/>
        <v>-0.21308322531655949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1188</v>
      </c>
      <c r="D191" s="369">
        <f>LN_ID4+LN_IE4</f>
        <v>1055</v>
      </c>
      <c r="E191" s="369">
        <f t="shared" si="20"/>
        <v>-133</v>
      </c>
      <c r="F191" s="362">
        <f t="shared" si="21"/>
        <v>-0.11195286195286196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609</v>
      </c>
      <c r="C192" s="372">
        <f>IF((C121+C156)=0,0,(C123+C158)/(C121+C156))</f>
        <v>0.86209006734006732</v>
      </c>
      <c r="D192" s="372">
        <f>IF((LN_ID4+LN_IE4)=0,0,(LN_ID6+LN_IE6)/(LN_ID4+LN_IE4))</f>
        <v>0.89272028436018969</v>
      </c>
      <c r="E192" s="373">
        <f t="shared" si="20"/>
        <v>3.0630217020122363E-2</v>
      </c>
      <c r="F192" s="362">
        <f t="shared" si="21"/>
        <v>3.5530182031478751E-2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610</v>
      </c>
      <c r="C193" s="376">
        <f>C123+C158</f>
        <v>1024.163</v>
      </c>
      <c r="D193" s="376">
        <f>LN_IF4*LN_IF5</f>
        <v>941.81990000000008</v>
      </c>
      <c r="E193" s="376">
        <f t="shared" si="20"/>
        <v>-82.343099999999936</v>
      </c>
      <c r="F193" s="362">
        <f t="shared" si="21"/>
        <v>-8.0400385485513468E-2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611</v>
      </c>
      <c r="C194" s="378">
        <f>IF(C193=0,0,C189/C193)</f>
        <v>5555.7328276846556</v>
      </c>
      <c r="D194" s="378">
        <f>IF(LN_IF6=0,0,LN_IF2/LN_IF6)</f>
        <v>4546.734465899478</v>
      </c>
      <c r="E194" s="378">
        <f t="shared" si="20"/>
        <v>-1008.9983617851776</v>
      </c>
      <c r="F194" s="362">
        <f t="shared" si="21"/>
        <v>-0.18161391000612179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667</v>
      </c>
      <c r="C195" s="378">
        <f>C48-C194</f>
        <v>1477.721066066093</v>
      </c>
      <c r="D195" s="378">
        <f>LN_IB7-LN_IF7</f>
        <v>3244.4044498413487</v>
      </c>
      <c r="E195" s="378">
        <f t="shared" si="20"/>
        <v>1766.6833837752556</v>
      </c>
      <c r="F195" s="362">
        <f t="shared" si="21"/>
        <v>1.1955459148176197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668</v>
      </c>
      <c r="C196" s="378">
        <f>C21-C194</f>
        <v>3403.9434584917972</v>
      </c>
      <c r="D196" s="378">
        <f>LN_IA7-LN_IF7</f>
        <v>4176.0999881278667</v>
      </c>
      <c r="E196" s="378">
        <f t="shared" si="20"/>
        <v>772.15652963606954</v>
      </c>
      <c r="F196" s="362">
        <f t="shared" si="21"/>
        <v>0.22684176134294337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628</v>
      </c>
      <c r="C197" s="391">
        <f>C127+C162</f>
        <v>3486192.9442793345</v>
      </c>
      <c r="D197" s="391">
        <f>LN_IF9*LN_IF6</f>
        <v>3933134.0732085891</v>
      </c>
      <c r="E197" s="391">
        <f t="shared" si="20"/>
        <v>446941.1289292546</v>
      </c>
      <c r="F197" s="362">
        <f t="shared" si="21"/>
        <v>0.12820321080124447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3981</v>
      </c>
      <c r="D198" s="369">
        <f>LN_ID11+LN_IE11</f>
        <v>3595</v>
      </c>
      <c r="E198" s="369">
        <f t="shared" si="20"/>
        <v>-386</v>
      </c>
      <c r="F198" s="362">
        <f t="shared" si="21"/>
        <v>-9.6960562672695302E-2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612</v>
      </c>
      <c r="C199" s="432">
        <f>IF(C198=0,0,C189/C198)</f>
        <v>1429.2830946998242</v>
      </c>
      <c r="D199" s="432">
        <f>IF(LN_IF11=0,0,LN_IF2/LN_IF11)</f>
        <v>1191.1557719054242</v>
      </c>
      <c r="E199" s="432">
        <f t="shared" si="20"/>
        <v>-238.12732279440002</v>
      </c>
      <c r="F199" s="362">
        <f t="shared" si="21"/>
        <v>-0.16660612839922462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613</v>
      </c>
      <c r="C200" s="379">
        <f>IF(C191=0,0,C198/C191)</f>
        <v>3.3510101010101012</v>
      </c>
      <c r="D200" s="379">
        <f>IF(LN_IF4=0,0,LN_IF11/LN_IF4)</f>
        <v>3.4075829383886256</v>
      </c>
      <c r="E200" s="379">
        <f t="shared" si="20"/>
        <v>5.6572837378524365E-2</v>
      </c>
      <c r="F200" s="362">
        <f t="shared" si="21"/>
        <v>1.6882323739182855E-2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669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615</v>
      </c>
      <c r="C203" s="361">
        <f>C133+C168</f>
        <v>25594132</v>
      </c>
      <c r="D203" s="361">
        <f>LN_ID14+LN_IE14</f>
        <v>28060006</v>
      </c>
      <c r="E203" s="361">
        <f t="shared" ref="E203:E211" si="22">D203-C203</f>
        <v>2465874</v>
      </c>
      <c r="F203" s="362">
        <f t="shared" ref="F203:F211" si="23">IF(C203=0,0,E203/C203)</f>
        <v>9.6345287271316721E-2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616</v>
      </c>
      <c r="C204" s="361">
        <f>C134+C169</f>
        <v>6458741</v>
      </c>
      <c r="D204" s="361">
        <f>LN_ID15+LN_IE15</f>
        <v>6734502</v>
      </c>
      <c r="E204" s="361">
        <f t="shared" si="22"/>
        <v>275761</v>
      </c>
      <c r="F204" s="362">
        <f t="shared" si="23"/>
        <v>4.2695782351390155E-2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617</v>
      </c>
      <c r="C205" s="366">
        <f>IF(C203=0,0,C204/C203)</f>
        <v>0.25235241421744642</v>
      </c>
      <c r="D205" s="366">
        <f>IF(LN_IF14=0,0,LN_IF15/LN_IF14)</f>
        <v>0.24000358374834274</v>
      </c>
      <c r="E205" s="367">
        <f t="shared" si="22"/>
        <v>-1.2348830469103678E-2</v>
      </c>
      <c r="F205" s="362">
        <f t="shared" si="23"/>
        <v>-4.8934861619603795E-2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618</v>
      </c>
      <c r="C206" s="366">
        <f>IF(C188=0,0,C203/C188)</f>
        <v>2.1142140552628614</v>
      </c>
      <c r="D206" s="366">
        <f>IF(LN_IF1=0,0,LN_IF14/LN_IF1)</f>
        <v>2.4236398986666527</v>
      </c>
      <c r="E206" s="367">
        <f t="shared" si="22"/>
        <v>0.30942584340379131</v>
      </c>
      <c r="F206" s="362">
        <f t="shared" si="23"/>
        <v>0.14635502144806251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619</v>
      </c>
      <c r="C207" s="376">
        <f>C137+C172</f>
        <v>2513.3159131723687</v>
      </c>
      <c r="D207" s="376">
        <f>LN_ID18+LN_IE18</f>
        <v>2573.2307123118153</v>
      </c>
      <c r="E207" s="376">
        <f t="shared" si="22"/>
        <v>59.914799139446586</v>
      </c>
      <c r="F207" s="362">
        <f t="shared" si="23"/>
        <v>2.3838944728528242E-2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620</v>
      </c>
      <c r="C208" s="378">
        <f>IF(C207=0,0,C204/C207)</f>
        <v>2569.808660403387</v>
      </c>
      <c r="D208" s="378">
        <f>IF(LN_IF18=0,0,LN_IF15/LN_IF18)</f>
        <v>2617.1388238832492</v>
      </c>
      <c r="E208" s="378">
        <f t="shared" si="22"/>
        <v>47.330163479862222</v>
      </c>
      <c r="F208" s="362">
        <f t="shared" si="23"/>
        <v>1.8417777249000605E-2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670</v>
      </c>
      <c r="C209" s="378">
        <f>C61-C208</f>
        <v>2934.162624547439</v>
      </c>
      <c r="D209" s="378">
        <f>LN_IB18-LN_IF19</f>
        <v>3137.0014649961308</v>
      </c>
      <c r="E209" s="378">
        <f t="shared" si="22"/>
        <v>202.83884044869183</v>
      </c>
      <c r="F209" s="362">
        <f t="shared" si="23"/>
        <v>6.9130060737508506E-2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671</v>
      </c>
      <c r="C210" s="378">
        <f>C32-C208</f>
        <v>2017.262514547132</v>
      </c>
      <c r="D210" s="378">
        <f>LN_IA16-LN_IF19</f>
        <v>1939.2695275053261</v>
      </c>
      <c r="E210" s="378">
        <f t="shared" si="22"/>
        <v>-77.992987041805918</v>
      </c>
      <c r="F210" s="362">
        <f t="shared" si="23"/>
        <v>-3.866278507599942E-2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631</v>
      </c>
      <c r="C211" s="391">
        <f>C141+C176</f>
        <v>5070017.9788574129</v>
      </c>
      <c r="D211" s="353">
        <f>LN_IF21*LN_IF18</f>
        <v>4990187.9076271281</v>
      </c>
      <c r="E211" s="353">
        <f t="shared" si="22"/>
        <v>-79830.07123028487</v>
      </c>
      <c r="F211" s="362">
        <f t="shared" si="23"/>
        <v>-1.574552034394866E-2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672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622</v>
      </c>
      <c r="C214" s="361">
        <f>C188+C203</f>
        <v>37699875</v>
      </c>
      <c r="D214" s="361">
        <f>LN_IF1+LN_IF14</f>
        <v>39637636</v>
      </c>
      <c r="E214" s="361">
        <f>D214-C214</f>
        <v>1937761</v>
      </c>
      <c r="F214" s="362">
        <f>IF(C214=0,0,E214/C214)</f>
        <v>5.1399666444517392E-2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623</v>
      </c>
      <c r="C215" s="361">
        <f>C189+C204</f>
        <v>12148717</v>
      </c>
      <c r="D215" s="361">
        <f>LN_IF2+LN_IF15</f>
        <v>11016707</v>
      </c>
      <c r="E215" s="361">
        <f>D215-C215</f>
        <v>-1132010</v>
      </c>
      <c r="F215" s="362">
        <f>IF(C215=0,0,E215/C215)</f>
        <v>-9.3179386761581495E-2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624</v>
      </c>
      <c r="C216" s="361">
        <f>C214-C215</f>
        <v>25551158</v>
      </c>
      <c r="D216" s="361">
        <f>LN_IF23-LN_IF24</f>
        <v>28620929</v>
      </c>
      <c r="E216" s="361">
        <f>D216-C216</f>
        <v>3069771</v>
      </c>
      <c r="F216" s="362">
        <f>IF(C216=0,0,E216/C216)</f>
        <v>0.12014214776488799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673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674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606</v>
      </c>
      <c r="C221" s="361">
        <v>136260</v>
      </c>
      <c r="D221" s="361">
        <v>117471</v>
      </c>
      <c r="E221" s="361">
        <f t="shared" ref="E221:E230" si="24">D221-C221</f>
        <v>-18789</v>
      </c>
      <c r="F221" s="362">
        <f t="shared" ref="F221:F230" si="25">IF(C221=0,0,E221/C221)</f>
        <v>-0.13789079700572435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607</v>
      </c>
      <c r="C222" s="361">
        <v>57058</v>
      </c>
      <c r="D222" s="361">
        <v>53482</v>
      </c>
      <c r="E222" s="361">
        <f t="shared" si="24"/>
        <v>-3576</v>
      </c>
      <c r="F222" s="362">
        <f t="shared" si="25"/>
        <v>-6.26730695082197E-2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608</v>
      </c>
      <c r="C223" s="366">
        <f>IF(C221=0,0,C222/C221)</f>
        <v>0.41874357845295757</v>
      </c>
      <c r="D223" s="366">
        <f>IF(LN_IG1=0,0,LN_IG2/LN_IG1)</f>
        <v>0.45527832401188378</v>
      </c>
      <c r="E223" s="367">
        <f t="shared" si="24"/>
        <v>3.6534745558926218E-2</v>
      </c>
      <c r="F223" s="362">
        <f t="shared" si="25"/>
        <v>8.7248491532463224E-2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14</v>
      </c>
      <c r="D224" s="369">
        <v>18</v>
      </c>
      <c r="E224" s="369">
        <f t="shared" si="24"/>
        <v>4</v>
      </c>
      <c r="F224" s="362">
        <f t="shared" si="25"/>
        <v>0.2857142857142857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609</v>
      </c>
      <c r="C225" s="372">
        <v>0.99129999999999996</v>
      </c>
      <c r="D225" s="372">
        <v>0.58850000000000002</v>
      </c>
      <c r="E225" s="373">
        <f t="shared" si="24"/>
        <v>-0.40279999999999994</v>
      </c>
      <c r="F225" s="362">
        <f t="shared" si="25"/>
        <v>-0.40633511550489254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610</v>
      </c>
      <c r="C226" s="376">
        <f>C224*C225</f>
        <v>13.8782</v>
      </c>
      <c r="D226" s="376">
        <f>LN_IG3*LN_IG4</f>
        <v>10.593</v>
      </c>
      <c r="E226" s="376">
        <f t="shared" si="24"/>
        <v>-3.2851999999999997</v>
      </c>
      <c r="F226" s="362">
        <f t="shared" si="25"/>
        <v>-0.23671657707771898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611</v>
      </c>
      <c r="C227" s="378">
        <f>IF(C226=0,0,C222/C226)</f>
        <v>4111.3400873312103</v>
      </c>
      <c r="D227" s="378">
        <f>IF(LN_IG5=0,0,LN_IG2/LN_IG5)</f>
        <v>5048.8058151609557</v>
      </c>
      <c r="E227" s="378">
        <f t="shared" si="24"/>
        <v>937.46572782974545</v>
      </c>
      <c r="F227" s="362">
        <f t="shared" si="25"/>
        <v>0.22801950408298174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38</v>
      </c>
      <c r="D228" s="369">
        <v>35</v>
      </c>
      <c r="E228" s="369">
        <f t="shared" si="24"/>
        <v>-3</v>
      </c>
      <c r="F228" s="362">
        <f t="shared" si="25"/>
        <v>-7.8947368421052627E-2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612</v>
      </c>
      <c r="C229" s="378">
        <f>IF(C228=0,0,C222/C228)</f>
        <v>1501.5263157894738</v>
      </c>
      <c r="D229" s="378">
        <f>IF(LN_IG6=0,0,LN_IG2/LN_IG6)</f>
        <v>1528.0571428571429</v>
      </c>
      <c r="E229" s="378">
        <f t="shared" si="24"/>
        <v>26.530827067669179</v>
      </c>
      <c r="F229" s="362">
        <f t="shared" si="25"/>
        <v>1.766923881964718E-2</v>
      </c>
      <c r="Q229" s="330"/>
      <c r="U229" s="375"/>
    </row>
    <row r="230" spans="1:21" ht="11.25" customHeight="1" x14ac:dyDescent="0.2">
      <c r="A230" s="364">
        <v>10</v>
      </c>
      <c r="B230" s="360" t="s">
        <v>613</v>
      </c>
      <c r="C230" s="379">
        <f>IF(C224=0,0,C228/C224)</f>
        <v>2.7142857142857144</v>
      </c>
      <c r="D230" s="379">
        <f>IF(LN_IG3=0,0,LN_IG6/LN_IG3)</f>
        <v>1.9444444444444444</v>
      </c>
      <c r="E230" s="379">
        <f t="shared" si="24"/>
        <v>-0.76984126984126999</v>
      </c>
      <c r="F230" s="362">
        <f t="shared" si="25"/>
        <v>-0.28362573099415211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675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615</v>
      </c>
      <c r="C233" s="361">
        <v>473205</v>
      </c>
      <c r="D233" s="361">
        <v>437537</v>
      </c>
      <c r="E233" s="361">
        <f>D233-C233</f>
        <v>-35668</v>
      </c>
      <c r="F233" s="362">
        <f>IF(C233=0,0,E233/C233)</f>
        <v>-7.5375365856235665E-2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616</v>
      </c>
      <c r="C234" s="361">
        <v>170553</v>
      </c>
      <c r="D234" s="361">
        <v>134184</v>
      </c>
      <c r="E234" s="361">
        <f>D234-C234</f>
        <v>-36369</v>
      </c>
      <c r="F234" s="362">
        <f>IF(C234=0,0,E234/C234)</f>
        <v>-0.21324163163356846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676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622</v>
      </c>
      <c r="C237" s="361">
        <f>C221+C233</f>
        <v>609465</v>
      </c>
      <c r="D237" s="361">
        <f>LN_IG1+LN_IG9</f>
        <v>555008</v>
      </c>
      <c r="E237" s="361">
        <f>D237-C237</f>
        <v>-54457</v>
      </c>
      <c r="F237" s="362">
        <f>IF(C237=0,0,E237/C237)</f>
        <v>-8.935213671006538E-2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623</v>
      </c>
      <c r="C238" s="361">
        <f>C222+C234</f>
        <v>227611</v>
      </c>
      <c r="D238" s="361">
        <f>LN_IG2+LN_IG10</f>
        <v>187666</v>
      </c>
      <c r="E238" s="361">
        <f>D238-C238</f>
        <v>-39945</v>
      </c>
      <c r="F238" s="362">
        <f>IF(C238=0,0,E238/C238)</f>
        <v>-0.17549679057690534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624</v>
      </c>
      <c r="C239" s="361">
        <f>C237-C238</f>
        <v>381854</v>
      </c>
      <c r="D239" s="361">
        <f>LN_IG13-LN_IG14</f>
        <v>367342</v>
      </c>
      <c r="E239" s="361">
        <f>D239-C239</f>
        <v>-14512</v>
      </c>
      <c r="F239" s="362">
        <f>IF(C239=0,0,E239/C239)</f>
        <v>-3.8004053905419347E-2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677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678</v>
      </c>
      <c r="C243" s="361">
        <v>2622664</v>
      </c>
      <c r="D243" s="361">
        <v>3044239</v>
      </c>
      <c r="E243" s="353">
        <f>D243-C243</f>
        <v>421575</v>
      </c>
      <c r="F243" s="415">
        <f>IF(C243=0,0,E243/C243)</f>
        <v>0.16074304600208034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679</v>
      </c>
      <c r="C244" s="361">
        <v>91501818</v>
      </c>
      <c r="D244" s="361">
        <v>92639489</v>
      </c>
      <c r="E244" s="353">
        <f>D244-C244</f>
        <v>1137671</v>
      </c>
      <c r="F244" s="415">
        <f>IF(C244=0,0,E244/C244)</f>
        <v>1.2433315805812733E-2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680</v>
      </c>
      <c r="C245" s="400">
        <v>587594</v>
      </c>
      <c r="D245" s="400">
        <v>0</v>
      </c>
      <c r="E245" s="400">
        <f>D245-C245</f>
        <v>-587594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681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682</v>
      </c>
      <c r="C248" s="353">
        <v>2446867</v>
      </c>
      <c r="D248" s="353">
        <v>2956537</v>
      </c>
      <c r="E248" s="353">
        <f>D248-C248</f>
        <v>509670</v>
      </c>
      <c r="F248" s="362">
        <f>IF(C248=0,0,E248/C248)</f>
        <v>0.20829493388892817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683</v>
      </c>
      <c r="C249" s="353">
        <v>3867045</v>
      </c>
      <c r="D249" s="353">
        <v>3100374</v>
      </c>
      <c r="E249" s="353">
        <f>D249-C249</f>
        <v>-766671</v>
      </c>
      <c r="F249" s="362">
        <f>IF(C249=0,0,E249/C249)</f>
        <v>-0.19825758427946921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684</v>
      </c>
      <c r="C250" s="353">
        <f>C248+C249</f>
        <v>6313912</v>
      </c>
      <c r="D250" s="353">
        <f>LN_IH4+LN_IH5</f>
        <v>6056911</v>
      </c>
      <c r="E250" s="353">
        <f>D250-C250</f>
        <v>-257001</v>
      </c>
      <c r="F250" s="362">
        <f>IF(C250=0,0,E250/C250)</f>
        <v>-4.0703924920081243E-2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685</v>
      </c>
      <c r="C251" s="353">
        <f>C250*C313</f>
        <v>2715769.7724533645</v>
      </c>
      <c r="D251" s="353">
        <f>LN_IH6*LN_III10</f>
        <v>2508769.7907653917</v>
      </c>
      <c r="E251" s="353">
        <f>D251-C251</f>
        <v>-206999.98168797279</v>
      </c>
      <c r="F251" s="362">
        <f>IF(C251=0,0,E251/C251)</f>
        <v>-7.622147642543857E-2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686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622</v>
      </c>
      <c r="C254" s="353">
        <f>C188+C203</f>
        <v>37699875</v>
      </c>
      <c r="D254" s="353">
        <f>LN_IF23</f>
        <v>39637636</v>
      </c>
      <c r="E254" s="353">
        <f>D254-C254</f>
        <v>1937761</v>
      </c>
      <c r="F254" s="362">
        <f>IF(C254=0,0,E254/C254)</f>
        <v>5.1399666444517392E-2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623</v>
      </c>
      <c r="C255" s="353">
        <f>C189+C204</f>
        <v>12148717</v>
      </c>
      <c r="D255" s="353">
        <f>LN_IF24</f>
        <v>11016707</v>
      </c>
      <c r="E255" s="353">
        <f>D255-C255</f>
        <v>-1132010</v>
      </c>
      <c r="F255" s="362">
        <f>IF(C255=0,0,E255/C255)</f>
        <v>-9.3179386761581495E-2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687</v>
      </c>
      <c r="C256" s="353">
        <f>C254*C313</f>
        <v>16215649.022392185</v>
      </c>
      <c r="D256" s="353">
        <f>LN_IH8*LN_III10</f>
        <v>16417890.864527276</v>
      </c>
      <c r="E256" s="353">
        <f>D256-C256</f>
        <v>202241.84213509038</v>
      </c>
      <c r="F256" s="362">
        <f>IF(C256=0,0,E256/C256)</f>
        <v>1.2472016498125649E-2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688</v>
      </c>
      <c r="C257" s="353">
        <f>C256-C255</f>
        <v>4066932.0223921854</v>
      </c>
      <c r="D257" s="353">
        <f>LN_IH10-LN_IH9</f>
        <v>5401183.8645272758</v>
      </c>
      <c r="E257" s="353">
        <f>D257-C257</f>
        <v>1334251.8421350904</v>
      </c>
      <c r="F257" s="362">
        <f>IF(C257=0,0,E257/C257)</f>
        <v>0.32807330803387225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689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690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691</v>
      </c>
      <c r="C261" s="361">
        <f>C15+C42+C188+C221</f>
        <v>73484780</v>
      </c>
      <c r="D261" s="361">
        <f>LN_IA1+LN_IB1+LN_IF1+LN_IG1</f>
        <v>72222517</v>
      </c>
      <c r="E261" s="361">
        <f t="shared" ref="E261:E274" si="26">D261-C261</f>
        <v>-1262263</v>
      </c>
      <c r="F261" s="415">
        <f t="shared" ref="F261:F274" si="27">IF(C261=0,0,E261/C261)</f>
        <v>-1.7177203224939912E-2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692</v>
      </c>
      <c r="C262" s="361">
        <f>C16+C43+C189+C222</f>
        <v>41352892</v>
      </c>
      <c r="D262" s="361">
        <f>+LN_IA2+LN_IB2+LN_IF2+LN_IG2</f>
        <v>40084451</v>
      </c>
      <c r="E262" s="361">
        <f t="shared" si="26"/>
        <v>-1268441</v>
      </c>
      <c r="F262" s="415">
        <f t="shared" si="27"/>
        <v>-3.0673574172273125E-2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693</v>
      </c>
      <c r="C263" s="366">
        <f>IF(C261=0,0,C262/C261)</f>
        <v>0.56274091043070418</v>
      </c>
      <c r="D263" s="366">
        <f>IF(LN_IIA1=0,0,LN_IIA2/LN_IIA1)</f>
        <v>0.55501321007685178</v>
      </c>
      <c r="E263" s="367">
        <f t="shared" si="26"/>
        <v>-7.7277003538523958E-3</v>
      </c>
      <c r="F263" s="371">
        <f t="shared" si="27"/>
        <v>-1.3732252641695905E-2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694</v>
      </c>
      <c r="C264" s="369">
        <f>C18+C45+C191+C224</f>
        <v>5100</v>
      </c>
      <c r="D264" s="369">
        <f>LN_IA4+LN_IB4+LN_IF4+LN_IG3</f>
        <v>4701</v>
      </c>
      <c r="E264" s="369">
        <f t="shared" si="26"/>
        <v>-399</v>
      </c>
      <c r="F264" s="415">
        <f t="shared" si="27"/>
        <v>-7.8235294117647056E-2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695</v>
      </c>
      <c r="C265" s="439">
        <f>IF(C264=0,0,C266/C264)</f>
        <v>1.0366803529411766</v>
      </c>
      <c r="D265" s="439">
        <f>IF(LN_IIA4=0,0,LN_IIA6/LN_IIA4)</f>
        <v>1.1018435439268242</v>
      </c>
      <c r="E265" s="439">
        <f t="shared" si="26"/>
        <v>6.5163190985647601E-2</v>
      </c>
      <c r="F265" s="415">
        <f t="shared" si="27"/>
        <v>6.2857553729818882E-2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696</v>
      </c>
      <c r="C266" s="376">
        <f>C20+C47+C193+C226</f>
        <v>5287.0698000000002</v>
      </c>
      <c r="D266" s="376">
        <f>LN_IA6+LN_IB6+LN_IF6+LN_IG5</f>
        <v>5179.7665000000006</v>
      </c>
      <c r="E266" s="376">
        <f t="shared" si="26"/>
        <v>-107.30329999999958</v>
      </c>
      <c r="F266" s="415">
        <f t="shared" si="27"/>
        <v>-2.0295419591396274E-2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697</v>
      </c>
      <c r="C267" s="361">
        <f>C27+C56+C203+C233</f>
        <v>120470784</v>
      </c>
      <c r="D267" s="361">
        <f>LN_IA11+LN_IB13+LN_IF14+LN_IG9</f>
        <v>127160608</v>
      </c>
      <c r="E267" s="361">
        <f t="shared" si="26"/>
        <v>6689824</v>
      </c>
      <c r="F267" s="415">
        <f t="shared" si="27"/>
        <v>5.5530675387652495E-2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618</v>
      </c>
      <c r="C268" s="366">
        <f>IF(C261=0,0,C267/C261)</f>
        <v>1.6393977637274004</v>
      </c>
      <c r="D268" s="366">
        <f>IF(LN_IIA1=0,0,LN_IIA7/LN_IIA1)</f>
        <v>1.7606781552628525</v>
      </c>
      <c r="E268" s="367">
        <f t="shared" si="26"/>
        <v>0.12128039153545211</v>
      </c>
      <c r="F268" s="371">
        <f t="shared" si="27"/>
        <v>7.3978624479579716E-2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698</v>
      </c>
      <c r="C269" s="361">
        <f>C28+C57+C204+C234</f>
        <v>41135175</v>
      </c>
      <c r="D269" s="361">
        <f>LN_IA12+LN_IB14+LN_IF15+LN_IG10</f>
        <v>42422595</v>
      </c>
      <c r="E269" s="361">
        <f t="shared" si="26"/>
        <v>1287420</v>
      </c>
      <c r="F269" s="415">
        <f t="shared" si="27"/>
        <v>3.1297302126464761E-2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617</v>
      </c>
      <c r="C270" s="366">
        <f>IF(C267=0,0,C269/C267)</f>
        <v>0.34145353449347521</v>
      </c>
      <c r="D270" s="366">
        <f>IF(LN_IIA7=0,0,LN_IIA9/LN_IIA7)</f>
        <v>0.3336142824985549</v>
      </c>
      <c r="E270" s="367">
        <f t="shared" si="26"/>
        <v>-7.8392519949203043E-3</v>
      </c>
      <c r="F270" s="371">
        <f t="shared" si="27"/>
        <v>-2.295847371019117E-2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699</v>
      </c>
      <c r="C271" s="353">
        <f>C261+C267</f>
        <v>193955564</v>
      </c>
      <c r="D271" s="353">
        <f>LN_IIA1+LN_IIA7</f>
        <v>199383125</v>
      </c>
      <c r="E271" s="353">
        <f t="shared" si="26"/>
        <v>5427561</v>
      </c>
      <c r="F271" s="415">
        <f t="shared" si="27"/>
        <v>2.7983528227114949E-2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700</v>
      </c>
      <c r="C272" s="353">
        <f>C262+C269</f>
        <v>82488067</v>
      </c>
      <c r="D272" s="353">
        <f>LN_IIA2+LN_IIA9</f>
        <v>82507046</v>
      </c>
      <c r="E272" s="353">
        <f t="shared" si="26"/>
        <v>18979</v>
      </c>
      <c r="F272" s="415">
        <f t="shared" si="27"/>
        <v>2.3008176443266637E-4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701</v>
      </c>
      <c r="C273" s="366">
        <f>IF(C271=0,0,C272/C271)</f>
        <v>0.42529363581443841</v>
      </c>
      <c r="D273" s="366">
        <f>IF(LN_IIA11=0,0,LN_IIA12/LN_IIA11)</f>
        <v>0.41381158009234731</v>
      </c>
      <c r="E273" s="367">
        <f t="shared" si="26"/>
        <v>-1.14820557220911E-2</v>
      </c>
      <c r="F273" s="371">
        <f t="shared" si="27"/>
        <v>-2.6997948605797812E-2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20850</v>
      </c>
      <c r="D274" s="421">
        <f>LN_IA8+LN_IB10+LN_IF11+LN_IG6</f>
        <v>19996</v>
      </c>
      <c r="E274" s="442">
        <f t="shared" si="26"/>
        <v>-854</v>
      </c>
      <c r="F274" s="371">
        <f t="shared" si="27"/>
        <v>-4.0959232613908873E-2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702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703</v>
      </c>
      <c r="C277" s="361">
        <f>C15+C188+C221</f>
        <v>55643652</v>
      </c>
      <c r="D277" s="361">
        <f>LN_IA1+LN_IF1+LN_IG1</f>
        <v>55529505</v>
      </c>
      <c r="E277" s="361">
        <f t="shared" ref="E277:E291" si="28">D277-C277</f>
        <v>-114147</v>
      </c>
      <c r="F277" s="415">
        <f t="shared" ref="F277:F291" si="29">IF(C277=0,0,E277/C277)</f>
        <v>-2.0513930322186616E-3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704</v>
      </c>
      <c r="C278" s="361">
        <f>C16+C189+C222</f>
        <v>32355555</v>
      </c>
      <c r="D278" s="361">
        <f>LN_IA2+LN_IF2+LN_IG2</f>
        <v>30670636</v>
      </c>
      <c r="E278" s="361">
        <f t="shared" si="28"/>
        <v>-1684919</v>
      </c>
      <c r="F278" s="415">
        <f t="shared" si="29"/>
        <v>-5.2075107350190719E-2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705</v>
      </c>
      <c r="C279" s="366">
        <f>IF(C277=0,0,C278/C277)</f>
        <v>0.58147791952979655</v>
      </c>
      <c r="D279" s="366">
        <f>IF(D277=0,0,LN_IIB2/D277)</f>
        <v>0.55233044126721464</v>
      </c>
      <c r="E279" s="367">
        <f t="shared" si="28"/>
        <v>-2.9147478262581905E-2</v>
      </c>
      <c r="F279" s="371">
        <f t="shared" si="29"/>
        <v>-5.0126543560160594E-2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706</v>
      </c>
      <c r="C280" s="369">
        <f>C18+C191+C224</f>
        <v>3719</v>
      </c>
      <c r="D280" s="369">
        <f>LN_IA4+LN_IF4+LN_IG3</f>
        <v>3445</v>
      </c>
      <c r="E280" s="369">
        <f t="shared" si="28"/>
        <v>-274</v>
      </c>
      <c r="F280" s="415">
        <f t="shared" si="29"/>
        <v>-7.3675719279376176E-2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707</v>
      </c>
      <c r="C281" s="439">
        <f>IF(C280=0,0,C282/C280)</f>
        <v>1.077668593707986</v>
      </c>
      <c r="D281" s="439">
        <f>IF(LN_IIB4=0,0,LN_IIB6/LN_IIB4)</f>
        <v>1.1528285921625543</v>
      </c>
      <c r="E281" s="439">
        <f t="shared" si="28"/>
        <v>7.5159998454568333E-2</v>
      </c>
      <c r="F281" s="415">
        <f t="shared" si="29"/>
        <v>6.9743146356303964E-2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708</v>
      </c>
      <c r="C282" s="376">
        <f>C20+C193+C226</f>
        <v>4007.8494999999998</v>
      </c>
      <c r="D282" s="376">
        <f>LN_IA6+LN_IF6+LN_IG5</f>
        <v>3971.4944999999998</v>
      </c>
      <c r="E282" s="376">
        <f t="shared" si="28"/>
        <v>-36.355000000000018</v>
      </c>
      <c r="F282" s="415">
        <f t="shared" si="29"/>
        <v>-9.0709493956796575E-3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709</v>
      </c>
      <c r="C283" s="361">
        <f>C27+C203+C233</f>
        <v>61772622</v>
      </c>
      <c r="D283" s="361">
        <f>LN_IA11+LN_IF14+LN_IG9</f>
        <v>66922964</v>
      </c>
      <c r="E283" s="361">
        <f t="shared" si="28"/>
        <v>5150342</v>
      </c>
      <c r="F283" s="415">
        <f t="shared" si="29"/>
        <v>8.3375803604386428E-2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710</v>
      </c>
      <c r="C284" s="366">
        <f>IF(C277=0,0,C283/C277)</f>
        <v>1.1101467962598861</v>
      </c>
      <c r="D284" s="366">
        <f>IF(D277=0,0,LN_IIB7/D277)</f>
        <v>1.2051784722374168</v>
      </c>
      <c r="E284" s="367">
        <f t="shared" si="28"/>
        <v>9.5031675977530705E-2</v>
      </c>
      <c r="F284" s="371">
        <f t="shared" si="29"/>
        <v>8.5602801627401831E-2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711</v>
      </c>
      <c r="C285" s="361">
        <f>C28+C204+C234</f>
        <v>16127574</v>
      </c>
      <c r="D285" s="361">
        <f>LN_IA12+LN_IF15+LN_IG10</f>
        <v>16342849</v>
      </c>
      <c r="E285" s="361">
        <f t="shared" si="28"/>
        <v>215275</v>
      </c>
      <c r="F285" s="415">
        <f t="shared" si="29"/>
        <v>1.3348256842597652E-2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712</v>
      </c>
      <c r="C286" s="366">
        <f>IF(C283=0,0,C285/C283)</f>
        <v>0.26107964139841755</v>
      </c>
      <c r="D286" s="366">
        <f>IF(LN_IIB7=0,0,LN_IIB9/LN_IIB7)</f>
        <v>0.24420390286359703</v>
      </c>
      <c r="E286" s="367">
        <f t="shared" si="28"/>
        <v>-1.6875738534820522E-2</v>
      </c>
      <c r="F286" s="371">
        <f t="shared" si="29"/>
        <v>-6.4638278359925805E-2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713</v>
      </c>
      <c r="C287" s="353">
        <f>C277+C283</f>
        <v>117416274</v>
      </c>
      <c r="D287" s="353">
        <f>D277+LN_IIB7</f>
        <v>122452469</v>
      </c>
      <c r="E287" s="353">
        <f t="shared" si="28"/>
        <v>5036195</v>
      </c>
      <c r="F287" s="415">
        <f t="shared" si="29"/>
        <v>4.2891797094498162E-2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714</v>
      </c>
      <c r="C288" s="353">
        <f>C278+C285</f>
        <v>48483129</v>
      </c>
      <c r="D288" s="353">
        <f>LN_IIB2+LN_IIB9</f>
        <v>47013485</v>
      </c>
      <c r="E288" s="353">
        <f t="shared" si="28"/>
        <v>-1469644</v>
      </c>
      <c r="F288" s="415">
        <f t="shared" si="29"/>
        <v>-3.031248251324703E-2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715</v>
      </c>
      <c r="C289" s="366">
        <f>IF(C287=0,0,C288/C287)</f>
        <v>0.41291660302557376</v>
      </c>
      <c r="D289" s="366">
        <f>IF(LN_IIB11=0,0,LN_IIB12/LN_IIB11)</f>
        <v>0.38393251997230043</v>
      </c>
      <c r="E289" s="367">
        <f t="shared" si="28"/>
        <v>-2.8984083053273324E-2</v>
      </c>
      <c r="F289" s="371">
        <f t="shared" si="29"/>
        <v>-7.0193552017277963E-2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16359</v>
      </c>
      <c r="D290" s="421">
        <f>LN_IA8+LN_IF11+LN_IG6</f>
        <v>16030</v>
      </c>
      <c r="E290" s="442">
        <f t="shared" si="28"/>
        <v>-329</v>
      </c>
      <c r="F290" s="371">
        <f t="shared" si="29"/>
        <v>-2.0111253744116389E-2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716</v>
      </c>
      <c r="C291" s="361">
        <f>C287-C288</f>
        <v>68933145</v>
      </c>
      <c r="D291" s="429">
        <f>LN_IIB11-LN_IIB12</f>
        <v>75438984</v>
      </c>
      <c r="E291" s="353">
        <f t="shared" si="28"/>
        <v>6505839</v>
      </c>
      <c r="F291" s="415">
        <f t="shared" si="29"/>
        <v>9.4378966751045526E-2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613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604</v>
      </c>
      <c r="C294" s="379">
        <f>IF(C18=0,0,C22/C18)</f>
        <v>4.9026618990862136</v>
      </c>
      <c r="D294" s="379">
        <f>IF(LN_IA4=0,0,LN_IA8/LN_IA4)</f>
        <v>5.2276559865092747</v>
      </c>
      <c r="E294" s="379">
        <f t="shared" ref="E294:E300" si="30">D294-C294</f>
        <v>0.32499408742306102</v>
      </c>
      <c r="F294" s="415">
        <f t="shared" ref="F294:F300" si="31">IF(C294=0,0,E294/C294)</f>
        <v>6.6289312645368276E-2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625</v>
      </c>
      <c r="C295" s="379">
        <f>IF(C45=0,0,C51/C45)</f>
        <v>3.2519913106444607</v>
      </c>
      <c r="D295" s="379">
        <f>IF(LN_IB4=0,0,(LN_IB10)/(LN_IB4))</f>
        <v>3.1576433121019107</v>
      </c>
      <c r="E295" s="379">
        <f t="shared" si="30"/>
        <v>-9.4347998542549938E-2</v>
      </c>
      <c r="F295" s="415">
        <f t="shared" si="31"/>
        <v>-2.9012377196005669E-2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640</v>
      </c>
      <c r="C296" s="379">
        <f>IF(C86=0,0,C93/C86)</f>
        <v>3.7547169811320753</v>
      </c>
      <c r="D296" s="379">
        <f>IF(LN_IC4=0,0,LN_IC11/LN_IC4)</f>
        <v>3.3333333333333335</v>
      </c>
      <c r="E296" s="379">
        <f t="shared" si="30"/>
        <v>-0.42138364779874182</v>
      </c>
      <c r="F296" s="415">
        <f t="shared" si="31"/>
        <v>-0.1122278056951423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3.1658812441093307</v>
      </c>
      <c r="D297" s="379">
        <f>IF(LN_ID4=0,0,LN_ID11/LN_ID4)</f>
        <v>3.4057971014492754</v>
      </c>
      <c r="E297" s="379">
        <f t="shared" si="30"/>
        <v>0.23991585733994469</v>
      </c>
      <c r="F297" s="415">
        <f t="shared" si="31"/>
        <v>7.5781698314284412E-2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717</v>
      </c>
      <c r="C298" s="379">
        <f>IF(C156=0,0,C163/C156)</f>
        <v>4.8976377952755907</v>
      </c>
      <c r="D298" s="379">
        <f>IF(LN_IE4=0,0,LN_IE11/LN_IE4)</f>
        <v>3.5</v>
      </c>
      <c r="E298" s="379">
        <f t="shared" si="30"/>
        <v>-1.3976377952755907</v>
      </c>
      <c r="F298" s="415">
        <f t="shared" si="31"/>
        <v>-0.28536977491961418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2.7142857142857144</v>
      </c>
      <c r="D299" s="379">
        <f>IF(LN_IG3=0,0,LN_IG6/LN_IG3)</f>
        <v>1.9444444444444444</v>
      </c>
      <c r="E299" s="379">
        <f t="shared" si="30"/>
        <v>-0.76984126984126999</v>
      </c>
      <c r="F299" s="415">
        <f t="shared" si="31"/>
        <v>-0.28362573099415211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718</v>
      </c>
      <c r="C300" s="379">
        <f>IF(C264=0,0,C274/C264)</f>
        <v>4.0882352941176467</v>
      </c>
      <c r="D300" s="379">
        <f>IF(LN_IIA4=0,0,LN_IIA14/LN_IIA4)</f>
        <v>4.2535630716868749</v>
      </c>
      <c r="E300" s="379">
        <f t="shared" si="30"/>
        <v>0.16532777756922812</v>
      </c>
      <c r="F300" s="415">
        <f t="shared" si="31"/>
        <v>4.0439888038516232E-2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719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713</v>
      </c>
      <c r="C304" s="353">
        <f>C35+C66+C214+C221+C233</f>
        <v>193955564</v>
      </c>
      <c r="D304" s="353">
        <f>LN_IIA11</f>
        <v>199383125</v>
      </c>
      <c r="E304" s="353">
        <f t="shared" ref="E304:E316" si="32">D304-C304</f>
        <v>5427561</v>
      </c>
      <c r="F304" s="362">
        <f>IF(C304=0,0,E304/C304)</f>
        <v>2.7983528227114949E-2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716</v>
      </c>
      <c r="C305" s="353">
        <f>C291</f>
        <v>68933145</v>
      </c>
      <c r="D305" s="353">
        <f>LN_IIB14</f>
        <v>75438984</v>
      </c>
      <c r="E305" s="353">
        <f t="shared" si="32"/>
        <v>6505839</v>
      </c>
      <c r="F305" s="362">
        <f>IF(C305=0,0,E305/C305)</f>
        <v>9.4378966751045526E-2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720</v>
      </c>
      <c r="C306" s="353">
        <f>C250</f>
        <v>6313912</v>
      </c>
      <c r="D306" s="353">
        <f>LN_IH6</f>
        <v>6056911</v>
      </c>
      <c r="E306" s="353">
        <f t="shared" si="32"/>
        <v>-257001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721</v>
      </c>
      <c r="C307" s="353">
        <f>C73-C74</f>
        <v>34194802</v>
      </c>
      <c r="D307" s="353">
        <f>LN_IB32-LN_IB33</f>
        <v>35260270</v>
      </c>
      <c r="E307" s="353">
        <f t="shared" si="32"/>
        <v>1065468</v>
      </c>
      <c r="F307" s="362">
        <f t="shared" ref="F307:F316" si="33">IF(C307=0,0,E307/C307)</f>
        <v>3.1158770856459413E-2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722</v>
      </c>
      <c r="C308" s="353">
        <v>1676212</v>
      </c>
      <c r="D308" s="353">
        <v>42560</v>
      </c>
      <c r="E308" s="353">
        <f t="shared" si="32"/>
        <v>-1633652</v>
      </c>
      <c r="F308" s="362">
        <f t="shared" si="33"/>
        <v>-0.97460941694725967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723</v>
      </c>
      <c r="C309" s="353">
        <f>C305+C307+C308+C306</f>
        <v>111118071</v>
      </c>
      <c r="D309" s="353">
        <f>LN_III2+LN_III3+LN_III4+LN_III5</f>
        <v>116798725</v>
      </c>
      <c r="E309" s="353">
        <f t="shared" si="32"/>
        <v>5680654</v>
      </c>
      <c r="F309" s="362">
        <f t="shared" si="33"/>
        <v>5.1122683726214077E-2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724</v>
      </c>
      <c r="C310" s="353">
        <f>C304-C309</f>
        <v>82837493</v>
      </c>
      <c r="D310" s="353">
        <f>LN_III1-LN_III6</f>
        <v>82584400</v>
      </c>
      <c r="E310" s="353">
        <f t="shared" si="32"/>
        <v>-253093</v>
      </c>
      <c r="F310" s="362">
        <f t="shared" si="33"/>
        <v>-3.0552952634624033E-3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725</v>
      </c>
      <c r="C311" s="353">
        <f>C245</f>
        <v>587594</v>
      </c>
      <c r="D311" s="353">
        <f>LN_IH3</f>
        <v>0</v>
      </c>
      <c r="E311" s="353">
        <f t="shared" si="32"/>
        <v>-587594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726</v>
      </c>
      <c r="C312" s="353">
        <f>C310+C311</f>
        <v>83425087</v>
      </c>
      <c r="D312" s="353">
        <f>LN_III7+LN_III8</f>
        <v>82584400</v>
      </c>
      <c r="E312" s="353">
        <f t="shared" si="32"/>
        <v>-840687</v>
      </c>
      <c r="F312" s="362">
        <f t="shared" si="33"/>
        <v>-1.0077148615979267E-2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727</v>
      </c>
      <c r="C313" s="448">
        <f>IF(C304=0,0,C312/C304)</f>
        <v>0.4301247423868696</v>
      </c>
      <c r="D313" s="448">
        <f>IF(LN_III1=0,0,LN_III9/LN_III1)</f>
        <v>0.41419954672693587</v>
      </c>
      <c r="E313" s="448">
        <f t="shared" si="32"/>
        <v>-1.5925195659933722E-2</v>
      </c>
      <c r="F313" s="362">
        <f t="shared" si="33"/>
        <v>-3.7024597960956245E-2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685</v>
      </c>
      <c r="C314" s="353">
        <f>C306*C313</f>
        <v>2715769.7724533645</v>
      </c>
      <c r="D314" s="353">
        <f>D313*LN_III5</f>
        <v>2508769.7907653917</v>
      </c>
      <c r="E314" s="353">
        <f t="shared" si="32"/>
        <v>-206999.98168797279</v>
      </c>
      <c r="F314" s="362">
        <f t="shared" si="33"/>
        <v>-7.622147642543857E-2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688</v>
      </c>
      <c r="C315" s="353">
        <f>(C214*C313)-C215</f>
        <v>4066932.0223921854</v>
      </c>
      <c r="D315" s="353">
        <f>D313*LN_IH8-LN_IH9</f>
        <v>5401183.8645272758</v>
      </c>
      <c r="E315" s="353">
        <f t="shared" si="32"/>
        <v>1334251.8421350904</v>
      </c>
      <c r="F315" s="362">
        <f t="shared" si="33"/>
        <v>0.32807330803387225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728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729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730</v>
      </c>
      <c r="C318" s="353">
        <f>C314+C315+C316</f>
        <v>6782701.7948455494</v>
      </c>
      <c r="D318" s="353">
        <f>D314+D315+D316</f>
        <v>7909953.6552926674</v>
      </c>
      <c r="E318" s="353">
        <f>D318-C318</f>
        <v>1127251.8604471181</v>
      </c>
      <c r="F318" s="362">
        <f>IF(C318=0,0,E318/C318)</f>
        <v>0.16619510846013641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731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4563753.4022985538</v>
      </c>
      <c r="D322" s="353">
        <f>LN_ID22</f>
        <v>4966019.4480272848</v>
      </c>
      <c r="E322" s="353">
        <f>LN_IV2-C322</f>
        <v>402266.04572873097</v>
      </c>
      <c r="F322" s="362">
        <f>IF(C322=0,0,E322/C322)</f>
        <v>8.8143685749130965E-2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717</v>
      </c>
      <c r="C323" s="353">
        <f>C162+C176</f>
        <v>1275557.3378816359</v>
      </c>
      <c r="D323" s="353">
        <f>LN_IE10+LN_IE22</f>
        <v>25390.079959689709</v>
      </c>
      <c r="E323" s="353">
        <f>LN_IV3-C323</f>
        <v>-1250167.2579219462</v>
      </c>
      <c r="F323" s="362">
        <f>IF(C323=0,0,E323/C323)</f>
        <v>-0.9800949128622819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732</v>
      </c>
      <c r="C324" s="353">
        <f>C92+C106</f>
        <v>1408283.5217512939</v>
      </c>
      <c r="D324" s="353">
        <f>LN_IC10+LN_IC22</f>
        <v>1620530.0913355809</v>
      </c>
      <c r="E324" s="353">
        <f>LN_IV1-C324</f>
        <v>212246.569584287</v>
      </c>
      <c r="F324" s="362">
        <f>IF(C324=0,0,E324/C324)</f>
        <v>0.15071295396565057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733</v>
      </c>
      <c r="C325" s="429">
        <f>C324+C322+C323</f>
        <v>7247594.2619314836</v>
      </c>
      <c r="D325" s="429">
        <f>LN_IV1+LN_IV2+LN_IV3</f>
        <v>6611939.6193225551</v>
      </c>
      <c r="E325" s="353">
        <f>LN_IV4-C325</f>
        <v>-635654.64260892849</v>
      </c>
      <c r="F325" s="362">
        <f>IF(C325=0,0,E325/C325)</f>
        <v>-8.7705605423823288E-2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734</v>
      </c>
      <c r="B327" s="446" t="s">
        <v>735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736</v>
      </c>
      <c r="C329" s="431">
        <v>3173244</v>
      </c>
      <c r="D329" s="431">
        <v>79148</v>
      </c>
      <c r="E329" s="431">
        <f t="shared" ref="E329:E335" si="34">D329-C329</f>
        <v>-3094096</v>
      </c>
      <c r="F329" s="462">
        <f t="shared" ref="F329:F335" si="35">IF(C329=0,0,E329/C329)</f>
        <v>-0.97505770120419355</v>
      </c>
    </row>
    <row r="330" spans="1:22" s="333" customFormat="1" ht="11.25" customHeight="1" x14ac:dyDescent="0.2">
      <c r="A330" s="364">
        <v>2</v>
      </c>
      <c r="B330" s="360" t="s">
        <v>737</v>
      </c>
      <c r="C330" s="429">
        <v>3867045</v>
      </c>
      <c r="D330" s="429">
        <v>3348402</v>
      </c>
      <c r="E330" s="431">
        <f t="shared" si="34"/>
        <v>-518643</v>
      </c>
      <c r="F330" s="463">
        <f t="shared" si="35"/>
        <v>-0.13411868752497061</v>
      </c>
    </row>
    <row r="331" spans="1:22" s="333" customFormat="1" ht="11.25" customHeight="1" x14ac:dyDescent="0.2">
      <c r="A331" s="339">
        <v>3</v>
      </c>
      <c r="B331" s="360" t="s">
        <v>738</v>
      </c>
      <c r="C331" s="429">
        <v>86942706</v>
      </c>
      <c r="D331" s="429">
        <v>85855448</v>
      </c>
      <c r="E331" s="431">
        <f t="shared" si="34"/>
        <v>-1087258</v>
      </c>
      <c r="F331" s="462">
        <f t="shared" si="35"/>
        <v>-1.2505453879017752E-2</v>
      </c>
    </row>
    <row r="332" spans="1:22" s="333" customFormat="1" ht="11.25" customHeight="1" x14ac:dyDescent="0.2">
      <c r="A332" s="364">
        <v>4</v>
      </c>
      <c r="B332" s="360" t="s">
        <v>739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740</v>
      </c>
      <c r="C333" s="429">
        <v>193955564</v>
      </c>
      <c r="D333" s="429">
        <v>199383125</v>
      </c>
      <c r="E333" s="431">
        <f t="shared" si="34"/>
        <v>5427561</v>
      </c>
      <c r="F333" s="462">
        <f t="shared" si="35"/>
        <v>2.7983528227114949E-2</v>
      </c>
    </row>
    <row r="334" spans="1:22" s="333" customFormat="1" ht="11.25" customHeight="1" x14ac:dyDescent="0.2">
      <c r="A334" s="339">
        <v>6</v>
      </c>
      <c r="B334" s="360" t="s">
        <v>741</v>
      </c>
      <c r="C334" s="429">
        <v>1691625</v>
      </c>
      <c r="D334" s="429">
        <v>342162</v>
      </c>
      <c r="E334" s="429">
        <f t="shared" si="34"/>
        <v>-1349463</v>
      </c>
      <c r="F334" s="463">
        <f t="shared" si="35"/>
        <v>-0.79773176679228552</v>
      </c>
    </row>
    <row r="335" spans="1:22" s="333" customFormat="1" ht="11.25" customHeight="1" x14ac:dyDescent="0.2">
      <c r="A335" s="364">
        <v>7</v>
      </c>
      <c r="B335" s="360" t="s">
        <v>742</v>
      </c>
      <c r="C335" s="429">
        <v>8005538</v>
      </c>
      <c r="D335" s="429">
        <v>6399073</v>
      </c>
      <c r="E335" s="429">
        <f t="shared" si="34"/>
        <v>-1606465</v>
      </c>
      <c r="F335" s="462">
        <f t="shared" si="35"/>
        <v>-0.20066921173817426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FILING&amp;RWINDHAM COMMUNITY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tabSelected="1"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595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743</v>
      </c>
      <c r="B5" s="710"/>
      <c r="C5" s="710"/>
      <c r="D5" s="710"/>
      <c r="E5" s="710"/>
    </row>
    <row r="6" spans="1:5" s="338" customFormat="1" ht="15.75" customHeight="1" x14ac:dyDescent="0.25">
      <c r="A6" s="710" t="s">
        <v>744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745</v>
      </c>
      <c r="D9" s="494" t="s">
        <v>746</v>
      </c>
      <c r="E9" s="495" t="s">
        <v>747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748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749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625</v>
      </c>
      <c r="C14" s="513">
        <v>17841128</v>
      </c>
      <c r="D14" s="513">
        <v>16693012</v>
      </c>
      <c r="E14" s="514">
        <f t="shared" ref="E14:E22" si="0">D14-C14</f>
        <v>-1148116</v>
      </c>
    </row>
    <row r="15" spans="1:5" s="506" customFormat="1" x14ac:dyDescent="0.2">
      <c r="A15" s="512">
        <v>2</v>
      </c>
      <c r="B15" s="511" t="s">
        <v>604</v>
      </c>
      <c r="C15" s="513">
        <v>43401649</v>
      </c>
      <c r="D15" s="515">
        <v>43834404</v>
      </c>
      <c r="E15" s="514">
        <f t="shared" si="0"/>
        <v>432755</v>
      </c>
    </row>
    <row r="16" spans="1:5" s="506" customFormat="1" x14ac:dyDescent="0.2">
      <c r="A16" s="512">
        <v>3</v>
      </c>
      <c r="B16" s="511" t="s">
        <v>750</v>
      </c>
      <c r="C16" s="513">
        <v>12105743</v>
      </c>
      <c r="D16" s="515">
        <v>11577630</v>
      </c>
      <c r="E16" s="514">
        <f t="shared" si="0"/>
        <v>-528113</v>
      </c>
    </row>
    <row r="17" spans="1:5" s="506" customFormat="1" x14ac:dyDescent="0.2">
      <c r="A17" s="512">
        <v>4</v>
      </c>
      <c r="B17" s="511" t="s">
        <v>114</v>
      </c>
      <c r="C17" s="513">
        <v>10036189</v>
      </c>
      <c r="D17" s="515">
        <v>11264038</v>
      </c>
      <c r="E17" s="514">
        <f t="shared" si="0"/>
        <v>1227849</v>
      </c>
    </row>
    <row r="18" spans="1:5" s="506" customFormat="1" x14ac:dyDescent="0.2">
      <c r="A18" s="512">
        <v>5</v>
      </c>
      <c r="B18" s="511" t="s">
        <v>717</v>
      </c>
      <c r="C18" s="513">
        <v>2069554</v>
      </c>
      <c r="D18" s="515">
        <v>313592</v>
      </c>
      <c r="E18" s="514">
        <f t="shared" si="0"/>
        <v>-1755962</v>
      </c>
    </row>
    <row r="19" spans="1:5" s="506" customFormat="1" x14ac:dyDescent="0.2">
      <c r="A19" s="512">
        <v>6</v>
      </c>
      <c r="B19" s="511" t="s">
        <v>418</v>
      </c>
      <c r="C19" s="513">
        <v>136260</v>
      </c>
      <c r="D19" s="515">
        <v>117471</v>
      </c>
      <c r="E19" s="514">
        <f t="shared" si="0"/>
        <v>-18789</v>
      </c>
    </row>
    <row r="20" spans="1:5" s="506" customFormat="1" x14ac:dyDescent="0.2">
      <c r="A20" s="512">
        <v>7</v>
      </c>
      <c r="B20" s="511" t="s">
        <v>732</v>
      </c>
      <c r="C20" s="513">
        <v>1567998</v>
      </c>
      <c r="D20" s="515">
        <v>952163</v>
      </c>
      <c r="E20" s="514">
        <f t="shared" si="0"/>
        <v>-615835</v>
      </c>
    </row>
    <row r="21" spans="1:5" s="506" customFormat="1" x14ac:dyDescent="0.2">
      <c r="A21" s="512"/>
      <c r="B21" s="516" t="s">
        <v>751</v>
      </c>
      <c r="C21" s="517">
        <f>SUM(C15+C16+C19)</f>
        <v>55643652</v>
      </c>
      <c r="D21" s="517">
        <f>SUM(D15+D16+D19)</f>
        <v>55529505</v>
      </c>
      <c r="E21" s="517">
        <f t="shared" si="0"/>
        <v>-114147</v>
      </c>
    </row>
    <row r="22" spans="1:5" s="506" customFormat="1" x14ac:dyDescent="0.2">
      <c r="A22" s="512"/>
      <c r="B22" s="516" t="s">
        <v>691</v>
      </c>
      <c r="C22" s="517">
        <f>SUM(C14+C21)</f>
        <v>73484780</v>
      </c>
      <c r="D22" s="517">
        <f>SUM(D14+D21)</f>
        <v>72222517</v>
      </c>
      <c r="E22" s="517">
        <f t="shared" si="0"/>
        <v>-1262263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752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625</v>
      </c>
      <c r="C25" s="513">
        <v>58698162</v>
      </c>
      <c r="D25" s="513">
        <v>60237644</v>
      </c>
      <c r="E25" s="514">
        <f t="shared" ref="E25:E33" si="1">D25-C25</f>
        <v>1539482</v>
      </c>
    </row>
    <row r="26" spans="1:5" s="506" customFormat="1" x14ac:dyDescent="0.2">
      <c r="A26" s="512">
        <v>2</v>
      </c>
      <c r="B26" s="511" t="s">
        <v>604</v>
      </c>
      <c r="C26" s="513">
        <v>35705285</v>
      </c>
      <c r="D26" s="515">
        <v>38425421</v>
      </c>
      <c r="E26" s="514">
        <f t="shared" si="1"/>
        <v>2720136</v>
      </c>
    </row>
    <row r="27" spans="1:5" s="506" customFormat="1" x14ac:dyDescent="0.2">
      <c r="A27" s="512">
        <v>3</v>
      </c>
      <c r="B27" s="511" t="s">
        <v>750</v>
      </c>
      <c r="C27" s="513">
        <v>25594132</v>
      </c>
      <c r="D27" s="515">
        <v>28060006</v>
      </c>
      <c r="E27" s="514">
        <f t="shared" si="1"/>
        <v>2465874</v>
      </c>
    </row>
    <row r="28" spans="1:5" s="506" customFormat="1" x14ac:dyDescent="0.2">
      <c r="A28" s="512">
        <v>4</v>
      </c>
      <c r="B28" s="511" t="s">
        <v>114</v>
      </c>
      <c r="C28" s="513">
        <v>21255395</v>
      </c>
      <c r="D28" s="515">
        <v>27879540</v>
      </c>
      <c r="E28" s="514">
        <f t="shared" si="1"/>
        <v>6624145</v>
      </c>
    </row>
    <row r="29" spans="1:5" s="506" customFormat="1" x14ac:dyDescent="0.2">
      <c r="A29" s="512">
        <v>5</v>
      </c>
      <c r="B29" s="511" t="s">
        <v>717</v>
      </c>
      <c r="C29" s="513">
        <v>4338737</v>
      </c>
      <c r="D29" s="515">
        <v>180466</v>
      </c>
      <c r="E29" s="514">
        <f t="shared" si="1"/>
        <v>-4158271</v>
      </c>
    </row>
    <row r="30" spans="1:5" s="506" customFormat="1" x14ac:dyDescent="0.2">
      <c r="A30" s="512">
        <v>6</v>
      </c>
      <c r="B30" s="511" t="s">
        <v>418</v>
      </c>
      <c r="C30" s="513">
        <v>473205</v>
      </c>
      <c r="D30" s="515">
        <v>437537</v>
      </c>
      <c r="E30" s="514">
        <f t="shared" si="1"/>
        <v>-35668</v>
      </c>
    </row>
    <row r="31" spans="1:5" s="506" customFormat="1" x14ac:dyDescent="0.2">
      <c r="A31" s="512">
        <v>7</v>
      </c>
      <c r="B31" s="511" t="s">
        <v>732</v>
      </c>
      <c r="C31" s="514">
        <v>3290522</v>
      </c>
      <c r="D31" s="518">
        <v>3740586</v>
      </c>
      <c r="E31" s="514">
        <f t="shared" si="1"/>
        <v>450064</v>
      </c>
    </row>
    <row r="32" spans="1:5" s="506" customFormat="1" x14ac:dyDescent="0.2">
      <c r="A32" s="512"/>
      <c r="B32" s="516" t="s">
        <v>753</v>
      </c>
      <c r="C32" s="517">
        <f>SUM(C26+C27+C30)</f>
        <v>61772622</v>
      </c>
      <c r="D32" s="517">
        <f>SUM(D26+D27+D30)</f>
        <v>66922964</v>
      </c>
      <c r="E32" s="517">
        <f t="shared" si="1"/>
        <v>5150342</v>
      </c>
    </row>
    <row r="33" spans="1:5" s="506" customFormat="1" x14ac:dyDescent="0.2">
      <c r="A33" s="512"/>
      <c r="B33" s="516" t="s">
        <v>697</v>
      </c>
      <c r="C33" s="517">
        <f>SUM(C25+C32)</f>
        <v>120470784</v>
      </c>
      <c r="D33" s="517">
        <f>SUM(D25+D32)</f>
        <v>127160608</v>
      </c>
      <c r="E33" s="517">
        <f t="shared" si="1"/>
        <v>6689824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622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754</v>
      </c>
      <c r="C36" s="514">
        <f t="shared" ref="C36:D42" si="2">C14+C25</f>
        <v>76539290</v>
      </c>
      <c r="D36" s="514">
        <f t="shared" si="2"/>
        <v>76930656</v>
      </c>
      <c r="E36" s="514">
        <f t="shared" ref="E36:E44" si="3">D36-C36</f>
        <v>391366</v>
      </c>
    </row>
    <row r="37" spans="1:5" s="506" customFormat="1" x14ac:dyDescent="0.2">
      <c r="A37" s="512">
        <v>2</v>
      </c>
      <c r="B37" s="511" t="s">
        <v>755</v>
      </c>
      <c r="C37" s="514">
        <f t="shared" si="2"/>
        <v>79106934</v>
      </c>
      <c r="D37" s="514">
        <f t="shared" si="2"/>
        <v>82259825</v>
      </c>
      <c r="E37" s="514">
        <f t="shared" si="3"/>
        <v>3152891</v>
      </c>
    </row>
    <row r="38" spans="1:5" s="506" customFormat="1" x14ac:dyDescent="0.2">
      <c r="A38" s="512">
        <v>3</v>
      </c>
      <c r="B38" s="511" t="s">
        <v>756</v>
      </c>
      <c r="C38" s="514">
        <f t="shared" si="2"/>
        <v>37699875</v>
      </c>
      <c r="D38" s="514">
        <f t="shared" si="2"/>
        <v>39637636</v>
      </c>
      <c r="E38" s="514">
        <f t="shared" si="3"/>
        <v>1937761</v>
      </c>
    </row>
    <row r="39" spans="1:5" s="506" customFormat="1" x14ac:dyDescent="0.2">
      <c r="A39" s="512">
        <v>4</v>
      </c>
      <c r="B39" s="511" t="s">
        <v>757</v>
      </c>
      <c r="C39" s="514">
        <f t="shared" si="2"/>
        <v>31291584</v>
      </c>
      <c r="D39" s="514">
        <f t="shared" si="2"/>
        <v>39143578</v>
      </c>
      <c r="E39" s="514">
        <f t="shared" si="3"/>
        <v>7851994</v>
      </c>
    </row>
    <row r="40" spans="1:5" s="506" customFormat="1" x14ac:dyDescent="0.2">
      <c r="A40" s="512">
        <v>5</v>
      </c>
      <c r="B40" s="511" t="s">
        <v>758</v>
      </c>
      <c r="C40" s="514">
        <f t="shared" si="2"/>
        <v>6408291</v>
      </c>
      <c r="D40" s="514">
        <f t="shared" si="2"/>
        <v>494058</v>
      </c>
      <c r="E40" s="514">
        <f t="shared" si="3"/>
        <v>-5914233</v>
      </c>
    </row>
    <row r="41" spans="1:5" s="506" customFormat="1" x14ac:dyDescent="0.2">
      <c r="A41" s="512">
        <v>6</v>
      </c>
      <c r="B41" s="511" t="s">
        <v>759</v>
      </c>
      <c r="C41" s="514">
        <f t="shared" si="2"/>
        <v>609465</v>
      </c>
      <c r="D41" s="514">
        <f t="shared" si="2"/>
        <v>555008</v>
      </c>
      <c r="E41" s="514">
        <f t="shared" si="3"/>
        <v>-54457</v>
      </c>
    </row>
    <row r="42" spans="1:5" s="506" customFormat="1" x14ac:dyDescent="0.2">
      <c r="A42" s="512">
        <v>7</v>
      </c>
      <c r="B42" s="511" t="s">
        <v>760</v>
      </c>
      <c r="C42" s="514">
        <f t="shared" si="2"/>
        <v>4858520</v>
      </c>
      <c r="D42" s="514">
        <f t="shared" si="2"/>
        <v>4692749</v>
      </c>
      <c r="E42" s="514">
        <f t="shared" si="3"/>
        <v>-165771</v>
      </c>
    </row>
    <row r="43" spans="1:5" s="506" customFormat="1" x14ac:dyDescent="0.2">
      <c r="A43" s="512"/>
      <c r="B43" s="516" t="s">
        <v>761</v>
      </c>
      <c r="C43" s="517">
        <f>SUM(C37+C38+C41)</f>
        <v>117416274</v>
      </c>
      <c r="D43" s="517">
        <f>SUM(D37+D38+D41)</f>
        <v>122452469</v>
      </c>
      <c r="E43" s="517">
        <f t="shared" si="3"/>
        <v>5036195</v>
      </c>
    </row>
    <row r="44" spans="1:5" s="506" customFormat="1" x14ac:dyDescent="0.2">
      <c r="A44" s="512"/>
      <c r="B44" s="516" t="s">
        <v>699</v>
      </c>
      <c r="C44" s="517">
        <f>SUM(C36+C43)</f>
        <v>193955564</v>
      </c>
      <c r="D44" s="517">
        <f>SUM(D36+D43)</f>
        <v>199383125</v>
      </c>
      <c r="E44" s="517">
        <f t="shared" si="3"/>
        <v>5427561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762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625</v>
      </c>
      <c r="C47" s="513">
        <v>8997337</v>
      </c>
      <c r="D47" s="513">
        <v>9413815</v>
      </c>
      <c r="E47" s="514">
        <f t="shared" ref="E47:E55" si="4">D47-C47</f>
        <v>416478</v>
      </c>
    </row>
    <row r="48" spans="1:5" s="506" customFormat="1" x14ac:dyDescent="0.2">
      <c r="A48" s="512">
        <v>2</v>
      </c>
      <c r="B48" s="511" t="s">
        <v>604</v>
      </c>
      <c r="C48" s="513">
        <v>26608521</v>
      </c>
      <c r="D48" s="515">
        <v>26334949</v>
      </c>
      <c r="E48" s="514">
        <f t="shared" si="4"/>
        <v>-273572</v>
      </c>
    </row>
    <row r="49" spans="1:5" s="506" customFormat="1" x14ac:dyDescent="0.2">
      <c r="A49" s="512">
        <v>3</v>
      </c>
      <c r="B49" s="511" t="s">
        <v>750</v>
      </c>
      <c r="C49" s="513">
        <v>5689976</v>
      </c>
      <c r="D49" s="515">
        <v>4282205</v>
      </c>
      <c r="E49" s="514">
        <f t="shared" si="4"/>
        <v>-1407771</v>
      </c>
    </row>
    <row r="50" spans="1:5" s="506" customFormat="1" x14ac:dyDescent="0.2">
      <c r="A50" s="512">
        <v>4</v>
      </c>
      <c r="B50" s="511" t="s">
        <v>114</v>
      </c>
      <c r="C50" s="513">
        <v>5043975</v>
      </c>
      <c r="D50" s="515">
        <v>4163615</v>
      </c>
      <c r="E50" s="514">
        <f t="shared" si="4"/>
        <v>-880360</v>
      </c>
    </row>
    <row r="51" spans="1:5" s="506" customFormat="1" x14ac:dyDescent="0.2">
      <c r="A51" s="512">
        <v>5</v>
      </c>
      <c r="B51" s="511" t="s">
        <v>717</v>
      </c>
      <c r="C51" s="513">
        <v>646001</v>
      </c>
      <c r="D51" s="515">
        <v>118590</v>
      </c>
      <c r="E51" s="514">
        <f t="shared" si="4"/>
        <v>-527411</v>
      </c>
    </row>
    <row r="52" spans="1:5" s="506" customFormat="1" x14ac:dyDescent="0.2">
      <c r="A52" s="512">
        <v>6</v>
      </c>
      <c r="B52" s="511" t="s">
        <v>418</v>
      </c>
      <c r="C52" s="513">
        <v>57058</v>
      </c>
      <c r="D52" s="515">
        <v>53482</v>
      </c>
      <c r="E52" s="514">
        <f t="shared" si="4"/>
        <v>-3576</v>
      </c>
    </row>
    <row r="53" spans="1:5" s="506" customFormat="1" x14ac:dyDescent="0.2">
      <c r="A53" s="512">
        <v>7</v>
      </c>
      <c r="B53" s="511" t="s">
        <v>732</v>
      </c>
      <c r="C53" s="513">
        <v>147158</v>
      </c>
      <c r="D53" s="515">
        <v>46750</v>
      </c>
      <c r="E53" s="514">
        <f t="shared" si="4"/>
        <v>-100408</v>
      </c>
    </row>
    <row r="54" spans="1:5" s="506" customFormat="1" x14ac:dyDescent="0.2">
      <c r="A54" s="512"/>
      <c r="B54" s="516" t="s">
        <v>763</v>
      </c>
      <c r="C54" s="517">
        <f>SUM(C48+C49+C52)</f>
        <v>32355555</v>
      </c>
      <c r="D54" s="517">
        <f>SUM(D48+D49+D52)</f>
        <v>30670636</v>
      </c>
      <c r="E54" s="517">
        <f t="shared" si="4"/>
        <v>-1684919</v>
      </c>
    </row>
    <row r="55" spans="1:5" s="506" customFormat="1" x14ac:dyDescent="0.2">
      <c r="A55" s="512"/>
      <c r="B55" s="516" t="s">
        <v>692</v>
      </c>
      <c r="C55" s="517">
        <f>SUM(C47+C54)</f>
        <v>41352892</v>
      </c>
      <c r="D55" s="517">
        <f>SUM(D47+D54)</f>
        <v>40084451</v>
      </c>
      <c r="E55" s="517">
        <f t="shared" si="4"/>
        <v>-1268441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764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625</v>
      </c>
      <c r="C58" s="513">
        <v>25007601</v>
      </c>
      <c r="D58" s="513">
        <v>26079746</v>
      </c>
      <c r="E58" s="514">
        <f t="shared" ref="E58:E66" si="5">D58-C58</f>
        <v>1072145</v>
      </c>
    </row>
    <row r="59" spans="1:5" s="506" customFormat="1" x14ac:dyDescent="0.2">
      <c r="A59" s="512">
        <v>2</v>
      </c>
      <c r="B59" s="511" t="s">
        <v>604</v>
      </c>
      <c r="C59" s="513">
        <v>9498280</v>
      </c>
      <c r="D59" s="515">
        <v>9474163</v>
      </c>
      <c r="E59" s="514">
        <f t="shared" si="5"/>
        <v>-24117</v>
      </c>
    </row>
    <row r="60" spans="1:5" s="506" customFormat="1" x14ac:dyDescent="0.2">
      <c r="A60" s="512">
        <v>3</v>
      </c>
      <c r="B60" s="511" t="s">
        <v>750</v>
      </c>
      <c r="C60" s="513">
        <f>C61+C62</f>
        <v>6458741</v>
      </c>
      <c r="D60" s="515">
        <f>D61+D62</f>
        <v>6734502</v>
      </c>
      <c r="E60" s="514">
        <f t="shared" si="5"/>
        <v>275761</v>
      </c>
    </row>
    <row r="61" spans="1:5" s="506" customFormat="1" x14ac:dyDescent="0.2">
      <c r="A61" s="512">
        <v>4</v>
      </c>
      <c r="B61" s="511" t="s">
        <v>114</v>
      </c>
      <c r="C61" s="513">
        <v>5743696</v>
      </c>
      <c r="D61" s="515">
        <v>6706228</v>
      </c>
      <c r="E61" s="514">
        <f t="shared" si="5"/>
        <v>962532</v>
      </c>
    </row>
    <row r="62" spans="1:5" s="506" customFormat="1" x14ac:dyDescent="0.2">
      <c r="A62" s="512">
        <v>5</v>
      </c>
      <c r="B62" s="511" t="s">
        <v>717</v>
      </c>
      <c r="C62" s="513">
        <v>715045</v>
      </c>
      <c r="D62" s="515">
        <v>28274</v>
      </c>
      <c r="E62" s="514">
        <f t="shared" si="5"/>
        <v>-686771</v>
      </c>
    </row>
    <row r="63" spans="1:5" s="506" customFormat="1" x14ac:dyDescent="0.2">
      <c r="A63" s="512">
        <v>6</v>
      </c>
      <c r="B63" s="511" t="s">
        <v>418</v>
      </c>
      <c r="C63" s="513">
        <v>170553</v>
      </c>
      <c r="D63" s="515">
        <v>134184</v>
      </c>
      <c r="E63" s="514">
        <f t="shared" si="5"/>
        <v>-36369</v>
      </c>
    </row>
    <row r="64" spans="1:5" s="506" customFormat="1" x14ac:dyDescent="0.2">
      <c r="A64" s="512">
        <v>7</v>
      </c>
      <c r="B64" s="511" t="s">
        <v>732</v>
      </c>
      <c r="C64" s="513">
        <v>155386</v>
      </c>
      <c r="D64" s="515">
        <v>122464</v>
      </c>
      <c r="E64" s="514">
        <f t="shared" si="5"/>
        <v>-32922</v>
      </c>
    </row>
    <row r="65" spans="1:5" s="506" customFormat="1" x14ac:dyDescent="0.2">
      <c r="A65" s="512"/>
      <c r="B65" s="516" t="s">
        <v>765</v>
      </c>
      <c r="C65" s="517">
        <f>SUM(C59+C60+C63)</f>
        <v>16127574</v>
      </c>
      <c r="D65" s="517">
        <f>SUM(D59+D60+D63)</f>
        <v>16342849</v>
      </c>
      <c r="E65" s="517">
        <f t="shared" si="5"/>
        <v>215275</v>
      </c>
    </row>
    <row r="66" spans="1:5" s="506" customFormat="1" x14ac:dyDescent="0.2">
      <c r="A66" s="512"/>
      <c r="B66" s="516" t="s">
        <v>698</v>
      </c>
      <c r="C66" s="517">
        <f>SUM(C58+C65)</f>
        <v>41135175</v>
      </c>
      <c r="D66" s="517">
        <f>SUM(D58+D65)</f>
        <v>42422595</v>
      </c>
      <c r="E66" s="517">
        <f t="shared" si="5"/>
        <v>1287420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623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754</v>
      </c>
      <c r="C69" s="514">
        <f t="shared" ref="C69:D75" si="6">C47+C58</f>
        <v>34004938</v>
      </c>
      <c r="D69" s="514">
        <f t="shared" si="6"/>
        <v>35493561</v>
      </c>
      <c r="E69" s="514">
        <f t="shared" ref="E69:E77" si="7">D69-C69</f>
        <v>1488623</v>
      </c>
    </row>
    <row r="70" spans="1:5" s="506" customFormat="1" x14ac:dyDescent="0.2">
      <c r="A70" s="512">
        <v>2</v>
      </c>
      <c r="B70" s="511" t="s">
        <v>755</v>
      </c>
      <c r="C70" s="514">
        <f t="shared" si="6"/>
        <v>36106801</v>
      </c>
      <c r="D70" s="514">
        <f t="shared" si="6"/>
        <v>35809112</v>
      </c>
      <c r="E70" s="514">
        <f t="shared" si="7"/>
        <v>-297689</v>
      </c>
    </row>
    <row r="71" spans="1:5" s="506" customFormat="1" x14ac:dyDescent="0.2">
      <c r="A71" s="512">
        <v>3</v>
      </c>
      <c r="B71" s="511" t="s">
        <v>756</v>
      </c>
      <c r="C71" s="514">
        <f t="shared" si="6"/>
        <v>12148717</v>
      </c>
      <c r="D71" s="514">
        <f t="shared" si="6"/>
        <v>11016707</v>
      </c>
      <c r="E71" s="514">
        <f t="shared" si="7"/>
        <v>-1132010</v>
      </c>
    </row>
    <row r="72" spans="1:5" s="506" customFormat="1" x14ac:dyDescent="0.2">
      <c r="A72" s="512">
        <v>4</v>
      </c>
      <c r="B72" s="511" t="s">
        <v>757</v>
      </c>
      <c r="C72" s="514">
        <f t="shared" si="6"/>
        <v>10787671</v>
      </c>
      <c r="D72" s="514">
        <f t="shared" si="6"/>
        <v>10869843</v>
      </c>
      <c r="E72" s="514">
        <f t="shared" si="7"/>
        <v>82172</v>
      </c>
    </row>
    <row r="73" spans="1:5" s="506" customFormat="1" x14ac:dyDescent="0.2">
      <c r="A73" s="512">
        <v>5</v>
      </c>
      <c r="B73" s="511" t="s">
        <v>758</v>
      </c>
      <c r="C73" s="514">
        <f t="shared" si="6"/>
        <v>1361046</v>
      </c>
      <c r="D73" s="514">
        <f t="shared" si="6"/>
        <v>146864</v>
      </c>
      <c r="E73" s="514">
        <f t="shared" si="7"/>
        <v>-1214182</v>
      </c>
    </row>
    <row r="74" spans="1:5" s="506" customFormat="1" x14ac:dyDescent="0.2">
      <c r="A74" s="512">
        <v>6</v>
      </c>
      <c r="B74" s="511" t="s">
        <v>759</v>
      </c>
      <c r="C74" s="514">
        <f t="shared" si="6"/>
        <v>227611</v>
      </c>
      <c r="D74" s="514">
        <f t="shared" si="6"/>
        <v>187666</v>
      </c>
      <c r="E74" s="514">
        <f t="shared" si="7"/>
        <v>-39945</v>
      </c>
    </row>
    <row r="75" spans="1:5" s="506" customFormat="1" x14ac:dyDescent="0.2">
      <c r="A75" s="512">
        <v>7</v>
      </c>
      <c r="B75" s="511" t="s">
        <v>760</v>
      </c>
      <c r="C75" s="514">
        <f t="shared" si="6"/>
        <v>302544</v>
      </c>
      <c r="D75" s="514">
        <f t="shared" si="6"/>
        <v>169214</v>
      </c>
      <c r="E75" s="514">
        <f t="shared" si="7"/>
        <v>-133330</v>
      </c>
    </row>
    <row r="76" spans="1:5" s="506" customFormat="1" x14ac:dyDescent="0.2">
      <c r="A76" s="512"/>
      <c r="B76" s="516" t="s">
        <v>766</v>
      </c>
      <c r="C76" s="517">
        <f>SUM(C70+C71+C74)</f>
        <v>48483129</v>
      </c>
      <c r="D76" s="517">
        <f>SUM(D70+D71+D74)</f>
        <v>47013485</v>
      </c>
      <c r="E76" s="517">
        <f t="shared" si="7"/>
        <v>-1469644</v>
      </c>
    </row>
    <row r="77" spans="1:5" s="506" customFormat="1" x14ac:dyDescent="0.2">
      <c r="A77" s="512"/>
      <c r="B77" s="516" t="s">
        <v>700</v>
      </c>
      <c r="C77" s="517">
        <f>SUM(C69+C76)</f>
        <v>82488067</v>
      </c>
      <c r="D77" s="517">
        <f>SUM(D69+D76)</f>
        <v>82507046</v>
      </c>
      <c r="E77" s="517">
        <f t="shared" si="7"/>
        <v>18979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767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768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625</v>
      </c>
      <c r="C83" s="523">
        <f t="shared" ref="C83:D89" si="8">IF(C$44=0,0,C14/C$44)</f>
        <v>9.1985646774227117E-2</v>
      </c>
      <c r="D83" s="523">
        <f t="shared" si="8"/>
        <v>8.3723294035039322E-2</v>
      </c>
      <c r="E83" s="523">
        <f t="shared" ref="E83:E91" si="9">D83-C83</f>
        <v>-8.2623527391877949E-3</v>
      </c>
    </row>
    <row r="84" spans="1:5" s="506" customFormat="1" x14ac:dyDescent="0.2">
      <c r="A84" s="512">
        <v>2</v>
      </c>
      <c r="B84" s="511" t="s">
        <v>604</v>
      </c>
      <c r="C84" s="523">
        <f t="shared" si="8"/>
        <v>0.22377109532160674</v>
      </c>
      <c r="D84" s="523">
        <f t="shared" si="8"/>
        <v>0.2198501202145367</v>
      </c>
      <c r="E84" s="523">
        <f t="shared" si="9"/>
        <v>-3.9209751070700405E-3</v>
      </c>
    </row>
    <row r="85" spans="1:5" s="506" customFormat="1" x14ac:dyDescent="0.2">
      <c r="A85" s="512">
        <v>3</v>
      </c>
      <c r="B85" s="511" t="s">
        <v>750</v>
      </c>
      <c r="C85" s="523">
        <f t="shared" si="8"/>
        <v>6.2415033373314312E-2</v>
      </c>
      <c r="D85" s="523">
        <f t="shared" si="8"/>
        <v>5.8067251177851685E-2</v>
      </c>
      <c r="E85" s="523">
        <f t="shared" si="9"/>
        <v>-4.3477821954626267E-3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5.1744785212761414E-2</v>
      </c>
      <c r="D86" s="523">
        <f t="shared" si="8"/>
        <v>5.6494440038493729E-2</v>
      </c>
      <c r="E86" s="523">
        <f t="shared" si="9"/>
        <v>4.7496548257323148E-3</v>
      </c>
    </row>
    <row r="87" spans="1:5" s="506" customFormat="1" x14ac:dyDescent="0.2">
      <c r="A87" s="512">
        <v>5</v>
      </c>
      <c r="B87" s="511" t="s">
        <v>717</v>
      </c>
      <c r="C87" s="523">
        <f t="shared" si="8"/>
        <v>1.0670248160552899E-2</v>
      </c>
      <c r="D87" s="523">
        <f t="shared" si="8"/>
        <v>1.5728111393579572E-3</v>
      </c>
      <c r="E87" s="523">
        <f t="shared" si="9"/>
        <v>-9.0974370211949415E-3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7.0253205007307759E-4</v>
      </c>
      <c r="D88" s="523">
        <f t="shared" si="8"/>
        <v>5.8917222809101819E-4</v>
      </c>
      <c r="E88" s="523">
        <f t="shared" si="9"/>
        <v>-1.133598219820594E-4</v>
      </c>
    </row>
    <row r="89" spans="1:5" s="506" customFormat="1" x14ac:dyDescent="0.2">
      <c r="A89" s="512">
        <v>7</v>
      </c>
      <c r="B89" s="511" t="s">
        <v>732</v>
      </c>
      <c r="C89" s="523">
        <f t="shared" si="8"/>
        <v>8.0843156425252135E-3</v>
      </c>
      <c r="D89" s="523">
        <f t="shared" si="8"/>
        <v>4.7755445702839698E-3</v>
      </c>
      <c r="E89" s="523">
        <f t="shared" si="9"/>
        <v>-3.3087710722412437E-3</v>
      </c>
    </row>
    <row r="90" spans="1:5" s="506" customFormat="1" x14ac:dyDescent="0.2">
      <c r="A90" s="512"/>
      <c r="B90" s="516" t="s">
        <v>769</v>
      </c>
      <c r="C90" s="524">
        <f>SUM(C84+C85+C88)</f>
        <v>0.28688866074499414</v>
      </c>
      <c r="D90" s="524">
        <f>SUM(D84+D85+D88)</f>
        <v>0.27850654362047939</v>
      </c>
      <c r="E90" s="525">
        <f t="shared" si="9"/>
        <v>-8.3821171245147541E-3</v>
      </c>
    </row>
    <row r="91" spans="1:5" s="506" customFormat="1" x14ac:dyDescent="0.2">
      <c r="A91" s="512"/>
      <c r="B91" s="516" t="s">
        <v>770</v>
      </c>
      <c r="C91" s="524">
        <f>SUM(C83+C90)</f>
        <v>0.37887430751922124</v>
      </c>
      <c r="D91" s="524">
        <f>SUM(D83+D90)</f>
        <v>0.36222983765551869</v>
      </c>
      <c r="E91" s="525">
        <f t="shared" si="9"/>
        <v>-1.6644469863702549E-2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771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625</v>
      </c>
      <c r="C95" s="523">
        <f t="shared" ref="C95:D101" si="10">IF(C$44=0,0,C25/C$44)</f>
        <v>0.30263716487143416</v>
      </c>
      <c r="D95" s="523">
        <f t="shared" si="10"/>
        <v>0.30212007159582838</v>
      </c>
      <c r="E95" s="523">
        <f t="shared" ref="E95:E103" si="11">D95-C95</f>
        <v>-5.1709327560578444E-4</v>
      </c>
    </row>
    <row r="96" spans="1:5" s="506" customFormat="1" x14ac:dyDescent="0.2">
      <c r="A96" s="512">
        <v>2</v>
      </c>
      <c r="B96" s="511" t="s">
        <v>604</v>
      </c>
      <c r="C96" s="523">
        <f t="shared" si="10"/>
        <v>0.18409002693008591</v>
      </c>
      <c r="D96" s="523">
        <f t="shared" si="10"/>
        <v>0.19272153047054508</v>
      </c>
      <c r="E96" s="523">
        <f t="shared" si="11"/>
        <v>8.6315035404591622E-3</v>
      </c>
    </row>
    <row r="97" spans="1:5" s="506" customFormat="1" x14ac:dyDescent="0.2">
      <c r="A97" s="512">
        <v>3</v>
      </c>
      <c r="B97" s="511" t="s">
        <v>750</v>
      </c>
      <c r="C97" s="523">
        <f t="shared" si="10"/>
        <v>0.1319587408175617</v>
      </c>
      <c r="D97" s="523">
        <f t="shared" si="10"/>
        <v>0.14073410676053955</v>
      </c>
      <c r="E97" s="523">
        <f t="shared" si="11"/>
        <v>8.7753659429778419E-3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0.10958899328095584</v>
      </c>
      <c r="D98" s="523">
        <f t="shared" si="10"/>
        <v>0.13982898502568861</v>
      </c>
      <c r="E98" s="523">
        <f t="shared" si="11"/>
        <v>3.0239991744732769E-2</v>
      </c>
    </row>
    <row r="99" spans="1:5" s="506" customFormat="1" x14ac:dyDescent="0.2">
      <c r="A99" s="512">
        <v>5</v>
      </c>
      <c r="B99" s="511" t="s">
        <v>717</v>
      </c>
      <c r="C99" s="523">
        <f t="shared" si="10"/>
        <v>2.2369747536605859E-2</v>
      </c>
      <c r="D99" s="523">
        <f t="shared" si="10"/>
        <v>9.0512173485093081E-4</v>
      </c>
      <c r="E99" s="523">
        <f t="shared" si="11"/>
        <v>-2.1464625801754927E-2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2.4397598616969812E-3</v>
      </c>
      <c r="D100" s="523">
        <f t="shared" si="10"/>
        <v>2.1944535175682494E-3</v>
      </c>
      <c r="E100" s="523">
        <f t="shared" si="11"/>
        <v>-2.4530634412873184E-4</v>
      </c>
    </row>
    <row r="101" spans="1:5" s="506" customFormat="1" x14ac:dyDescent="0.2">
      <c r="A101" s="512">
        <v>7</v>
      </c>
      <c r="B101" s="511" t="s">
        <v>732</v>
      </c>
      <c r="C101" s="523">
        <f t="shared" si="10"/>
        <v>1.6965339545505383E-2</v>
      </c>
      <c r="D101" s="523">
        <f t="shared" si="10"/>
        <v>1.8760795328090076E-2</v>
      </c>
      <c r="E101" s="523">
        <f t="shared" si="11"/>
        <v>1.7954557825846928E-3</v>
      </c>
    </row>
    <row r="102" spans="1:5" s="506" customFormat="1" x14ac:dyDescent="0.2">
      <c r="A102" s="512"/>
      <c r="B102" s="516" t="s">
        <v>772</v>
      </c>
      <c r="C102" s="524">
        <f>SUM(C96+C97+C100)</f>
        <v>0.3184885276093446</v>
      </c>
      <c r="D102" s="524">
        <f>SUM(D96+D97+D100)</f>
        <v>0.33565009074865287</v>
      </c>
      <c r="E102" s="525">
        <f t="shared" si="11"/>
        <v>1.7161563139308278E-2</v>
      </c>
    </row>
    <row r="103" spans="1:5" s="506" customFormat="1" x14ac:dyDescent="0.2">
      <c r="A103" s="512"/>
      <c r="B103" s="516" t="s">
        <v>773</v>
      </c>
      <c r="C103" s="524">
        <f>SUM(C95+C102)</f>
        <v>0.62112569248077876</v>
      </c>
      <c r="D103" s="524">
        <f>SUM(D95+D102)</f>
        <v>0.63777016234448125</v>
      </c>
      <c r="E103" s="525">
        <f t="shared" si="11"/>
        <v>1.6644469863702493E-2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774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775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625</v>
      </c>
      <c r="C109" s="523">
        <f t="shared" ref="C109:D115" si="12">IF(C$77=0,0,C47/C$77)</f>
        <v>0.10907440708969456</v>
      </c>
      <c r="D109" s="523">
        <f t="shared" si="12"/>
        <v>0.11409710390067777</v>
      </c>
      <c r="E109" s="523">
        <f t="shared" ref="E109:E117" si="13">D109-C109</f>
        <v>5.0226968109832182E-3</v>
      </c>
    </row>
    <row r="110" spans="1:5" s="506" customFormat="1" x14ac:dyDescent="0.2">
      <c r="A110" s="512">
        <v>2</v>
      </c>
      <c r="B110" s="511" t="s">
        <v>604</v>
      </c>
      <c r="C110" s="523">
        <f t="shared" si="12"/>
        <v>0.32257418518487041</v>
      </c>
      <c r="D110" s="523">
        <f t="shared" si="12"/>
        <v>0.31918424276152124</v>
      </c>
      <c r="E110" s="523">
        <f t="shared" si="13"/>
        <v>-3.3899424233491682E-3</v>
      </c>
    </row>
    <row r="111" spans="1:5" s="506" customFormat="1" x14ac:dyDescent="0.2">
      <c r="A111" s="512">
        <v>3</v>
      </c>
      <c r="B111" s="511" t="s">
        <v>750</v>
      </c>
      <c r="C111" s="523">
        <f t="shared" si="12"/>
        <v>6.8979383405844627E-2</v>
      </c>
      <c r="D111" s="523">
        <f t="shared" si="12"/>
        <v>5.1901082484518961E-2</v>
      </c>
      <c r="E111" s="523">
        <f t="shared" si="13"/>
        <v>-1.7078300921325666E-2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6.1147935494718288E-2</v>
      </c>
      <c r="D112" s="523">
        <f t="shared" si="12"/>
        <v>5.0463750695910262E-2</v>
      </c>
      <c r="E112" s="523">
        <f t="shared" si="13"/>
        <v>-1.0684184798808026E-2</v>
      </c>
    </row>
    <row r="113" spans="1:5" s="506" customFormat="1" x14ac:dyDescent="0.2">
      <c r="A113" s="512">
        <v>5</v>
      </c>
      <c r="B113" s="511" t="s">
        <v>717</v>
      </c>
      <c r="C113" s="523">
        <f t="shared" si="12"/>
        <v>7.8314479111263446E-3</v>
      </c>
      <c r="D113" s="523">
        <f t="shared" si="12"/>
        <v>1.4373317886086966E-3</v>
      </c>
      <c r="E113" s="523">
        <f t="shared" si="13"/>
        <v>-6.394116122517648E-3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6.9171217213757723E-4</v>
      </c>
      <c r="D114" s="523">
        <f t="shared" si="12"/>
        <v>6.4821130549262424E-4</v>
      </c>
      <c r="E114" s="523">
        <f t="shared" si="13"/>
        <v>-4.3500866644952986E-5</v>
      </c>
    </row>
    <row r="115" spans="1:5" s="506" customFormat="1" x14ac:dyDescent="0.2">
      <c r="A115" s="512">
        <v>7</v>
      </c>
      <c r="B115" s="511" t="s">
        <v>732</v>
      </c>
      <c r="C115" s="523">
        <f t="shared" si="12"/>
        <v>1.7839913741705209E-3</v>
      </c>
      <c r="D115" s="523">
        <f t="shared" si="12"/>
        <v>5.6661827403201416E-4</v>
      </c>
      <c r="E115" s="523">
        <f t="shared" si="13"/>
        <v>-1.2173731001385068E-3</v>
      </c>
    </row>
    <row r="116" spans="1:5" s="506" customFormat="1" x14ac:dyDescent="0.2">
      <c r="A116" s="512"/>
      <c r="B116" s="516" t="s">
        <v>769</v>
      </c>
      <c r="C116" s="524">
        <f>SUM(C110+C111+C114)</f>
        <v>0.39224528076285264</v>
      </c>
      <c r="D116" s="524">
        <f>SUM(D110+D111+D114)</f>
        <v>0.37173353655153285</v>
      </c>
      <c r="E116" s="525">
        <f t="shared" si="13"/>
        <v>-2.0511744211319793E-2</v>
      </c>
    </row>
    <row r="117" spans="1:5" s="506" customFormat="1" x14ac:dyDescent="0.2">
      <c r="A117" s="512"/>
      <c r="B117" s="516" t="s">
        <v>770</v>
      </c>
      <c r="C117" s="524">
        <f>SUM(C109+C116)</f>
        <v>0.50131968785254721</v>
      </c>
      <c r="D117" s="524">
        <f>SUM(D109+D116)</f>
        <v>0.48583064045221064</v>
      </c>
      <c r="E117" s="525">
        <f t="shared" si="13"/>
        <v>-1.5489047400336575E-2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776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625</v>
      </c>
      <c r="C121" s="523">
        <f t="shared" ref="C121:D127" si="14">IF(C$77=0,0,C58/C$77)</f>
        <v>0.30316628707034682</v>
      </c>
      <c r="D121" s="523">
        <f t="shared" si="14"/>
        <v>0.31609113723450966</v>
      </c>
      <c r="E121" s="523">
        <f t="shared" ref="E121:E129" si="15">D121-C121</f>
        <v>1.2924850164162838E-2</v>
      </c>
    </row>
    <row r="122" spans="1:5" s="506" customFormat="1" x14ac:dyDescent="0.2">
      <c r="A122" s="512">
        <v>2</v>
      </c>
      <c r="B122" s="511" t="s">
        <v>604</v>
      </c>
      <c r="C122" s="523">
        <f t="shared" si="14"/>
        <v>0.11514732185444472</v>
      </c>
      <c r="D122" s="523">
        <f t="shared" si="14"/>
        <v>0.11482853234134695</v>
      </c>
      <c r="E122" s="523">
        <f t="shared" si="15"/>
        <v>-3.1878951309777248E-4</v>
      </c>
    </row>
    <row r="123" spans="1:5" s="506" customFormat="1" x14ac:dyDescent="0.2">
      <c r="A123" s="512">
        <v>3</v>
      </c>
      <c r="B123" s="511" t="s">
        <v>750</v>
      </c>
      <c r="C123" s="523">
        <f t="shared" si="14"/>
        <v>7.8299095067896299E-2</v>
      </c>
      <c r="D123" s="523">
        <f t="shared" si="14"/>
        <v>8.1623356143425613E-2</v>
      </c>
      <c r="E123" s="523">
        <f t="shared" si="15"/>
        <v>3.3242610755293139E-3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6.9630629118754839E-2</v>
      </c>
      <c r="D124" s="523">
        <f t="shared" si="14"/>
        <v>8.1280670259361851E-2</v>
      </c>
      <c r="E124" s="523">
        <f t="shared" si="15"/>
        <v>1.1650041140607012E-2</v>
      </c>
    </row>
    <row r="125" spans="1:5" s="506" customFormat="1" x14ac:dyDescent="0.2">
      <c r="A125" s="512">
        <v>5</v>
      </c>
      <c r="B125" s="511" t="s">
        <v>717</v>
      </c>
      <c r="C125" s="523">
        <f t="shared" si="14"/>
        <v>8.6684659491414687E-3</v>
      </c>
      <c r="D125" s="523">
        <f t="shared" si="14"/>
        <v>3.4268588406376833E-4</v>
      </c>
      <c r="E125" s="523">
        <f t="shared" si="15"/>
        <v>-8.3257800650776998E-3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2.0676081547649793E-3</v>
      </c>
      <c r="D126" s="523">
        <f t="shared" si="14"/>
        <v>1.626333828507204E-3</v>
      </c>
      <c r="E126" s="523">
        <f t="shared" si="15"/>
        <v>-4.4127432625777532E-4</v>
      </c>
    </row>
    <row r="127" spans="1:5" s="506" customFormat="1" x14ac:dyDescent="0.2">
      <c r="A127" s="512">
        <v>7</v>
      </c>
      <c r="B127" s="511" t="s">
        <v>732</v>
      </c>
      <c r="C127" s="523">
        <f t="shared" si="14"/>
        <v>1.8837391352618312E-3</v>
      </c>
      <c r="D127" s="523">
        <f t="shared" si="14"/>
        <v>1.4842853542471996E-3</v>
      </c>
      <c r="E127" s="523">
        <f t="shared" si="15"/>
        <v>-3.9945378101463157E-4</v>
      </c>
    </row>
    <row r="128" spans="1:5" s="506" customFormat="1" x14ac:dyDescent="0.2">
      <c r="A128" s="512"/>
      <c r="B128" s="516" t="s">
        <v>772</v>
      </c>
      <c r="C128" s="524">
        <f>SUM(C122+C123+C126)</f>
        <v>0.195514025077106</v>
      </c>
      <c r="D128" s="524">
        <f>SUM(D122+D123+D126)</f>
        <v>0.19807822231327979</v>
      </c>
      <c r="E128" s="525">
        <f t="shared" si="15"/>
        <v>2.564197236173793E-3</v>
      </c>
    </row>
    <row r="129" spans="1:5" s="506" customFormat="1" x14ac:dyDescent="0.2">
      <c r="A129" s="512"/>
      <c r="B129" s="516" t="s">
        <v>773</v>
      </c>
      <c r="C129" s="524">
        <f>SUM(C121+C128)</f>
        <v>0.49868031214745279</v>
      </c>
      <c r="D129" s="524">
        <f>SUM(D121+D128)</f>
        <v>0.51416935954778942</v>
      </c>
      <c r="E129" s="525">
        <f t="shared" si="15"/>
        <v>1.5489047400336631E-2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777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778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779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625</v>
      </c>
      <c r="C137" s="530">
        <v>1381</v>
      </c>
      <c r="D137" s="530">
        <v>1256</v>
      </c>
      <c r="E137" s="531">
        <f t="shared" ref="E137:E145" si="16">D137-C137</f>
        <v>-125</v>
      </c>
    </row>
    <row r="138" spans="1:5" s="506" customFormat="1" x14ac:dyDescent="0.2">
      <c r="A138" s="512">
        <v>2</v>
      </c>
      <c r="B138" s="511" t="s">
        <v>604</v>
      </c>
      <c r="C138" s="530">
        <v>2517</v>
      </c>
      <c r="D138" s="530">
        <v>2372</v>
      </c>
      <c r="E138" s="531">
        <f t="shared" si="16"/>
        <v>-145</v>
      </c>
    </row>
    <row r="139" spans="1:5" s="506" customFormat="1" x14ac:dyDescent="0.2">
      <c r="A139" s="512">
        <v>3</v>
      </c>
      <c r="B139" s="511" t="s">
        <v>750</v>
      </c>
      <c r="C139" s="530">
        <f>C140+C141</f>
        <v>1188</v>
      </c>
      <c r="D139" s="530">
        <f>D140+D141</f>
        <v>1055</v>
      </c>
      <c r="E139" s="531">
        <f t="shared" si="16"/>
        <v>-133</v>
      </c>
    </row>
    <row r="140" spans="1:5" s="506" customFormat="1" x14ac:dyDescent="0.2">
      <c r="A140" s="512">
        <v>4</v>
      </c>
      <c r="B140" s="511" t="s">
        <v>114</v>
      </c>
      <c r="C140" s="530">
        <v>1061</v>
      </c>
      <c r="D140" s="530">
        <v>1035</v>
      </c>
      <c r="E140" s="531">
        <f t="shared" si="16"/>
        <v>-26</v>
      </c>
    </row>
    <row r="141" spans="1:5" s="506" customFormat="1" x14ac:dyDescent="0.2">
      <c r="A141" s="512">
        <v>5</v>
      </c>
      <c r="B141" s="511" t="s">
        <v>717</v>
      </c>
      <c r="C141" s="530">
        <v>127</v>
      </c>
      <c r="D141" s="530">
        <v>20</v>
      </c>
      <c r="E141" s="531">
        <f t="shared" si="16"/>
        <v>-107</v>
      </c>
    </row>
    <row r="142" spans="1:5" s="506" customFormat="1" x14ac:dyDescent="0.2">
      <c r="A142" s="512">
        <v>6</v>
      </c>
      <c r="B142" s="511" t="s">
        <v>418</v>
      </c>
      <c r="C142" s="530">
        <v>14</v>
      </c>
      <c r="D142" s="530">
        <v>18</v>
      </c>
      <c r="E142" s="531">
        <f t="shared" si="16"/>
        <v>4</v>
      </c>
    </row>
    <row r="143" spans="1:5" s="506" customFormat="1" x14ac:dyDescent="0.2">
      <c r="A143" s="512">
        <v>7</v>
      </c>
      <c r="B143" s="511" t="s">
        <v>732</v>
      </c>
      <c r="C143" s="530">
        <v>106</v>
      </c>
      <c r="D143" s="530">
        <v>66</v>
      </c>
      <c r="E143" s="531">
        <f t="shared" si="16"/>
        <v>-40</v>
      </c>
    </row>
    <row r="144" spans="1:5" s="506" customFormat="1" x14ac:dyDescent="0.2">
      <c r="A144" s="512"/>
      <c r="B144" s="516" t="s">
        <v>780</v>
      </c>
      <c r="C144" s="532">
        <f>SUM(C138+C139+C142)</f>
        <v>3719</v>
      </c>
      <c r="D144" s="532">
        <f>SUM(D138+D139+D142)</f>
        <v>3445</v>
      </c>
      <c r="E144" s="533">
        <f t="shared" si="16"/>
        <v>-274</v>
      </c>
    </row>
    <row r="145" spans="1:5" s="506" customFormat="1" x14ac:dyDescent="0.2">
      <c r="A145" s="512"/>
      <c r="B145" s="516" t="s">
        <v>694</v>
      </c>
      <c r="C145" s="532">
        <f>SUM(C137+C144)</f>
        <v>5100</v>
      </c>
      <c r="D145" s="532">
        <f>SUM(D137+D144)</f>
        <v>4701</v>
      </c>
      <c r="E145" s="533">
        <f t="shared" si="16"/>
        <v>-399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625</v>
      </c>
      <c r="C149" s="534">
        <v>4491</v>
      </c>
      <c r="D149" s="534">
        <v>3966</v>
      </c>
      <c r="E149" s="531">
        <f t="shared" ref="E149:E157" si="17">D149-C149</f>
        <v>-525</v>
      </c>
    </row>
    <row r="150" spans="1:5" s="506" customFormat="1" x14ac:dyDescent="0.2">
      <c r="A150" s="512">
        <v>2</v>
      </c>
      <c r="B150" s="511" t="s">
        <v>604</v>
      </c>
      <c r="C150" s="534">
        <v>12340</v>
      </c>
      <c r="D150" s="534">
        <v>12400</v>
      </c>
      <c r="E150" s="531">
        <f t="shared" si="17"/>
        <v>60</v>
      </c>
    </row>
    <row r="151" spans="1:5" s="506" customFormat="1" x14ac:dyDescent="0.2">
      <c r="A151" s="512">
        <v>3</v>
      </c>
      <c r="B151" s="511" t="s">
        <v>750</v>
      </c>
      <c r="C151" s="534">
        <f>C152+C153</f>
        <v>3981</v>
      </c>
      <c r="D151" s="534">
        <f>D152+D153</f>
        <v>3595</v>
      </c>
      <c r="E151" s="531">
        <f t="shared" si="17"/>
        <v>-386</v>
      </c>
    </row>
    <row r="152" spans="1:5" s="506" customFormat="1" x14ac:dyDescent="0.2">
      <c r="A152" s="512">
        <v>4</v>
      </c>
      <c r="B152" s="511" t="s">
        <v>114</v>
      </c>
      <c r="C152" s="534">
        <v>3359</v>
      </c>
      <c r="D152" s="534">
        <v>3525</v>
      </c>
      <c r="E152" s="531">
        <f t="shared" si="17"/>
        <v>166</v>
      </c>
    </row>
    <row r="153" spans="1:5" s="506" customFormat="1" x14ac:dyDescent="0.2">
      <c r="A153" s="512">
        <v>5</v>
      </c>
      <c r="B153" s="511" t="s">
        <v>717</v>
      </c>
      <c r="C153" s="535">
        <v>622</v>
      </c>
      <c r="D153" s="534">
        <v>70</v>
      </c>
      <c r="E153" s="531">
        <f t="shared" si="17"/>
        <v>-552</v>
      </c>
    </row>
    <row r="154" spans="1:5" s="506" customFormat="1" x14ac:dyDescent="0.2">
      <c r="A154" s="512">
        <v>6</v>
      </c>
      <c r="B154" s="511" t="s">
        <v>418</v>
      </c>
      <c r="C154" s="534">
        <v>38</v>
      </c>
      <c r="D154" s="534">
        <v>35</v>
      </c>
      <c r="E154" s="531">
        <f t="shared" si="17"/>
        <v>-3</v>
      </c>
    </row>
    <row r="155" spans="1:5" s="506" customFormat="1" x14ac:dyDescent="0.2">
      <c r="A155" s="512">
        <v>7</v>
      </c>
      <c r="B155" s="511" t="s">
        <v>732</v>
      </c>
      <c r="C155" s="534">
        <v>398</v>
      </c>
      <c r="D155" s="534">
        <v>220</v>
      </c>
      <c r="E155" s="531">
        <f t="shared" si="17"/>
        <v>-178</v>
      </c>
    </row>
    <row r="156" spans="1:5" s="506" customFormat="1" x14ac:dyDescent="0.2">
      <c r="A156" s="512"/>
      <c r="B156" s="516" t="s">
        <v>781</v>
      </c>
      <c r="C156" s="532">
        <f>SUM(C150+C151+C154)</f>
        <v>16359</v>
      </c>
      <c r="D156" s="532">
        <f>SUM(D150+D151+D154)</f>
        <v>16030</v>
      </c>
      <c r="E156" s="533">
        <f t="shared" si="17"/>
        <v>-329</v>
      </c>
    </row>
    <row r="157" spans="1:5" s="506" customFormat="1" x14ac:dyDescent="0.2">
      <c r="A157" s="512"/>
      <c r="B157" s="516" t="s">
        <v>782</v>
      </c>
      <c r="C157" s="532">
        <f>SUM(C149+C156)</f>
        <v>20850</v>
      </c>
      <c r="D157" s="532">
        <f>SUM(D149+D156)</f>
        <v>19996</v>
      </c>
      <c r="E157" s="533">
        <f t="shared" si="17"/>
        <v>-854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783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625</v>
      </c>
      <c r="C161" s="536">
        <f t="shared" ref="C161:D169" si="18">IF(C137=0,0,C149/C137)</f>
        <v>3.2519913106444607</v>
      </c>
      <c r="D161" s="536">
        <f t="shared" si="18"/>
        <v>3.1576433121019107</v>
      </c>
      <c r="E161" s="537">
        <f t="shared" ref="E161:E169" si="19">D161-C161</f>
        <v>-9.4347998542549938E-2</v>
      </c>
    </row>
    <row r="162" spans="1:5" s="506" customFormat="1" x14ac:dyDescent="0.2">
      <c r="A162" s="512">
        <v>2</v>
      </c>
      <c r="B162" s="511" t="s">
        <v>604</v>
      </c>
      <c r="C162" s="536">
        <f t="shared" si="18"/>
        <v>4.9026618990862136</v>
      </c>
      <c r="D162" s="536">
        <f t="shared" si="18"/>
        <v>5.2276559865092747</v>
      </c>
      <c r="E162" s="537">
        <f t="shared" si="19"/>
        <v>0.32499408742306102</v>
      </c>
    </row>
    <row r="163" spans="1:5" s="506" customFormat="1" x14ac:dyDescent="0.2">
      <c r="A163" s="512">
        <v>3</v>
      </c>
      <c r="B163" s="511" t="s">
        <v>750</v>
      </c>
      <c r="C163" s="536">
        <f t="shared" si="18"/>
        <v>3.3510101010101012</v>
      </c>
      <c r="D163" s="536">
        <f t="shared" si="18"/>
        <v>3.4075829383886256</v>
      </c>
      <c r="E163" s="537">
        <f t="shared" si="19"/>
        <v>5.6572837378524365E-2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3.1658812441093307</v>
      </c>
      <c r="D164" s="536">
        <f t="shared" si="18"/>
        <v>3.4057971014492754</v>
      </c>
      <c r="E164" s="537">
        <f t="shared" si="19"/>
        <v>0.23991585733994469</v>
      </c>
    </row>
    <row r="165" spans="1:5" s="506" customFormat="1" x14ac:dyDescent="0.2">
      <c r="A165" s="512">
        <v>5</v>
      </c>
      <c r="B165" s="511" t="s">
        <v>717</v>
      </c>
      <c r="C165" s="536">
        <f t="shared" si="18"/>
        <v>4.8976377952755907</v>
      </c>
      <c r="D165" s="536">
        <f t="shared" si="18"/>
        <v>3.5</v>
      </c>
      <c r="E165" s="537">
        <f t="shared" si="19"/>
        <v>-1.3976377952755907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2.7142857142857144</v>
      </c>
      <c r="D166" s="536">
        <f t="shared" si="18"/>
        <v>1.9444444444444444</v>
      </c>
      <c r="E166" s="537">
        <f t="shared" si="19"/>
        <v>-0.76984126984126999</v>
      </c>
    </row>
    <row r="167" spans="1:5" s="506" customFormat="1" x14ac:dyDescent="0.2">
      <c r="A167" s="512">
        <v>7</v>
      </c>
      <c r="B167" s="511" t="s">
        <v>732</v>
      </c>
      <c r="C167" s="536">
        <f t="shared" si="18"/>
        <v>3.7547169811320753</v>
      </c>
      <c r="D167" s="536">
        <f t="shared" si="18"/>
        <v>3.3333333333333335</v>
      </c>
      <c r="E167" s="537">
        <f t="shared" si="19"/>
        <v>-0.42138364779874182</v>
      </c>
    </row>
    <row r="168" spans="1:5" s="506" customFormat="1" x14ac:dyDescent="0.2">
      <c r="A168" s="512"/>
      <c r="B168" s="516" t="s">
        <v>784</v>
      </c>
      <c r="C168" s="538">
        <f t="shared" si="18"/>
        <v>4.3987631083624628</v>
      </c>
      <c r="D168" s="538">
        <f t="shared" si="18"/>
        <v>4.6531204644412192</v>
      </c>
      <c r="E168" s="539">
        <f t="shared" si="19"/>
        <v>0.25435735607875642</v>
      </c>
    </row>
    <row r="169" spans="1:5" s="506" customFormat="1" x14ac:dyDescent="0.2">
      <c r="A169" s="512"/>
      <c r="B169" s="516" t="s">
        <v>718</v>
      </c>
      <c r="C169" s="538">
        <f t="shared" si="18"/>
        <v>4.0882352941176467</v>
      </c>
      <c r="D169" s="538">
        <f t="shared" si="18"/>
        <v>4.2535630716868749</v>
      </c>
      <c r="E169" s="539">
        <f t="shared" si="19"/>
        <v>0.16532777756922812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785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625</v>
      </c>
      <c r="C173" s="541">
        <f t="shared" ref="C173:D181" si="20">IF(C137=0,0,C203/C137)</f>
        <v>0.92630000000000001</v>
      </c>
      <c r="D173" s="541">
        <f t="shared" si="20"/>
        <v>0.96199999999999997</v>
      </c>
      <c r="E173" s="542">
        <f t="shared" ref="E173:E181" si="21">D173-C173</f>
        <v>3.5699999999999954E-2</v>
      </c>
    </row>
    <row r="174" spans="1:5" s="506" customFormat="1" x14ac:dyDescent="0.2">
      <c r="A174" s="512">
        <v>2</v>
      </c>
      <c r="B174" s="511" t="s">
        <v>604</v>
      </c>
      <c r="C174" s="541">
        <f t="shared" si="20"/>
        <v>1.1798999999999999</v>
      </c>
      <c r="D174" s="541">
        <f t="shared" si="20"/>
        <v>1.2727999999999999</v>
      </c>
      <c r="E174" s="542">
        <f t="shared" si="21"/>
        <v>9.2899999999999983E-2</v>
      </c>
    </row>
    <row r="175" spans="1:5" s="506" customFormat="1" x14ac:dyDescent="0.2">
      <c r="A175" s="512">
        <v>0</v>
      </c>
      <c r="B175" s="511" t="s">
        <v>750</v>
      </c>
      <c r="C175" s="541">
        <f t="shared" si="20"/>
        <v>0.86209006734006732</v>
      </c>
      <c r="D175" s="541">
        <f t="shared" si="20"/>
        <v>0.89272028436018969</v>
      </c>
      <c r="E175" s="542">
        <f t="shared" si="21"/>
        <v>3.0630217020122363E-2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0.81640000000000001</v>
      </c>
      <c r="D176" s="541">
        <f t="shared" si="20"/>
        <v>0.89670000000000005</v>
      </c>
      <c r="E176" s="542">
        <f t="shared" si="21"/>
        <v>8.0300000000000038E-2</v>
      </c>
    </row>
    <row r="177" spans="1:5" s="506" customFormat="1" x14ac:dyDescent="0.2">
      <c r="A177" s="512">
        <v>5</v>
      </c>
      <c r="B177" s="511" t="s">
        <v>717</v>
      </c>
      <c r="C177" s="541">
        <f t="shared" si="20"/>
        <v>1.2438</v>
      </c>
      <c r="D177" s="541">
        <f t="shared" si="20"/>
        <v>0.68676999999999999</v>
      </c>
      <c r="E177" s="542">
        <f t="shared" si="21"/>
        <v>-0.55703000000000003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0.99129999999999996</v>
      </c>
      <c r="D178" s="541">
        <f t="shared" si="20"/>
        <v>0.58850000000000002</v>
      </c>
      <c r="E178" s="542">
        <f t="shared" si="21"/>
        <v>-0.40279999999999994</v>
      </c>
    </row>
    <row r="179" spans="1:5" s="506" customFormat="1" x14ac:dyDescent="0.2">
      <c r="A179" s="512">
        <v>7</v>
      </c>
      <c r="B179" s="511" t="s">
        <v>732</v>
      </c>
      <c r="C179" s="541">
        <f t="shared" si="20"/>
        <v>0.72699999999999998</v>
      </c>
      <c r="D179" s="541">
        <f t="shared" si="20"/>
        <v>1.0567</v>
      </c>
      <c r="E179" s="542">
        <f t="shared" si="21"/>
        <v>0.32969999999999999</v>
      </c>
    </row>
    <row r="180" spans="1:5" s="506" customFormat="1" x14ac:dyDescent="0.2">
      <c r="A180" s="512"/>
      <c r="B180" s="516" t="s">
        <v>786</v>
      </c>
      <c r="C180" s="543">
        <f t="shared" si="20"/>
        <v>1.077668593707986</v>
      </c>
      <c r="D180" s="543">
        <f t="shared" si="20"/>
        <v>1.1528285921625543</v>
      </c>
      <c r="E180" s="544">
        <f t="shared" si="21"/>
        <v>7.5159998454568333E-2</v>
      </c>
    </row>
    <row r="181" spans="1:5" s="506" customFormat="1" x14ac:dyDescent="0.2">
      <c r="A181" s="512"/>
      <c r="B181" s="516" t="s">
        <v>695</v>
      </c>
      <c r="C181" s="543">
        <f t="shared" si="20"/>
        <v>1.0366803529411763</v>
      </c>
      <c r="D181" s="543">
        <f t="shared" si="20"/>
        <v>1.1018435439268239</v>
      </c>
      <c r="E181" s="544">
        <f t="shared" si="21"/>
        <v>6.5163190985647601E-2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787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788</v>
      </c>
      <c r="C185" s="513">
        <v>67897196</v>
      </c>
      <c r="D185" s="513">
        <v>70584617</v>
      </c>
      <c r="E185" s="514">
        <f>D185-C185</f>
        <v>2687421</v>
      </c>
    </row>
    <row r="186" spans="1:5" s="506" customFormat="1" ht="25.5" x14ac:dyDescent="0.2">
      <c r="A186" s="512">
        <v>2</v>
      </c>
      <c r="B186" s="511" t="s">
        <v>789</v>
      </c>
      <c r="C186" s="513">
        <v>33702394</v>
      </c>
      <c r="D186" s="513">
        <v>35324347</v>
      </c>
      <c r="E186" s="514">
        <f>D186-C186</f>
        <v>1621953</v>
      </c>
    </row>
    <row r="187" spans="1:5" s="506" customFormat="1" x14ac:dyDescent="0.2">
      <c r="A187" s="512"/>
      <c r="B187" s="511" t="s">
        <v>637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721</v>
      </c>
      <c r="C188" s="546">
        <f>+C185-C186</f>
        <v>34194802</v>
      </c>
      <c r="D188" s="546">
        <f>+D185-D186</f>
        <v>35260270</v>
      </c>
      <c r="E188" s="514">
        <f t="shared" ref="E188:E197" si="22">D188-C188</f>
        <v>1065468</v>
      </c>
    </row>
    <row r="189" spans="1:5" s="506" customFormat="1" x14ac:dyDescent="0.2">
      <c r="A189" s="512">
        <v>4</v>
      </c>
      <c r="B189" s="511" t="s">
        <v>639</v>
      </c>
      <c r="C189" s="547">
        <f>IF(C185=0,0,+C188/C185)</f>
        <v>0.50362612912615712</v>
      </c>
      <c r="D189" s="547">
        <f>IF(D185=0,0,+D188/D185)</f>
        <v>0.49954609798336086</v>
      </c>
      <c r="E189" s="523">
        <f t="shared" si="22"/>
        <v>-4.0800311427962588E-3</v>
      </c>
    </row>
    <row r="190" spans="1:5" s="506" customFormat="1" x14ac:dyDescent="0.2">
      <c r="A190" s="512">
        <v>5</v>
      </c>
      <c r="B190" s="511" t="s">
        <v>736</v>
      </c>
      <c r="C190" s="513">
        <v>3173244</v>
      </c>
      <c r="D190" s="513">
        <v>79148</v>
      </c>
      <c r="E190" s="546">
        <f t="shared" si="22"/>
        <v>-3094096</v>
      </c>
    </row>
    <row r="191" spans="1:5" s="506" customFormat="1" x14ac:dyDescent="0.2">
      <c r="A191" s="512">
        <v>6</v>
      </c>
      <c r="B191" s="511" t="s">
        <v>722</v>
      </c>
      <c r="C191" s="513">
        <v>1676212</v>
      </c>
      <c r="D191" s="513">
        <v>42560</v>
      </c>
      <c r="E191" s="546">
        <f t="shared" si="22"/>
        <v>-1633652</v>
      </c>
    </row>
    <row r="192" spans="1:5" ht="29.25" x14ac:dyDescent="0.2">
      <c r="A192" s="512">
        <v>7</v>
      </c>
      <c r="B192" s="548" t="s">
        <v>790</v>
      </c>
      <c r="C192" s="513">
        <v>587594</v>
      </c>
      <c r="D192" s="513">
        <v>0</v>
      </c>
      <c r="E192" s="546">
        <f t="shared" si="22"/>
        <v>-587594</v>
      </c>
    </row>
    <row r="193" spans="1:5" s="506" customFormat="1" x14ac:dyDescent="0.2">
      <c r="A193" s="512">
        <v>8</v>
      </c>
      <c r="B193" s="511" t="s">
        <v>791</v>
      </c>
      <c r="C193" s="513">
        <v>2446867</v>
      </c>
      <c r="D193" s="513">
        <v>2956537</v>
      </c>
      <c r="E193" s="546">
        <f t="shared" si="22"/>
        <v>509670</v>
      </c>
    </row>
    <row r="194" spans="1:5" s="506" customFormat="1" x14ac:dyDescent="0.2">
      <c r="A194" s="512">
        <v>9</v>
      </c>
      <c r="B194" s="511" t="s">
        <v>792</v>
      </c>
      <c r="C194" s="513">
        <v>3867045</v>
      </c>
      <c r="D194" s="513">
        <v>3100374</v>
      </c>
      <c r="E194" s="546">
        <f t="shared" si="22"/>
        <v>-766671</v>
      </c>
    </row>
    <row r="195" spans="1:5" s="506" customFormat="1" x14ac:dyDescent="0.2">
      <c r="A195" s="512">
        <v>10</v>
      </c>
      <c r="B195" s="511" t="s">
        <v>793</v>
      </c>
      <c r="C195" s="513">
        <f>+C193+C194</f>
        <v>6313912</v>
      </c>
      <c r="D195" s="513">
        <f>+D193+D194</f>
        <v>6056911</v>
      </c>
      <c r="E195" s="549">
        <f t="shared" si="22"/>
        <v>-257001</v>
      </c>
    </row>
    <row r="196" spans="1:5" s="506" customFormat="1" x14ac:dyDescent="0.2">
      <c r="A196" s="512">
        <v>11</v>
      </c>
      <c r="B196" s="511" t="s">
        <v>794</v>
      </c>
      <c r="C196" s="513">
        <v>67897196</v>
      </c>
      <c r="D196" s="513">
        <v>70584617</v>
      </c>
      <c r="E196" s="546">
        <f t="shared" si="22"/>
        <v>2687421</v>
      </c>
    </row>
    <row r="197" spans="1:5" s="506" customFormat="1" x14ac:dyDescent="0.2">
      <c r="A197" s="512">
        <v>12</v>
      </c>
      <c r="B197" s="511" t="s">
        <v>679</v>
      </c>
      <c r="C197" s="513">
        <v>91501818</v>
      </c>
      <c r="D197" s="513">
        <v>92639489</v>
      </c>
      <c r="E197" s="546">
        <f t="shared" si="22"/>
        <v>1137671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795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796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625</v>
      </c>
      <c r="C203" s="553">
        <v>1279.2203</v>
      </c>
      <c r="D203" s="553">
        <v>1208.2719999999999</v>
      </c>
      <c r="E203" s="554">
        <f t="shared" ref="E203:E211" si="23">D203-C203</f>
        <v>-70.948300000000017</v>
      </c>
    </row>
    <row r="204" spans="1:5" s="506" customFormat="1" x14ac:dyDescent="0.2">
      <c r="A204" s="512">
        <v>2</v>
      </c>
      <c r="B204" s="511" t="s">
        <v>604</v>
      </c>
      <c r="C204" s="553">
        <v>2969.8082999999997</v>
      </c>
      <c r="D204" s="553">
        <v>3019.0816</v>
      </c>
      <c r="E204" s="554">
        <f t="shared" si="23"/>
        <v>49.27330000000029</v>
      </c>
    </row>
    <row r="205" spans="1:5" s="506" customFormat="1" x14ac:dyDescent="0.2">
      <c r="A205" s="512">
        <v>3</v>
      </c>
      <c r="B205" s="511" t="s">
        <v>750</v>
      </c>
      <c r="C205" s="553">
        <f>C206+C207</f>
        <v>1024.163</v>
      </c>
      <c r="D205" s="553">
        <f>D206+D207</f>
        <v>941.81990000000008</v>
      </c>
      <c r="E205" s="554">
        <f t="shared" si="23"/>
        <v>-82.343099999999936</v>
      </c>
    </row>
    <row r="206" spans="1:5" s="506" customFormat="1" x14ac:dyDescent="0.2">
      <c r="A206" s="512">
        <v>4</v>
      </c>
      <c r="B206" s="511" t="s">
        <v>114</v>
      </c>
      <c r="C206" s="553">
        <v>866.20040000000006</v>
      </c>
      <c r="D206" s="553">
        <v>928.08450000000005</v>
      </c>
      <c r="E206" s="554">
        <f t="shared" si="23"/>
        <v>61.884099999999989</v>
      </c>
    </row>
    <row r="207" spans="1:5" s="506" customFormat="1" x14ac:dyDescent="0.2">
      <c r="A207" s="512">
        <v>5</v>
      </c>
      <c r="B207" s="511" t="s">
        <v>717</v>
      </c>
      <c r="C207" s="553">
        <v>157.96260000000001</v>
      </c>
      <c r="D207" s="553">
        <v>13.7354</v>
      </c>
      <c r="E207" s="554">
        <f t="shared" si="23"/>
        <v>-144.22720000000001</v>
      </c>
    </row>
    <row r="208" spans="1:5" s="506" customFormat="1" x14ac:dyDescent="0.2">
      <c r="A208" s="512">
        <v>6</v>
      </c>
      <c r="B208" s="511" t="s">
        <v>418</v>
      </c>
      <c r="C208" s="553">
        <v>13.8782</v>
      </c>
      <c r="D208" s="553">
        <v>10.593</v>
      </c>
      <c r="E208" s="554">
        <f t="shared" si="23"/>
        <v>-3.2851999999999997</v>
      </c>
    </row>
    <row r="209" spans="1:5" s="506" customFormat="1" x14ac:dyDescent="0.2">
      <c r="A209" s="512">
        <v>7</v>
      </c>
      <c r="B209" s="511" t="s">
        <v>732</v>
      </c>
      <c r="C209" s="553">
        <v>77.061999999999998</v>
      </c>
      <c r="D209" s="553">
        <v>69.742199999999997</v>
      </c>
      <c r="E209" s="554">
        <f t="shared" si="23"/>
        <v>-7.3198000000000008</v>
      </c>
    </row>
    <row r="210" spans="1:5" s="506" customFormat="1" x14ac:dyDescent="0.2">
      <c r="A210" s="512"/>
      <c r="B210" s="516" t="s">
        <v>797</v>
      </c>
      <c r="C210" s="555">
        <f>C204+C205+C208</f>
        <v>4007.8494999999998</v>
      </c>
      <c r="D210" s="555">
        <f>D204+D205+D208</f>
        <v>3971.4944999999998</v>
      </c>
      <c r="E210" s="556">
        <f t="shared" si="23"/>
        <v>-36.355000000000018</v>
      </c>
    </row>
    <row r="211" spans="1:5" s="506" customFormat="1" x14ac:dyDescent="0.2">
      <c r="A211" s="512"/>
      <c r="B211" s="516" t="s">
        <v>696</v>
      </c>
      <c r="C211" s="555">
        <f>C210+C203</f>
        <v>5287.0697999999993</v>
      </c>
      <c r="D211" s="555">
        <f>D210+D203</f>
        <v>5179.7664999999997</v>
      </c>
      <c r="E211" s="556">
        <f t="shared" si="23"/>
        <v>-107.30329999999958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798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625</v>
      </c>
      <c r="C215" s="557">
        <f>IF(C14*C137=0,0,C25/C14*C137)</f>
        <v>4543.5558627234777</v>
      </c>
      <c r="D215" s="557">
        <f>IF(D14*D137=0,0,D25/D14*D137)</f>
        <v>4532.3444842668296</v>
      </c>
      <c r="E215" s="557">
        <f t="shared" ref="E215:E223" si="24">D215-C215</f>
        <v>-11.211378456648163</v>
      </c>
    </row>
    <row r="216" spans="1:5" s="506" customFormat="1" x14ac:dyDescent="0.2">
      <c r="A216" s="512">
        <v>2</v>
      </c>
      <c r="B216" s="511" t="s">
        <v>604</v>
      </c>
      <c r="C216" s="557">
        <f>IF(C15*C138=0,0,C26/C15*C138)</f>
        <v>2070.6633138524298</v>
      </c>
      <c r="D216" s="557">
        <f>IF(D15*D138=0,0,D26/D15*D138)</f>
        <v>2079.3050730654395</v>
      </c>
      <c r="E216" s="557">
        <f t="shared" si="24"/>
        <v>8.6417592130096637</v>
      </c>
    </row>
    <row r="217" spans="1:5" s="506" customFormat="1" x14ac:dyDescent="0.2">
      <c r="A217" s="512">
        <v>3</v>
      </c>
      <c r="B217" s="511" t="s">
        <v>750</v>
      </c>
      <c r="C217" s="557">
        <f>C218+C219</f>
        <v>2513.3159131723687</v>
      </c>
      <c r="D217" s="557">
        <f>D218+D219</f>
        <v>2573.2307123118153</v>
      </c>
      <c r="E217" s="557">
        <f t="shared" si="24"/>
        <v>59.914799139446586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2247.0655041470422</v>
      </c>
      <c r="D218" s="557">
        <f t="shared" si="25"/>
        <v>2561.7211074749571</v>
      </c>
      <c r="E218" s="557">
        <f t="shared" si="24"/>
        <v>314.65560332791483</v>
      </c>
    </row>
    <row r="219" spans="1:5" s="506" customFormat="1" x14ac:dyDescent="0.2">
      <c r="A219" s="512">
        <v>5</v>
      </c>
      <c r="B219" s="511" t="s">
        <v>717</v>
      </c>
      <c r="C219" s="557">
        <f t="shared" si="25"/>
        <v>266.25040902532623</v>
      </c>
      <c r="D219" s="557">
        <f t="shared" si="25"/>
        <v>11.509604836858083</v>
      </c>
      <c r="E219" s="557">
        <f t="shared" si="24"/>
        <v>-254.74080418846816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48.619330691325402</v>
      </c>
      <c r="D220" s="557">
        <f t="shared" si="25"/>
        <v>67.043491585157184</v>
      </c>
      <c r="E220" s="557">
        <f t="shared" si="24"/>
        <v>18.424160893831782</v>
      </c>
    </row>
    <row r="221" spans="1:5" s="506" customFormat="1" x14ac:dyDescent="0.2">
      <c r="A221" s="512">
        <v>7</v>
      </c>
      <c r="B221" s="511" t="s">
        <v>732</v>
      </c>
      <c r="C221" s="557">
        <f t="shared" si="25"/>
        <v>222.44628628352842</v>
      </c>
      <c r="D221" s="557">
        <f t="shared" si="25"/>
        <v>259.28194647345043</v>
      </c>
      <c r="E221" s="557">
        <f t="shared" si="24"/>
        <v>36.83566018992201</v>
      </c>
    </row>
    <row r="222" spans="1:5" s="506" customFormat="1" x14ac:dyDescent="0.2">
      <c r="A222" s="512"/>
      <c r="B222" s="516" t="s">
        <v>799</v>
      </c>
      <c r="C222" s="558">
        <f>C216+C218+C219+C220</f>
        <v>4632.5985577161237</v>
      </c>
      <c r="D222" s="558">
        <f>D216+D218+D219+D220</f>
        <v>4719.5792769624122</v>
      </c>
      <c r="E222" s="558">
        <f t="shared" si="24"/>
        <v>86.980719246288572</v>
      </c>
    </row>
    <row r="223" spans="1:5" s="506" customFormat="1" x14ac:dyDescent="0.2">
      <c r="A223" s="512"/>
      <c r="B223" s="516" t="s">
        <v>800</v>
      </c>
      <c r="C223" s="558">
        <f>C215+C222</f>
        <v>9176.1544204396014</v>
      </c>
      <c r="D223" s="558">
        <f>D215+D222</f>
        <v>9251.9237612292418</v>
      </c>
      <c r="E223" s="558">
        <f t="shared" si="24"/>
        <v>75.76934078964041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801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625</v>
      </c>
      <c r="C227" s="560">
        <f t="shared" ref="C227:D235" si="26">IF(C203=0,0,C47/C203)</f>
        <v>7033.4538937507486</v>
      </c>
      <c r="D227" s="560">
        <f t="shared" si="26"/>
        <v>7791.1389157408266</v>
      </c>
      <c r="E227" s="560">
        <f t="shared" ref="E227:E235" si="27">D227-C227</f>
        <v>757.68502199007798</v>
      </c>
    </row>
    <row r="228" spans="1:5" s="506" customFormat="1" x14ac:dyDescent="0.2">
      <c r="A228" s="512">
        <v>2</v>
      </c>
      <c r="B228" s="511" t="s">
        <v>604</v>
      </c>
      <c r="C228" s="560">
        <f t="shared" si="26"/>
        <v>8959.6762861764528</v>
      </c>
      <c r="D228" s="560">
        <f t="shared" si="26"/>
        <v>8722.8344540273447</v>
      </c>
      <c r="E228" s="560">
        <f t="shared" si="27"/>
        <v>-236.84183214910809</v>
      </c>
    </row>
    <row r="229" spans="1:5" s="506" customFormat="1" x14ac:dyDescent="0.2">
      <c r="A229" s="512">
        <v>3</v>
      </c>
      <c r="B229" s="511" t="s">
        <v>750</v>
      </c>
      <c r="C229" s="560">
        <f t="shared" si="26"/>
        <v>5555.7328276846556</v>
      </c>
      <c r="D229" s="560">
        <f t="shared" si="26"/>
        <v>4546.734465899478</v>
      </c>
      <c r="E229" s="560">
        <f t="shared" si="27"/>
        <v>-1008.9983617851776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5823.1039837894323</v>
      </c>
      <c r="D230" s="560">
        <f t="shared" si="26"/>
        <v>4486.2455950939811</v>
      </c>
      <c r="E230" s="560">
        <f t="shared" si="27"/>
        <v>-1336.8583886954511</v>
      </c>
    </row>
    <row r="231" spans="1:5" s="506" customFormat="1" x14ac:dyDescent="0.2">
      <c r="A231" s="512">
        <v>5</v>
      </c>
      <c r="B231" s="511" t="s">
        <v>717</v>
      </c>
      <c r="C231" s="560">
        <f t="shared" si="26"/>
        <v>4089.5819643383938</v>
      </c>
      <c r="D231" s="560">
        <f t="shared" si="26"/>
        <v>8633.8948993112681</v>
      </c>
      <c r="E231" s="560">
        <f t="shared" si="27"/>
        <v>4544.3129349728742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4111.3400873312103</v>
      </c>
      <c r="D232" s="560">
        <f t="shared" si="26"/>
        <v>5048.8058151609557</v>
      </c>
      <c r="E232" s="560">
        <f t="shared" si="27"/>
        <v>937.46572782974545</v>
      </c>
    </row>
    <row r="233" spans="1:5" s="506" customFormat="1" x14ac:dyDescent="0.2">
      <c r="A233" s="512">
        <v>7</v>
      </c>
      <c r="B233" s="511" t="s">
        <v>732</v>
      </c>
      <c r="C233" s="560">
        <f t="shared" si="26"/>
        <v>1909.6052529132387</v>
      </c>
      <c r="D233" s="560">
        <f t="shared" si="26"/>
        <v>670.32585722847864</v>
      </c>
      <c r="E233" s="560">
        <f t="shared" si="27"/>
        <v>-1239.2793956847599</v>
      </c>
    </row>
    <row r="234" spans="1:5" x14ac:dyDescent="0.2">
      <c r="A234" s="512"/>
      <c r="B234" s="516" t="s">
        <v>802</v>
      </c>
      <c r="C234" s="561">
        <f t="shared" si="26"/>
        <v>8073.0464055598895</v>
      </c>
      <c r="D234" s="561">
        <f t="shared" si="26"/>
        <v>7722.6938121153134</v>
      </c>
      <c r="E234" s="561">
        <f t="shared" si="27"/>
        <v>-350.35259344457609</v>
      </c>
    </row>
    <row r="235" spans="1:5" s="506" customFormat="1" x14ac:dyDescent="0.2">
      <c r="A235" s="512"/>
      <c r="B235" s="516" t="s">
        <v>803</v>
      </c>
      <c r="C235" s="561">
        <f t="shared" si="26"/>
        <v>7821.5142913377094</v>
      </c>
      <c r="D235" s="561">
        <f t="shared" si="26"/>
        <v>7738.6598411337654</v>
      </c>
      <c r="E235" s="561">
        <f t="shared" si="27"/>
        <v>-82.854450203943998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804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625</v>
      </c>
      <c r="C239" s="560">
        <f t="shared" ref="C239:D247" si="28">IF(C215=0,0,C58/C215)</f>
        <v>5503.971284950826</v>
      </c>
      <c r="D239" s="560">
        <f t="shared" si="28"/>
        <v>5754.14028887938</v>
      </c>
      <c r="E239" s="562">
        <f t="shared" ref="E239:E247" si="29">D239-C239</f>
        <v>250.16900392855405</v>
      </c>
    </row>
    <row r="240" spans="1:5" s="506" customFormat="1" x14ac:dyDescent="0.2">
      <c r="A240" s="512">
        <v>2</v>
      </c>
      <c r="B240" s="511" t="s">
        <v>604</v>
      </c>
      <c r="C240" s="560">
        <f t="shared" si="28"/>
        <v>4587.071174950519</v>
      </c>
      <c r="D240" s="560">
        <f t="shared" si="28"/>
        <v>4556.4083513885753</v>
      </c>
      <c r="E240" s="562">
        <f t="shared" si="29"/>
        <v>-30.662823561943696</v>
      </c>
    </row>
    <row r="241" spans="1:5" x14ac:dyDescent="0.2">
      <c r="A241" s="512">
        <v>3</v>
      </c>
      <c r="B241" s="511" t="s">
        <v>750</v>
      </c>
      <c r="C241" s="560">
        <f t="shared" si="28"/>
        <v>2569.808660403387</v>
      </c>
      <c r="D241" s="560">
        <f t="shared" si="28"/>
        <v>2617.1388238832492</v>
      </c>
      <c r="E241" s="562">
        <f t="shared" si="29"/>
        <v>47.330163479862222</v>
      </c>
    </row>
    <row r="242" spans="1:5" x14ac:dyDescent="0.2">
      <c r="A242" s="512">
        <v>4</v>
      </c>
      <c r="B242" s="511" t="s">
        <v>114</v>
      </c>
      <c r="C242" s="560">
        <f t="shared" si="28"/>
        <v>2556.0874791588394</v>
      </c>
      <c r="D242" s="560">
        <f t="shared" si="28"/>
        <v>2617.8603051017562</v>
      </c>
      <c r="E242" s="562">
        <f t="shared" si="29"/>
        <v>61.772825942916825</v>
      </c>
    </row>
    <row r="243" spans="1:5" x14ac:dyDescent="0.2">
      <c r="A243" s="512">
        <v>5</v>
      </c>
      <c r="B243" s="511" t="s">
        <v>717</v>
      </c>
      <c r="C243" s="560">
        <f t="shared" si="28"/>
        <v>2685.6108977169069</v>
      </c>
      <c r="D243" s="560">
        <f t="shared" si="28"/>
        <v>2456.5569713962741</v>
      </c>
      <c r="E243" s="562">
        <f t="shared" si="29"/>
        <v>-229.05392632063285</v>
      </c>
    </row>
    <row r="244" spans="1:5" x14ac:dyDescent="0.2">
      <c r="A244" s="512">
        <v>6</v>
      </c>
      <c r="B244" s="511" t="s">
        <v>418</v>
      </c>
      <c r="C244" s="560">
        <f t="shared" si="28"/>
        <v>3507.925707221425</v>
      </c>
      <c r="D244" s="560">
        <f t="shared" si="28"/>
        <v>2001.4470730475366</v>
      </c>
      <c r="E244" s="562">
        <f t="shared" si="29"/>
        <v>-1506.4786341738884</v>
      </c>
    </row>
    <row r="245" spans="1:5" x14ac:dyDescent="0.2">
      <c r="A245" s="512">
        <v>7</v>
      </c>
      <c r="B245" s="511" t="s">
        <v>732</v>
      </c>
      <c r="C245" s="560">
        <f t="shared" si="28"/>
        <v>698.53267769076683</v>
      </c>
      <c r="D245" s="560">
        <f t="shared" si="28"/>
        <v>472.31981117721165</v>
      </c>
      <c r="E245" s="562">
        <f t="shared" si="29"/>
        <v>-226.21286651355518</v>
      </c>
    </row>
    <row r="246" spans="1:5" ht="25.5" x14ac:dyDescent="0.2">
      <c r="A246" s="512"/>
      <c r="B246" s="516" t="s">
        <v>805</v>
      </c>
      <c r="C246" s="561">
        <f t="shared" si="28"/>
        <v>3481.3234514218111</v>
      </c>
      <c r="D246" s="561">
        <f t="shared" si="28"/>
        <v>3462.7766673555038</v>
      </c>
      <c r="E246" s="563">
        <f t="shared" si="29"/>
        <v>-18.546784066307282</v>
      </c>
    </row>
    <row r="247" spans="1:5" x14ac:dyDescent="0.2">
      <c r="A247" s="512"/>
      <c r="B247" s="516" t="s">
        <v>806</v>
      </c>
      <c r="C247" s="561">
        <f t="shared" si="28"/>
        <v>4482.8337792978573</v>
      </c>
      <c r="D247" s="561">
        <f t="shared" si="28"/>
        <v>4585.2728680898244</v>
      </c>
      <c r="E247" s="563">
        <f t="shared" si="29"/>
        <v>102.43908879196715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734</v>
      </c>
      <c r="B249" s="550" t="s">
        <v>731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4563753.4022985538</v>
      </c>
      <c r="D251" s="546">
        <f>((IF((IF(D15=0,0,D26/D15)*D138)=0,0,D59/(IF(D15=0,0,D26/D15)*D138)))-(IF((IF(D17=0,0,D28/D17)*D140)=0,0,D61/(IF(D17=0,0,D28/D17)*D140))))*(IF(D17=0,0,D28/D17)*D140)</f>
        <v>4966019.4480272848</v>
      </c>
      <c r="E251" s="546">
        <f>D251-C251</f>
        <v>402266.04572873097</v>
      </c>
    </row>
    <row r="252" spans="1:5" x14ac:dyDescent="0.2">
      <c r="A252" s="512">
        <v>2</v>
      </c>
      <c r="B252" s="511" t="s">
        <v>717</v>
      </c>
      <c r="C252" s="546">
        <f>IF(C231=0,0,(C228-C231)*C207)+IF(C243=0,0,(C240-C243)*C219)</f>
        <v>1275557.3378816359</v>
      </c>
      <c r="D252" s="546">
        <f>IF(D231=0,0,(D228-D231)*D207)+IF(D243=0,0,(D240-D243)*D219)</f>
        <v>25390.079959689709</v>
      </c>
      <c r="E252" s="546">
        <f>D252-C252</f>
        <v>-1250167.2579219462</v>
      </c>
    </row>
    <row r="253" spans="1:5" x14ac:dyDescent="0.2">
      <c r="A253" s="512">
        <v>3</v>
      </c>
      <c r="B253" s="511" t="s">
        <v>732</v>
      </c>
      <c r="C253" s="546">
        <f>IF(C233=0,0,(C228-C233)*C209+IF(C221=0,0,(C240-C245)*C221))</f>
        <v>1408283.5217512939</v>
      </c>
      <c r="D253" s="546">
        <f>IF(D233=0,0,(D228-D233)*D209+IF(D221=0,0,(D240-D245)*D221))</f>
        <v>1620530.0913355809</v>
      </c>
      <c r="E253" s="546">
        <f>D253-C253</f>
        <v>212246.569584287</v>
      </c>
    </row>
    <row r="254" spans="1:5" ht="15" customHeight="1" x14ac:dyDescent="0.2">
      <c r="A254" s="512"/>
      <c r="B254" s="516" t="s">
        <v>733</v>
      </c>
      <c r="C254" s="564">
        <f>+C251+C252+C253</f>
        <v>7247594.2619314836</v>
      </c>
      <c r="D254" s="564">
        <f>+D251+D252+D253</f>
        <v>6611939.6193225551</v>
      </c>
      <c r="E254" s="564">
        <f>D254-C254</f>
        <v>-635654.64260892849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807</v>
      </c>
      <c r="B256" s="550" t="s">
        <v>808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699</v>
      </c>
      <c r="C258" s="546">
        <f>+C44</f>
        <v>193955564</v>
      </c>
      <c r="D258" s="549">
        <f>+D44</f>
        <v>199383125</v>
      </c>
      <c r="E258" s="546">
        <f t="shared" ref="E258:E271" si="30">D258-C258</f>
        <v>5427561</v>
      </c>
    </row>
    <row r="259" spans="1:5" x14ac:dyDescent="0.2">
      <c r="A259" s="512">
        <v>2</v>
      </c>
      <c r="B259" s="511" t="s">
        <v>716</v>
      </c>
      <c r="C259" s="546">
        <f>+(C43-C76)</f>
        <v>68933145</v>
      </c>
      <c r="D259" s="549">
        <f>+(D43-D76)</f>
        <v>75438984</v>
      </c>
      <c r="E259" s="546">
        <f t="shared" si="30"/>
        <v>6505839</v>
      </c>
    </row>
    <row r="260" spans="1:5" x14ac:dyDescent="0.2">
      <c r="A260" s="512">
        <v>3</v>
      </c>
      <c r="B260" s="511" t="s">
        <v>720</v>
      </c>
      <c r="C260" s="546">
        <f>C195</f>
        <v>6313912</v>
      </c>
      <c r="D260" s="546">
        <f>D195</f>
        <v>6056911</v>
      </c>
      <c r="E260" s="546">
        <f t="shared" si="30"/>
        <v>-257001</v>
      </c>
    </row>
    <row r="261" spans="1:5" x14ac:dyDescent="0.2">
      <c r="A261" s="512">
        <v>4</v>
      </c>
      <c r="B261" s="511" t="s">
        <v>721</v>
      </c>
      <c r="C261" s="546">
        <f>C188</f>
        <v>34194802</v>
      </c>
      <c r="D261" s="546">
        <f>D188</f>
        <v>35260270</v>
      </c>
      <c r="E261" s="546">
        <f t="shared" si="30"/>
        <v>1065468</v>
      </c>
    </row>
    <row r="262" spans="1:5" x14ac:dyDescent="0.2">
      <c r="A262" s="512">
        <v>5</v>
      </c>
      <c r="B262" s="511" t="s">
        <v>722</v>
      </c>
      <c r="C262" s="546">
        <f>C191</f>
        <v>1676212</v>
      </c>
      <c r="D262" s="546">
        <f>D191</f>
        <v>42560</v>
      </c>
      <c r="E262" s="546">
        <f t="shared" si="30"/>
        <v>-1633652</v>
      </c>
    </row>
    <row r="263" spans="1:5" x14ac:dyDescent="0.2">
      <c r="A263" s="512">
        <v>6</v>
      </c>
      <c r="B263" s="511" t="s">
        <v>723</v>
      </c>
      <c r="C263" s="546">
        <f>+C259+C260+C261+C262</f>
        <v>111118071</v>
      </c>
      <c r="D263" s="546">
        <f>+D259+D260+D261+D262</f>
        <v>116798725</v>
      </c>
      <c r="E263" s="546">
        <f t="shared" si="30"/>
        <v>5680654</v>
      </c>
    </row>
    <row r="264" spans="1:5" x14ac:dyDescent="0.2">
      <c r="A264" s="512">
        <v>7</v>
      </c>
      <c r="B264" s="511" t="s">
        <v>623</v>
      </c>
      <c r="C264" s="546">
        <f>+C258-C263</f>
        <v>82837493</v>
      </c>
      <c r="D264" s="546">
        <f>+D258-D263</f>
        <v>82584400</v>
      </c>
      <c r="E264" s="546">
        <f t="shared" si="30"/>
        <v>-253093</v>
      </c>
    </row>
    <row r="265" spans="1:5" x14ac:dyDescent="0.2">
      <c r="A265" s="512">
        <v>8</v>
      </c>
      <c r="B265" s="511" t="s">
        <v>809</v>
      </c>
      <c r="C265" s="565">
        <f>C192</f>
        <v>587594</v>
      </c>
      <c r="D265" s="565">
        <f>D192</f>
        <v>0</v>
      </c>
      <c r="E265" s="546">
        <f t="shared" si="30"/>
        <v>-587594</v>
      </c>
    </row>
    <row r="266" spans="1:5" x14ac:dyDescent="0.2">
      <c r="A266" s="512">
        <v>9</v>
      </c>
      <c r="B266" s="511" t="s">
        <v>810</v>
      </c>
      <c r="C266" s="546">
        <f>+C264+C265</f>
        <v>83425087</v>
      </c>
      <c r="D266" s="546">
        <f>+D264+D265</f>
        <v>82584400</v>
      </c>
      <c r="E266" s="565">
        <f t="shared" si="30"/>
        <v>-840687</v>
      </c>
    </row>
    <row r="267" spans="1:5" x14ac:dyDescent="0.2">
      <c r="A267" s="512">
        <v>10</v>
      </c>
      <c r="B267" s="511" t="s">
        <v>811</v>
      </c>
      <c r="C267" s="566">
        <f>IF(C258=0,0,C266/C258)</f>
        <v>0.4301247423868696</v>
      </c>
      <c r="D267" s="566">
        <f>IF(D258=0,0,D266/D258)</f>
        <v>0.41419954672693587</v>
      </c>
      <c r="E267" s="567">
        <f t="shared" si="30"/>
        <v>-1.5925195659933722E-2</v>
      </c>
    </row>
    <row r="268" spans="1:5" x14ac:dyDescent="0.2">
      <c r="A268" s="512">
        <v>11</v>
      </c>
      <c r="B268" s="511" t="s">
        <v>685</v>
      </c>
      <c r="C268" s="546">
        <f>+C260*C267</f>
        <v>2715769.7724533645</v>
      </c>
      <c r="D268" s="568">
        <f>+D260*D267</f>
        <v>2508769.7907653917</v>
      </c>
      <c r="E268" s="546">
        <f t="shared" si="30"/>
        <v>-206999.98168797279</v>
      </c>
    </row>
    <row r="269" spans="1:5" x14ac:dyDescent="0.2">
      <c r="A269" s="512">
        <v>12</v>
      </c>
      <c r="B269" s="511" t="s">
        <v>812</v>
      </c>
      <c r="C269" s="546">
        <f>((C17+C18+C28+C29)*C267)-(C50+C51+C61+C62)</f>
        <v>4066932.0223921854</v>
      </c>
      <c r="D269" s="568">
        <f>((D17+D18+D28+D29)*D267)-(D50+D51+D61+D62)</f>
        <v>5401183.8645272758</v>
      </c>
      <c r="E269" s="546">
        <f t="shared" si="30"/>
        <v>1334251.8421350904</v>
      </c>
    </row>
    <row r="270" spans="1:5" s="569" customFormat="1" x14ac:dyDescent="0.2">
      <c r="A270" s="570">
        <v>13</v>
      </c>
      <c r="B270" s="571" t="s">
        <v>813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814</v>
      </c>
      <c r="C271" s="546">
        <f>+C268+C269+C270</f>
        <v>6782701.7948455494</v>
      </c>
      <c r="D271" s="546">
        <f>+D268+D269+D270</f>
        <v>7909953.6552926674</v>
      </c>
      <c r="E271" s="549">
        <f t="shared" si="30"/>
        <v>1127251.8604471181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815</v>
      </c>
      <c r="B273" s="550" t="s">
        <v>816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817</v>
      </c>
      <c r="C275" s="340"/>
      <c r="D275" s="340"/>
      <c r="E275" s="520"/>
    </row>
    <row r="276" spans="1:5" x14ac:dyDescent="0.2">
      <c r="A276" s="512">
        <v>1</v>
      </c>
      <c r="B276" s="511" t="s">
        <v>625</v>
      </c>
      <c r="C276" s="547">
        <f t="shared" ref="C276:D284" si="31">IF(C14=0,0,+C47/C14)</f>
        <v>0.50430314720010971</v>
      </c>
      <c r="D276" s="547">
        <f t="shared" si="31"/>
        <v>0.56393747275806183</v>
      </c>
      <c r="E276" s="574">
        <f t="shared" ref="E276:E284" si="32">D276-C276</f>
        <v>5.9634325557952117E-2</v>
      </c>
    </row>
    <row r="277" spans="1:5" x14ac:dyDescent="0.2">
      <c r="A277" s="512">
        <v>2</v>
      </c>
      <c r="B277" s="511" t="s">
        <v>604</v>
      </c>
      <c r="C277" s="547">
        <f t="shared" si="31"/>
        <v>0.61307626813902849</v>
      </c>
      <c r="D277" s="547">
        <f t="shared" si="31"/>
        <v>0.60078264095937062</v>
      </c>
      <c r="E277" s="574">
        <f t="shared" si="32"/>
        <v>-1.2293627179657873E-2</v>
      </c>
    </row>
    <row r="278" spans="1:5" x14ac:dyDescent="0.2">
      <c r="A278" s="512">
        <v>3</v>
      </c>
      <c r="B278" s="511" t="s">
        <v>750</v>
      </c>
      <c r="C278" s="547">
        <f t="shared" si="31"/>
        <v>0.47002286435454643</v>
      </c>
      <c r="D278" s="547">
        <f t="shared" si="31"/>
        <v>0.36986887644535194</v>
      </c>
      <c r="E278" s="574">
        <f t="shared" si="32"/>
        <v>-0.1001539879091945</v>
      </c>
    </row>
    <row r="279" spans="1:5" x14ac:dyDescent="0.2">
      <c r="A279" s="512">
        <v>4</v>
      </c>
      <c r="B279" s="511" t="s">
        <v>114</v>
      </c>
      <c r="C279" s="547">
        <f t="shared" si="31"/>
        <v>0.50257871787787178</v>
      </c>
      <c r="D279" s="547">
        <f t="shared" si="31"/>
        <v>0.36963786876429217</v>
      </c>
      <c r="E279" s="574">
        <f t="shared" si="32"/>
        <v>-0.13294084911357962</v>
      </c>
    </row>
    <row r="280" spans="1:5" x14ac:dyDescent="0.2">
      <c r="A280" s="512">
        <v>5</v>
      </c>
      <c r="B280" s="511" t="s">
        <v>717</v>
      </c>
      <c r="C280" s="547">
        <f t="shared" si="31"/>
        <v>0.31214503221467038</v>
      </c>
      <c r="D280" s="547">
        <f t="shared" si="31"/>
        <v>0.37816653486058316</v>
      </c>
      <c r="E280" s="574">
        <f t="shared" si="32"/>
        <v>6.6021502645912777E-2</v>
      </c>
    </row>
    <row r="281" spans="1:5" x14ac:dyDescent="0.2">
      <c r="A281" s="512">
        <v>6</v>
      </c>
      <c r="B281" s="511" t="s">
        <v>418</v>
      </c>
      <c r="C281" s="547">
        <f t="shared" si="31"/>
        <v>0.41874357845295757</v>
      </c>
      <c r="D281" s="547">
        <f t="shared" si="31"/>
        <v>0.45527832401188378</v>
      </c>
      <c r="E281" s="574">
        <f t="shared" si="32"/>
        <v>3.6534745558926218E-2</v>
      </c>
    </row>
    <row r="282" spans="1:5" x14ac:dyDescent="0.2">
      <c r="A282" s="512">
        <v>7</v>
      </c>
      <c r="B282" s="511" t="s">
        <v>732</v>
      </c>
      <c r="C282" s="547">
        <f t="shared" si="31"/>
        <v>9.3850885013883945E-2</v>
      </c>
      <c r="D282" s="547">
        <f t="shared" si="31"/>
        <v>4.9098736245789851E-2</v>
      </c>
      <c r="E282" s="574">
        <f t="shared" si="32"/>
        <v>-4.4752148768094094E-2</v>
      </c>
    </row>
    <row r="283" spans="1:5" ht="29.25" customHeight="1" x14ac:dyDescent="0.2">
      <c r="A283" s="512"/>
      <c r="B283" s="516" t="s">
        <v>818</v>
      </c>
      <c r="C283" s="575">
        <f t="shared" si="31"/>
        <v>0.58147791952979655</v>
      </c>
      <c r="D283" s="575">
        <f t="shared" si="31"/>
        <v>0.55233044126721464</v>
      </c>
      <c r="E283" s="576">
        <f t="shared" si="32"/>
        <v>-2.9147478262581905E-2</v>
      </c>
    </row>
    <row r="284" spans="1:5" x14ac:dyDescent="0.2">
      <c r="A284" s="512"/>
      <c r="B284" s="516" t="s">
        <v>819</v>
      </c>
      <c r="C284" s="575">
        <f t="shared" si="31"/>
        <v>0.56274091043070418</v>
      </c>
      <c r="D284" s="575">
        <f t="shared" si="31"/>
        <v>0.55501321007685178</v>
      </c>
      <c r="E284" s="576">
        <f t="shared" si="32"/>
        <v>-7.7277003538523958E-3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820</v>
      </c>
      <c r="C286" s="520"/>
      <c r="D286" s="520"/>
      <c r="E286" s="520"/>
    </row>
    <row r="287" spans="1:5" x14ac:dyDescent="0.2">
      <c r="A287" s="512">
        <v>1</v>
      </c>
      <c r="B287" s="511" t="s">
        <v>625</v>
      </c>
      <c r="C287" s="547">
        <f t="shared" ref="C287:D295" si="33">IF(C25=0,0,+C58/C25)</f>
        <v>0.42603720709346915</v>
      </c>
      <c r="D287" s="547">
        <f t="shared" si="33"/>
        <v>0.43294764317143614</v>
      </c>
      <c r="E287" s="574">
        <f t="shared" ref="E287:E295" si="34">D287-C287</f>
        <v>6.910436077966986E-3</v>
      </c>
    </row>
    <row r="288" spans="1:5" x14ac:dyDescent="0.2">
      <c r="A288" s="512">
        <v>2</v>
      </c>
      <c r="B288" s="511" t="s">
        <v>604</v>
      </c>
      <c r="C288" s="547">
        <f t="shared" si="33"/>
        <v>0.26601888207866148</v>
      </c>
      <c r="D288" s="547">
        <f t="shared" si="33"/>
        <v>0.24655977093913947</v>
      </c>
      <c r="E288" s="574">
        <f t="shared" si="34"/>
        <v>-1.9459111139522006E-2</v>
      </c>
    </row>
    <row r="289" spans="1:5" x14ac:dyDescent="0.2">
      <c r="A289" s="512">
        <v>3</v>
      </c>
      <c r="B289" s="511" t="s">
        <v>750</v>
      </c>
      <c r="C289" s="547">
        <f t="shared" si="33"/>
        <v>0.25235241421744642</v>
      </c>
      <c r="D289" s="547">
        <f t="shared" si="33"/>
        <v>0.24000358374834274</v>
      </c>
      <c r="E289" s="574">
        <f t="shared" si="34"/>
        <v>-1.2348830469103678E-2</v>
      </c>
    </row>
    <row r="290" spans="1:5" x14ac:dyDescent="0.2">
      <c r="A290" s="512">
        <v>4</v>
      </c>
      <c r="B290" s="511" t="s">
        <v>114</v>
      </c>
      <c r="C290" s="547">
        <f t="shared" si="33"/>
        <v>0.27022297162673287</v>
      </c>
      <c r="D290" s="547">
        <f t="shared" si="33"/>
        <v>0.24054299317707536</v>
      </c>
      <c r="E290" s="574">
        <f t="shared" si="34"/>
        <v>-2.9679978449657501E-2</v>
      </c>
    </row>
    <row r="291" spans="1:5" x14ac:dyDescent="0.2">
      <c r="A291" s="512">
        <v>5</v>
      </c>
      <c r="B291" s="511" t="s">
        <v>717</v>
      </c>
      <c r="C291" s="547">
        <f t="shared" si="33"/>
        <v>0.16480487293882989</v>
      </c>
      <c r="D291" s="547">
        <f t="shared" si="33"/>
        <v>0.15667217093524541</v>
      </c>
      <c r="E291" s="574">
        <f t="shared" si="34"/>
        <v>-8.1327020035844855E-3</v>
      </c>
    </row>
    <row r="292" spans="1:5" x14ac:dyDescent="0.2">
      <c r="A292" s="512">
        <v>6</v>
      </c>
      <c r="B292" s="511" t="s">
        <v>418</v>
      </c>
      <c r="C292" s="547">
        <f t="shared" si="33"/>
        <v>0.3604209592037278</v>
      </c>
      <c r="D292" s="547">
        <f t="shared" si="33"/>
        <v>0.30668034931902904</v>
      </c>
      <c r="E292" s="574">
        <f t="shared" si="34"/>
        <v>-5.3740609884698753E-2</v>
      </c>
    </row>
    <row r="293" spans="1:5" x14ac:dyDescent="0.2">
      <c r="A293" s="512">
        <v>7</v>
      </c>
      <c r="B293" s="511" t="s">
        <v>732</v>
      </c>
      <c r="C293" s="547">
        <f t="shared" si="33"/>
        <v>4.7222294821307985E-2</v>
      </c>
      <c r="D293" s="547">
        <f t="shared" si="33"/>
        <v>3.27392552931546E-2</v>
      </c>
      <c r="E293" s="574">
        <f t="shared" si="34"/>
        <v>-1.4483039528153385E-2</v>
      </c>
    </row>
    <row r="294" spans="1:5" ht="29.25" customHeight="1" x14ac:dyDescent="0.2">
      <c r="A294" s="512"/>
      <c r="B294" s="516" t="s">
        <v>821</v>
      </c>
      <c r="C294" s="575">
        <f t="shared" si="33"/>
        <v>0.26107964139841755</v>
      </c>
      <c r="D294" s="575">
        <f t="shared" si="33"/>
        <v>0.24420390286359703</v>
      </c>
      <c r="E294" s="576">
        <f t="shared" si="34"/>
        <v>-1.6875738534820522E-2</v>
      </c>
    </row>
    <row r="295" spans="1:5" x14ac:dyDescent="0.2">
      <c r="A295" s="512"/>
      <c r="B295" s="516" t="s">
        <v>822</v>
      </c>
      <c r="C295" s="575">
        <f t="shared" si="33"/>
        <v>0.34145353449347521</v>
      </c>
      <c r="D295" s="575">
        <f t="shared" si="33"/>
        <v>0.3336142824985549</v>
      </c>
      <c r="E295" s="576">
        <f t="shared" si="34"/>
        <v>-7.8392519949203043E-3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823</v>
      </c>
      <c r="B297" s="501" t="s">
        <v>824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825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623</v>
      </c>
      <c r="C301" s="514">
        <f>+C48+C47+C50+C51+C52+C59+C58+C61+C62+C63</f>
        <v>82488067</v>
      </c>
      <c r="D301" s="514">
        <f>+D48+D47+D50+D51+D52+D59+D58+D61+D62+D63</f>
        <v>82507046</v>
      </c>
      <c r="E301" s="514">
        <f>D301-C301</f>
        <v>18979</v>
      </c>
    </row>
    <row r="302" spans="1:5" ht="25.5" x14ac:dyDescent="0.2">
      <c r="A302" s="512">
        <v>2</v>
      </c>
      <c r="B302" s="511" t="s">
        <v>826</v>
      </c>
      <c r="C302" s="546">
        <f>C265</f>
        <v>587594</v>
      </c>
      <c r="D302" s="546">
        <f>D265</f>
        <v>0</v>
      </c>
      <c r="E302" s="514">
        <f>D302-C302</f>
        <v>-587594</v>
      </c>
    </row>
    <row r="303" spans="1:5" x14ac:dyDescent="0.2">
      <c r="A303" s="512"/>
      <c r="B303" s="516" t="s">
        <v>827</v>
      </c>
      <c r="C303" s="517">
        <f>+C301+C302</f>
        <v>83075661</v>
      </c>
      <c r="D303" s="517">
        <f>+D301+D302</f>
        <v>82507046</v>
      </c>
      <c r="E303" s="517">
        <f>D303-C303</f>
        <v>-568615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828</v>
      </c>
      <c r="C305" s="513">
        <v>3867045</v>
      </c>
      <c r="D305" s="578">
        <v>3348402</v>
      </c>
      <c r="E305" s="579">
        <f>D305-C305</f>
        <v>-518643</v>
      </c>
    </row>
    <row r="306" spans="1:5" x14ac:dyDescent="0.2">
      <c r="A306" s="512">
        <v>4</v>
      </c>
      <c r="B306" s="516" t="s">
        <v>829</v>
      </c>
      <c r="C306" s="580">
        <f>+C303+C305</f>
        <v>86942706</v>
      </c>
      <c r="D306" s="580">
        <f>+D303+D305</f>
        <v>85855448</v>
      </c>
      <c r="E306" s="580">
        <f>D306-C306</f>
        <v>-1087258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830</v>
      </c>
      <c r="C308" s="513">
        <v>86942706</v>
      </c>
      <c r="D308" s="513">
        <v>85855448</v>
      </c>
      <c r="E308" s="514">
        <f>D308-C308</f>
        <v>-1087258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831</v>
      </c>
      <c r="C310" s="581">
        <f>C306-C308</f>
        <v>0</v>
      </c>
      <c r="D310" s="582">
        <f>D306-D308</f>
        <v>0</v>
      </c>
      <c r="E310" s="580">
        <f>D310-C310</f>
        <v>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832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833</v>
      </c>
      <c r="C314" s="514">
        <f>+C14+C15+C16+C19+C25+C26+C27+C30</f>
        <v>193955564</v>
      </c>
      <c r="D314" s="514">
        <f>+D14+D15+D16+D19+D25+D26+D27+D30</f>
        <v>199383125</v>
      </c>
      <c r="E314" s="514">
        <f>D314-C314</f>
        <v>5427561</v>
      </c>
    </row>
    <row r="315" spans="1:5" x14ac:dyDescent="0.2">
      <c r="A315" s="512">
        <v>2</v>
      </c>
      <c r="B315" s="583" t="s">
        <v>834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835</v>
      </c>
      <c r="C316" s="581">
        <f>C314+C315</f>
        <v>193955564</v>
      </c>
      <c r="D316" s="581">
        <f>D314+D315</f>
        <v>199383125</v>
      </c>
      <c r="E316" s="517">
        <f>D316-C316</f>
        <v>5427561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836</v>
      </c>
      <c r="C318" s="513">
        <v>193955564</v>
      </c>
      <c r="D318" s="513">
        <v>199383125</v>
      </c>
      <c r="E318" s="514">
        <f>D318-C318</f>
        <v>5427561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831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837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838</v>
      </c>
      <c r="C324" s="513">
        <f>+C193+C194</f>
        <v>6313912</v>
      </c>
      <c r="D324" s="513">
        <f>+D193+D194</f>
        <v>6056911</v>
      </c>
      <c r="E324" s="514">
        <f>D324-C324</f>
        <v>-257001</v>
      </c>
    </row>
    <row r="325" spans="1:5" x14ac:dyDescent="0.2">
      <c r="A325" s="512">
        <v>2</v>
      </c>
      <c r="B325" s="511" t="s">
        <v>839</v>
      </c>
      <c r="C325" s="513">
        <v>1691625</v>
      </c>
      <c r="D325" s="513">
        <v>342162</v>
      </c>
      <c r="E325" s="514">
        <f>D325-C325</f>
        <v>-1349463</v>
      </c>
    </row>
    <row r="326" spans="1:5" x14ac:dyDescent="0.2">
      <c r="A326" s="512"/>
      <c r="B326" s="516" t="s">
        <v>840</v>
      </c>
      <c r="C326" s="581">
        <f>C324+C325</f>
        <v>8005537</v>
      </c>
      <c r="D326" s="581">
        <f>D324+D325</f>
        <v>6399073</v>
      </c>
      <c r="E326" s="517">
        <f>D326-C326</f>
        <v>-1606464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841</v>
      </c>
      <c r="C328" s="513">
        <v>8005538</v>
      </c>
      <c r="D328" s="513">
        <v>6399073</v>
      </c>
      <c r="E328" s="514">
        <f>D328-C328</f>
        <v>-1606465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842</v>
      </c>
      <c r="C330" s="581">
        <f>C326-C328</f>
        <v>-1</v>
      </c>
      <c r="D330" s="581">
        <f>D326-D328</f>
        <v>0</v>
      </c>
      <c r="E330" s="517">
        <f>D330-C330</f>
        <v>1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FILING&amp;RWINDHAM COMMUNITY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tabSelected="1"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595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843</v>
      </c>
      <c r="B5" s="696"/>
      <c r="C5" s="697"/>
      <c r="D5" s="585"/>
    </row>
    <row r="6" spans="1:58" s="338" customFormat="1" ht="15.75" customHeight="1" x14ac:dyDescent="0.25">
      <c r="A6" s="695" t="s">
        <v>844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845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846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749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625</v>
      </c>
      <c r="C14" s="513">
        <v>16693012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604</v>
      </c>
      <c r="C15" s="515">
        <v>43834404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750</v>
      </c>
      <c r="C16" s="515">
        <v>11577630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11264038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717</v>
      </c>
      <c r="C18" s="515">
        <v>313592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117471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732</v>
      </c>
      <c r="C20" s="515">
        <v>952163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751</v>
      </c>
      <c r="C21" s="517">
        <f>SUM(C15+C16+C19)</f>
        <v>55529505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691</v>
      </c>
      <c r="C22" s="517">
        <f>SUM(C14+C21)</f>
        <v>72222517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752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625</v>
      </c>
      <c r="C25" s="513">
        <v>60237644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604</v>
      </c>
      <c r="C26" s="515">
        <v>38425421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750</v>
      </c>
      <c r="C27" s="515">
        <v>28060006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27879540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717</v>
      </c>
      <c r="C29" s="515">
        <v>180466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437537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732</v>
      </c>
      <c r="C31" s="518">
        <v>3740586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753</v>
      </c>
      <c r="C32" s="517">
        <f>SUM(C26+C27+C30)</f>
        <v>66922964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697</v>
      </c>
      <c r="C33" s="517">
        <f>SUM(C25+C32)</f>
        <v>127160608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622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847</v>
      </c>
      <c r="C36" s="514">
        <f>SUM(C14+C25)</f>
        <v>76930656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848</v>
      </c>
      <c r="C37" s="518">
        <f>SUM(C21+C32)</f>
        <v>122452469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622</v>
      </c>
      <c r="C38" s="517">
        <f>SUM(+C36+C37)</f>
        <v>199383125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762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625</v>
      </c>
      <c r="C41" s="513">
        <v>9413815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604</v>
      </c>
      <c r="C42" s="515">
        <v>26334949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750</v>
      </c>
      <c r="C43" s="515">
        <v>4282205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4163615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717</v>
      </c>
      <c r="C45" s="515">
        <v>118590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53482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732</v>
      </c>
      <c r="C47" s="515">
        <v>46750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763</v>
      </c>
      <c r="C48" s="517">
        <f>SUM(C42+C43+C46)</f>
        <v>30670636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692</v>
      </c>
      <c r="C49" s="517">
        <f>SUM(C41+C48)</f>
        <v>40084451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764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625</v>
      </c>
      <c r="C52" s="513">
        <v>26079746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604</v>
      </c>
      <c r="C53" s="515">
        <v>9474163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750</v>
      </c>
      <c r="C54" s="515">
        <v>6734502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6706228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717</v>
      </c>
      <c r="C56" s="515">
        <v>28274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134184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732</v>
      </c>
      <c r="C58" s="515">
        <v>122464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765</v>
      </c>
      <c r="C59" s="517">
        <f>SUM(C53+C54+C57)</f>
        <v>16342849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698</v>
      </c>
      <c r="C60" s="517">
        <f>SUM(C52+C59)</f>
        <v>42422595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623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849</v>
      </c>
      <c r="C63" s="514">
        <f>SUM(C41+C52)</f>
        <v>35493561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850</v>
      </c>
      <c r="C64" s="518">
        <f>SUM(C48+C59)</f>
        <v>47013485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623</v>
      </c>
      <c r="C65" s="517">
        <f>SUM(+C63+C64)</f>
        <v>82507046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851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852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625</v>
      </c>
      <c r="C70" s="530">
        <v>1256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604</v>
      </c>
      <c r="C71" s="530">
        <v>2372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750</v>
      </c>
      <c r="C72" s="530">
        <v>1055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1035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717</v>
      </c>
      <c r="C74" s="530">
        <v>20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18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732</v>
      </c>
      <c r="C76" s="545">
        <v>66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780</v>
      </c>
      <c r="C77" s="532">
        <f>SUM(C71+C72+C75)</f>
        <v>3445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694</v>
      </c>
      <c r="C78" s="596">
        <f>SUM(C70+C77)</f>
        <v>4701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785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625</v>
      </c>
      <c r="C81" s="541">
        <v>0.96199999999999997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604</v>
      </c>
      <c r="C82" s="541">
        <v>1.2727999999999999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750</v>
      </c>
      <c r="C83" s="541">
        <f>((C73*C84)+(C74*C85))/(C73+C74)</f>
        <v>0.89272028436018969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0.89670000000000005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717</v>
      </c>
      <c r="C85" s="541">
        <v>0.68676999999999999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0.58850000000000002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732</v>
      </c>
      <c r="C87" s="541">
        <v>1.0567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786</v>
      </c>
      <c r="C88" s="543">
        <f>((C71*C82)+(C73*C84)+(C74*C85)+(C75*C86))/(C71+C73+C74+C75)</f>
        <v>1.1528285921625543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695</v>
      </c>
      <c r="C89" s="543">
        <f>((C70*C81)+(C71*C82)+(C73*C84)+(C74*C85)+(C75*C86))/(C70+C71+C73+C74+C75)</f>
        <v>1.1018435439268239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787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788</v>
      </c>
      <c r="C92" s="513">
        <v>70584617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789</v>
      </c>
      <c r="C93" s="546">
        <v>35324347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637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721</v>
      </c>
      <c r="C95" s="513">
        <f>+C92-C93</f>
        <v>35260270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639</v>
      </c>
      <c r="C96" s="597">
        <f>(+C92-C93)/C92</f>
        <v>0.49954609798336086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736</v>
      </c>
      <c r="C98" s="513">
        <v>79148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722</v>
      </c>
      <c r="C99" s="513">
        <v>42560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853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791</v>
      </c>
      <c r="C103" s="513">
        <v>2956537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792</v>
      </c>
      <c r="C104" s="513">
        <v>3100374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793</v>
      </c>
      <c r="C105" s="578">
        <f>+C103+C104</f>
        <v>6056911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794</v>
      </c>
      <c r="C107" s="513">
        <v>3044239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679</v>
      </c>
      <c r="C108" s="513">
        <v>92639489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824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825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623</v>
      </c>
      <c r="C114" s="514">
        <f>+C65</f>
        <v>82507046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826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827</v>
      </c>
      <c r="C116" s="517">
        <f>+C114+C115</f>
        <v>82507046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828</v>
      </c>
      <c r="C118" s="578">
        <v>3348402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829</v>
      </c>
      <c r="C119" s="580">
        <f>+C116+C118</f>
        <v>85855448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830</v>
      </c>
      <c r="C121" s="513">
        <v>85855448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831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832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833</v>
      </c>
      <c r="C127" s="514">
        <f>+C38</f>
        <v>199383125</v>
      </c>
      <c r="D127" s="588"/>
      <c r="AR127" s="507"/>
    </row>
    <row r="128" spans="1:58" s="506" customFormat="1" x14ac:dyDescent="0.2">
      <c r="A128" s="512">
        <v>2</v>
      </c>
      <c r="B128" s="583" t="s">
        <v>834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835</v>
      </c>
      <c r="C129" s="581">
        <f>C127+C128</f>
        <v>199383125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836</v>
      </c>
      <c r="C131" s="513">
        <v>199383125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831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837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838</v>
      </c>
      <c r="C137" s="513">
        <f>C105</f>
        <v>6056911</v>
      </c>
      <c r="D137" s="588"/>
      <c r="AR137" s="507"/>
    </row>
    <row r="138" spans="1:44" s="506" customFormat="1" x14ac:dyDescent="0.2">
      <c r="A138" s="512">
        <v>2</v>
      </c>
      <c r="B138" s="511" t="s">
        <v>854</v>
      </c>
      <c r="C138" s="513">
        <v>342162</v>
      </c>
      <c r="D138" s="588"/>
      <c r="AR138" s="507"/>
    </row>
    <row r="139" spans="1:44" s="506" customFormat="1" x14ac:dyDescent="0.2">
      <c r="A139" s="512"/>
      <c r="B139" s="516" t="s">
        <v>840</v>
      </c>
      <c r="C139" s="581">
        <f>C137+C138</f>
        <v>6399073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855</v>
      </c>
      <c r="C141" s="513">
        <v>6399073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842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FILING&amp;RWINDHAM COMMUNITY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595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596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856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599</v>
      </c>
      <c r="D8" s="35" t="s">
        <v>599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601</v>
      </c>
      <c r="D9" s="607" t="s">
        <v>602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857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858</v>
      </c>
      <c r="C12" s="49">
        <v>1112</v>
      </c>
      <c r="D12" s="49">
        <v>1334</v>
      </c>
      <c r="E12" s="49">
        <f>+D12-C12</f>
        <v>222</v>
      </c>
      <c r="F12" s="70">
        <f>IF(C12=0,0,+E12/C12)</f>
        <v>0.19964028776978418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859</v>
      </c>
      <c r="C13" s="49">
        <v>1044</v>
      </c>
      <c r="D13" s="49">
        <v>1201</v>
      </c>
      <c r="E13" s="49">
        <f>+D13-C13</f>
        <v>157</v>
      </c>
      <c r="F13" s="70">
        <f>IF(C13=0,0,+E13/C13)</f>
        <v>0.1503831417624521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860</v>
      </c>
      <c r="C15" s="51">
        <v>2446867</v>
      </c>
      <c r="D15" s="51">
        <v>2956537</v>
      </c>
      <c r="E15" s="51">
        <f>+D15-C15</f>
        <v>509670</v>
      </c>
      <c r="F15" s="70">
        <f>IF(C15=0,0,+E15/C15)</f>
        <v>0.20829493388892817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861</v>
      </c>
      <c r="C16" s="27">
        <f>IF(C13=0,0,+C15/+C13)</f>
        <v>2343.742337164751</v>
      </c>
      <c r="D16" s="27">
        <f>IF(D13=0,0,+D15/+D13)</f>
        <v>2461.7293921731889</v>
      </c>
      <c r="E16" s="27">
        <f>+D16-C16</f>
        <v>117.98705500843789</v>
      </c>
      <c r="F16" s="28">
        <f>IF(C16=0,0,+E16/C16)</f>
        <v>5.0341308059984116E-2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862</v>
      </c>
      <c r="C18" s="210">
        <v>0.44904500000000003</v>
      </c>
      <c r="D18" s="210">
        <v>0.46547300000000003</v>
      </c>
      <c r="E18" s="210">
        <f>+D18-C18</f>
        <v>1.6427999999999998E-2</v>
      </c>
      <c r="F18" s="70">
        <f>IF(C18=0,0,+E18/C18)</f>
        <v>3.6584306695320062E-2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863</v>
      </c>
      <c r="C19" s="27">
        <f>+C15*C18</f>
        <v>1098753.3920150001</v>
      </c>
      <c r="D19" s="27">
        <f>+D15*D18</f>
        <v>1376188.1470010001</v>
      </c>
      <c r="E19" s="27">
        <f>+D19-C19</f>
        <v>277434.75498600001</v>
      </c>
      <c r="F19" s="28">
        <f>IF(C19=0,0,+E19/C19)</f>
        <v>0.25249956632872217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864</v>
      </c>
      <c r="C20" s="27">
        <f>IF(C13=0,0,+C19/C13)</f>
        <v>1052.4457777921457</v>
      </c>
      <c r="D20" s="27">
        <f>IF(D13=0,0,+D19/D13)</f>
        <v>1145.8685653630309</v>
      </c>
      <c r="E20" s="27">
        <f>+D20-C20</f>
        <v>93.422787570885248</v>
      </c>
      <c r="F20" s="28">
        <f>IF(C20=0,0,+E20/C20)</f>
        <v>8.8767316608814331E-2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865</v>
      </c>
      <c r="C22" s="51">
        <v>760720</v>
      </c>
      <c r="D22" s="51">
        <v>756840</v>
      </c>
      <c r="E22" s="51">
        <f>+D22-C22</f>
        <v>-3880</v>
      </c>
      <c r="F22" s="70">
        <f>IF(C22=0,0,+E22/C22)</f>
        <v>-5.1004311704700806E-3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866</v>
      </c>
      <c r="C23" s="49">
        <v>849666</v>
      </c>
      <c r="D23" s="49">
        <v>1089823</v>
      </c>
      <c r="E23" s="49">
        <f>+D23-C23</f>
        <v>240157</v>
      </c>
      <c r="F23" s="70">
        <f>IF(C23=0,0,+E23/C23)</f>
        <v>0.28264871137599951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867</v>
      </c>
      <c r="C24" s="49">
        <v>836481</v>
      </c>
      <c r="D24" s="49">
        <v>1109874</v>
      </c>
      <c r="E24" s="49">
        <f>+D24-C24</f>
        <v>273393</v>
      </c>
      <c r="F24" s="70">
        <f>IF(C24=0,0,+E24/C24)</f>
        <v>0.3268370710153608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860</v>
      </c>
      <c r="C25" s="27">
        <f>+C22+C23+C24</f>
        <v>2446867</v>
      </c>
      <c r="D25" s="27">
        <f>+D22+D23+D24</f>
        <v>2956537</v>
      </c>
      <c r="E25" s="27">
        <f>+E22+E23+E24</f>
        <v>509670</v>
      </c>
      <c r="F25" s="28">
        <f>IF(C25=0,0,+E25/C25)</f>
        <v>0.20829493388892817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868</v>
      </c>
      <c r="C27" s="49">
        <v>212</v>
      </c>
      <c r="D27" s="49">
        <v>197</v>
      </c>
      <c r="E27" s="49">
        <f>+D27-C27</f>
        <v>-15</v>
      </c>
      <c r="F27" s="70">
        <f>IF(C27=0,0,+E27/C27)</f>
        <v>-7.0754716981132074E-2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869</v>
      </c>
      <c r="C28" s="49">
        <v>57</v>
      </c>
      <c r="D28" s="49">
        <v>67</v>
      </c>
      <c r="E28" s="49">
        <f>+D28-C28</f>
        <v>10</v>
      </c>
      <c r="F28" s="70">
        <f>IF(C28=0,0,+E28/C28)</f>
        <v>0.17543859649122806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870</v>
      </c>
      <c r="C29" s="49">
        <v>655</v>
      </c>
      <c r="D29" s="49">
        <v>903</v>
      </c>
      <c r="E29" s="49">
        <f>+D29-C29</f>
        <v>248</v>
      </c>
      <c r="F29" s="70">
        <f>IF(C29=0,0,+E29/C29)</f>
        <v>0.37862595419847328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871</v>
      </c>
      <c r="C30" s="49">
        <v>1715</v>
      </c>
      <c r="D30" s="49">
        <v>1641</v>
      </c>
      <c r="E30" s="49">
        <f>+D30-C30</f>
        <v>-74</v>
      </c>
      <c r="F30" s="70">
        <f>IF(C30=0,0,+E30/C30)</f>
        <v>-4.3148688046647232E-2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872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873</v>
      </c>
      <c r="C33" s="51">
        <v>758451</v>
      </c>
      <c r="D33" s="51">
        <v>468666</v>
      </c>
      <c r="E33" s="51">
        <f>+D33-C33</f>
        <v>-289785</v>
      </c>
      <c r="F33" s="70">
        <f>IF(C33=0,0,+E33/C33)</f>
        <v>-0.38207478136359502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874</v>
      </c>
      <c r="C34" s="49">
        <v>1002945</v>
      </c>
      <c r="D34" s="49">
        <v>773530</v>
      </c>
      <c r="E34" s="49">
        <f>+D34-C34</f>
        <v>-229415</v>
      </c>
      <c r="F34" s="70">
        <f>IF(C34=0,0,+E34/C34)</f>
        <v>-0.22874135670450524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875</v>
      </c>
      <c r="C35" s="49">
        <v>2105649</v>
      </c>
      <c r="D35" s="49">
        <v>1858178</v>
      </c>
      <c r="E35" s="49">
        <f>+D35-C35</f>
        <v>-247471</v>
      </c>
      <c r="F35" s="70">
        <f>IF(C35=0,0,+E35/C35)</f>
        <v>-0.11752718520513153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876</v>
      </c>
      <c r="C36" s="27">
        <f>+C33+C34+C35</f>
        <v>3867045</v>
      </c>
      <c r="D36" s="27">
        <f>+D33+D34+D35</f>
        <v>3100374</v>
      </c>
      <c r="E36" s="27">
        <f>+E33+E34+E35</f>
        <v>-766671</v>
      </c>
      <c r="F36" s="28">
        <f>IF(C36=0,0,+E36/C36)</f>
        <v>-0.19825758427946921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877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878</v>
      </c>
      <c r="C39" s="51">
        <f>+C25</f>
        <v>2446867</v>
      </c>
      <c r="D39" s="51">
        <f>+D25</f>
        <v>2956537</v>
      </c>
      <c r="E39" s="51">
        <f>+D39-C39</f>
        <v>509670</v>
      </c>
      <c r="F39" s="70">
        <f>IF(C39=0,0,+E39/C39)</f>
        <v>0.20829493388892817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879</v>
      </c>
      <c r="C40" s="49">
        <f>+C36</f>
        <v>3867045</v>
      </c>
      <c r="D40" s="49">
        <f>+D36</f>
        <v>3100374</v>
      </c>
      <c r="E40" s="49">
        <f>+D40-C40</f>
        <v>-766671</v>
      </c>
      <c r="F40" s="70">
        <f>IF(C40=0,0,+E40/C40)</f>
        <v>-0.19825758427946921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880</v>
      </c>
      <c r="C41" s="27">
        <f>+C39+C40</f>
        <v>6313912</v>
      </c>
      <c r="D41" s="27">
        <f>+D39+D40</f>
        <v>6056911</v>
      </c>
      <c r="E41" s="27">
        <f>+E39+E40</f>
        <v>-257001</v>
      </c>
      <c r="F41" s="28">
        <f>IF(C41=0,0,+E41/C41)</f>
        <v>-4.0703924920081243E-2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881</v>
      </c>
      <c r="C43" s="51">
        <f t="shared" ref="C43:D45" si="0">+C22+C33</f>
        <v>1519171</v>
      </c>
      <c r="D43" s="51">
        <f t="shared" si="0"/>
        <v>1225506</v>
      </c>
      <c r="E43" s="51">
        <f>+D43-C43</f>
        <v>-293665</v>
      </c>
      <c r="F43" s="70">
        <f>IF(C43=0,0,+E43/C43)</f>
        <v>-0.19330608601664986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882</v>
      </c>
      <c r="C44" s="49">
        <f t="shared" si="0"/>
        <v>1852611</v>
      </c>
      <c r="D44" s="49">
        <f t="shared" si="0"/>
        <v>1863353</v>
      </c>
      <c r="E44" s="49">
        <f>+D44-C44</f>
        <v>10742</v>
      </c>
      <c r="F44" s="70">
        <f>IF(C44=0,0,+E44/C44)</f>
        <v>5.798303043650286E-3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883</v>
      </c>
      <c r="C45" s="49">
        <f t="shared" si="0"/>
        <v>2942130</v>
      </c>
      <c r="D45" s="49">
        <f t="shared" si="0"/>
        <v>2968052</v>
      </c>
      <c r="E45" s="49">
        <f>+D45-C45</f>
        <v>25922</v>
      </c>
      <c r="F45" s="70">
        <f>IF(C45=0,0,+E45/C45)</f>
        <v>8.8106235958302324E-3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880</v>
      </c>
      <c r="C46" s="27">
        <f>+C43+C44+C45</f>
        <v>6313912</v>
      </c>
      <c r="D46" s="27">
        <f>+D43+D44+D45</f>
        <v>6056911</v>
      </c>
      <c r="E46" s="27">
        <f>+E43+E44+E45</f>
        <v>-257001</v>
      </c>
      <c r="F46" s="28">
        <f>IF(C46=0,0,+E46/C46)</f>
        <v>-4.0703924920081243E-2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884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FILING&amp;RWINDHAM COMMUNITY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595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596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885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886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601</v>
      </c>
      <c r="D9" s="35" t="s">
        <v>602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887</v>
      </c>
      <c r="D10" s="35" t="s">
        <v>887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888</v>
      </c>
      <c r="D11" s="605" t="s">
        <v>888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889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67897196</v>
      </c>
      <c r="D15" s="51">
        <v>70584617</v>
      </c>
      <c r="E15" s="51">
        <f>+D15-C15</f>
        <v>2687421</v>
      </c>
      <c r="F15" s="70">
        <f>+E15/C15</f>
        <v>3.9580736147042064E-2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506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890</v>
      </c>
      <c r="C17" s="51">
        <v>34194802</v>
      </c>
      <c r="D17" s="51">
        <v>35260270</v>
      </c>
      <c r="E17" s="51">
        <f>+D17-C17</f>
        <v>1065468</v>
      </c>
      <c r="F17" s="70">
        <f>+E17/C17</f>
        <v>3.1158770856459413E-2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891</v>
      </c>
      <c r="C19" s="27">
        <f>+C15-C17</f>
        <v>33702394</v>
      </c>
      <c r="D19" s="27">
        <f>+D15-D17</f>
        <v>35324347</v>
      </c>
      <c r="E19" s="27">
        <f>+D19-C19</f>
        <v>1621953</v>
      </c>
      <c r="F19" s="28">
        <f>+E19/C19</f>
        <v>4.8125750354707737E-2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892</v>
      </c>
      <c r="C21" s="628">
        <f>+C17/C15</f>
        <v>0.50362612912615712</v>
      </c>
      <c r="D21" s="628">
        <f>+D17/D15</f>
        <v>0.49954609798336086</v>
      </c>
      <c r="E21" s="628">
        <f>+D21-C21</f>
        <v>-4.0800311427962588E-3</v>
      </c>
      <c r="F21" s="28">
        <f>+E21/C21</f>
        <v>-8.1013094969387914E-3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506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506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506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506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893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FILING&amp;R&amp;12WINDHAM COMMUNITY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abSelected="1" zoomScale="75" workbookViewId="0"/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894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895</v>
      </c>
      <c r="B6" s="632" t="s">
        <v>896</v>
      </c>
      <c r="C6" s="632" t="s">
        <v>897</v>
      </c>
      <c r="D6" s="632" t="s">
        <v>898</v>
      </c>
      <c r="E6" s="632" t="s">
        <v>899</v>
      </c>
    </row>
    <row r="7" spans="1:6" ht="37.5" customHeight="1" x14ac:dyDescent="0.25">
      <c r="A7" s="633" t="s">
        <v>8</v>
      </c>
      <c r="B7" s="634" t="s">
        <v>900</v>
      </c>
      <c r="C7" s="631" t="s">
        <v>901</v>
      </c>
      <c r="D7" s="631" t="s">
        <v>902</v>
      </c>
      <c r="E7" s="631" t="s">
        <v>903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904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905</v>
      </c>
      <c r="C10" s="641">
        <v>72446212</v>
      </c>
      <c r="D10" s="641">
        <v>73484780</v>
      </c>
      <c r="E10" s="641">
        <v>72222517</v>
      </c>
    </row>
    <row r="11" spans="1:6" ht="26.1" customHeight="1" x14ac:dyDescent="0.25">
      <c r="A11" s="639">
        <v>2</v>
      </c>
      <c r="B11" s="640" t="s">
        <v>906</v>
      </c>
      <c r="C11" s="641">
        <v>117737661</v>
      </c>
      <c r="D11" s="641">
        <v>120470784</v>
      </c>
      <c r="E11" s="641">
        <v>127160608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190183873</v>
      </c>
      <c r="D12" s="641">
        <f>+D11+D10</f>
        <v>193955564</v>
      </c>
      <c r="E12" s="641">
        <f>+E11+E10</f>
        <v>199383125</v>
      </c>
    </row>
    <row r="13" spans="1:6" ht="26.1" customHeight="1" x14ac:dyDescent="0.25">
      <c r="A13" s="639">
        <v>4</v>
      </c>
      <c r="B13" s="640" t="s">
        <v>483</v>
      </c>
      <c r="C13" s="641">
        <v>83605148</v>
      </c>
      <c r="D13" s="641">
        <v>86942706</v>
      </c>
      <c r="E13" s="641">
        <v>85855448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907</v>
      </c>
      <c r="C16" s="641">
        <v>85401157</v>
      </c>
      <c r="D16" s="641">
        <v>91501818</v>
      </c>
      <c r="E16" s="641">
        <v>92639489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908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20696</v>
      </c>
      <c r="D19" s="644">
        <v>20850</v>
      </c>
      <c r="E19" s="644">
        <v>19996</v>
      </c>
    </row>
    <row r="20" spans="1:5" ht="26.1" customHeight="1" x14ac:dyDescent="0.25">
      <c r="A20" s="639">
        <v>2</v>
      </c>
      <c r="B20" s="640" t="s">
        <v>373</v>
      </c>
      <c r="C20" s="645">
        <v>5343</v>
      </c>
      <c r="D20" s="645">
        <v>5100</v>
      </c>
      <c r="E20" s="645">
        <v>4701</v>
      </c>
    </row>
    <row r="21" spans="1:5" ht="26.1" customHeight="1" x14ac:dyDescent="0.25">
      <c r="A21" s="639">
        <v>3</v>
      </c>
      <c r="B21" s="640" t="s">
        <v>909</v>
      </c>
      <c r="C21" s="646">
        <f>IF(C20=0,0,+C19/C20)</f>
        <v>3.8734793187347933</v>
      </c>
      <c r="D21" s="646">
        <f>IF(D20=0,0,+D19/D20)</f>
        <v>4.0882352941176467</v>
      </c>
      <c r="E21" s="646">
        <f>IF(E20=0,0,+E19/E20)</f>
        <v>4.2535630716868749</v>
      </c>
    </row>
    <row r="22" spans="1:5" ht="26.1" customHeight="1" x14ac:dyDescent="0.25">
      <c r="A22" s="639">
        <v>4</v>
      </c>
      <c r="B22" s="640" t="s">
        <v>910</v>
      </c>
      <c r="C22" s="645">
        <f>IF(C10=0,0,C19*(C12/C10))</f>
        <v>54330.589922465515</v>
      </c>
      <c r="D22" s="645">
        <f>IF(D10=0,0,D19*(D12/D10))</f>
        <v>55031.443373716291</v>
      </c>
      <c r="E22" s="645">
        <f>IF(E10=0,0,E19*(E12/E10))</f>
        <v>55202.520392635997</v>
      </c>
    </row>
    <row r="23" spans="1:5" ht="26.1" customHeight="1" x14ac:dyDescent="0.25">
      <c r="A23" s="639">
        <v>0</v>
      </c>
      <c r="B23" s="640" t="s">
        <v>911</v>
      </c>
      <c r="C23" s="645">
        <f>IF(C10=0,0,C20*(C12/C10))</f>
        <v>14026.301795309879</v>
      </c>
      <c r="D23" s="645">
        <f>IF(D10=0,0,D20*(D12/D10))</f>
        <v>13460.928595009742</v>
      </c>
      <c r="E23" s="645">
        <f>IF(E10=0,0,E20*(E12/E10))</f>
        <v>12977.948007890669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912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1.0200832603406325</v>
      </c>
      <c r="D26" s="647">
        <v>1.0366803529411766</v>
      </c>
      <c r="E26" s="647">
        <v>1.1018435439268242</v>
      </c>
    </row>
    <row r="27" spans="1:5" ht="26.1" customHeight="1" x14ac:dyDescent="0.25">
      <c r="A27" s="639">
        <v>2</v>
      </c>
      <c r="B27" s="640" t="s">
        <v>913</v>
      </c>
      <c r="C27" s="645">
        <f>C19*C26</f>
        <v>21111.64315600973</v>
      </c>
      <c r="D27" s="645">
        <f>D19*D26</f>
        <v>21614.78535882353</v>
      </c>
      <c r="E27" s="645">
        <f>E19*E26</f>
        <v>22032.463504360774</v>
      </c>
    </row>
    <row r="28" spans="1:5" ht="26.1" customHeight="1" x14ac:dyDescent="0.25">
      <c r="A28" s="639">
        <v>3</v>
      </c>
      <c r="B28" s="640" t="s">
        <v>914</v>
      </c>
      <c r="C28" s="645">
        <f>C20*C26</f>
        <v>5450.3048599999993</v>
      </c>
      <c r="D28" s="645">
        <f>D20*D26</f>
        <v>5287.0698000000002</v>
      </c>
      <c r="E28" s="645">
        <f>E20*E26</f>
        <v>5179.7665000000006</v>
      </c>
    </row>
    <row r="29" spans="1:5" ht="26.1" customHeight="1" x14ac:dyDescent="0.25">
      <c r="A29" s="639">
        <v>4</v>
      </c>
      <c r="B29" s="640" t="s">
        <v>915</v>
      </c>
      <c r="C29" s="645">
        <f>C22*C26</f>
        <v>55421.725304338535</v>
      </c>
      <c r="D29" s="645">
        <f>D22*D26</f>
        <v>57050.016139526575</v>
      </c>
      <c r="E29" s="645">
        <f>E22*E26</f>
        <v>60824.540703114828</v>
      </c>
    </row>
    <row r="30" spans="1:5" ht="26.1" customHeight="1" x14ac:dyDescent="0.25">
      <c r="A30" s="639">
        <v>5</v>
      </c>
      <c r="B30" s="640" t="s">
        <v>916</v>
      </c>
      <c r="C30" s="645">
        <f>C23*C26</f>
        <v>14307.995665881368</v>
      </c>
      <c r="D30" s="645">
        <f>D23*D26</f>
        <v>13954.680206790676</v>
      </c>
      <c r="E30" s="645">
        <f>E23*E26</f>
        <v>14299.668225912323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917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918</v>
      </c>
      <c r="C33" s="641">
        <f>IF(C19=0,0,C12/C19)</f>
        <v>9189.4024449168919</v>
      </c>
      <c r="D33" s="641">
        <f>IF(D19=0,0,D12/D19)</f>
        <v>9302.4251318944844</v>
      </c>
      <c r="E33" s="641">
        <f>IF(E19=0,0,E12/E19)</f>
        <v>9971.1504800960192</v>
      </c>
    </row>
    <row r="34" spans="1:5" ht="26.1" customHeight="1" x14ac:dyDescent="0.25">
      <c r="A34" s="639">
        <v>2</v>
      </c>
      <c r="B34" s="640" t="s">
        <v>919</v>
      </c>
      <c r="C34" s="641">
        <f>IF(C20=0,0,C12/C20)</f>
        <v>35594.960321916529</v>
      </c>
      <c r="D34" s="641">
        <f>IF(D20=0,0,D12/D20)</f>
        <v>38030.502745098041</v>
      </c>
      <c r="E34" s="641">
        <f>IF(E20=0,0,E12/E20)</f>
        <v>42412.917464369282</v>
      </c>
    </row>
    <row r="35" spans="1:5" ht="26.1" customHeight="1" x14ac:dyDescent="0.25">
      <c r="A35" s="639">
        <v>3</v>
      </c>
      <c r="B35" s="640" t="s">
        <v>920</v>
      </c>
      <c r="C35" s="641">
        <f>IF(C22=0,0,C12/C22)</f>
        <v>3500.4934286818707</v>
      </c>
      <c r="D35" s="641">
        <f>IF(D22=0,0,D12/D22)</f>
        <v>3524.4498800959236</v>
      </c>
      <c r="E35" s="641">
        <f>IF(E22=0,0,E12/E22)</f>
        <v>3611.8482196439286</v>
      </c>
    </row>
    <row r="36" spans="1:5" ht="26.1" customHeight="1" x14ac:dyDescent="0.25">
      <c r="A36" s="639">
        <v>4</v>
      </c>
      <c r="B36" s="640" t="s">
        <v>921</v>
      </c>
      <c r="C36" s="641">
        <f>IF(C23=0,0,C12/C23)</f>
        <v>13559.088901366273</v>
      </c>
      <c r="D36" s="641">
        <f>IF(D23=0,0,D12/D23)</f>
        <v>14408.780392156863</v>
      </c>
      <c r="E36" s="641">
        <f>IF(E23=0,0,E12/E23)</f>
        <v>15363.224207615402</v>
      </c>
    </row>
    <row r="37" spans="1:5" ht="26.1" customHeight="1" x14ac:dyDescent="0.25">
      <c r="A37" s="639">
        <v>5</v>
      </c>
      <c r="B37" s="640" t="s">
        <v>922</v>
      </c>
      <c r="C37" s="641">
        <f>IF(C29=0,0,C12/C29)</f>
        <v>3431.5761906660091</v>
      </c>
      <c r="D37" s="641">
        <f>IF(D29=0,0,D12/D29)</f>
        <v>3399.7459970150594</v>
      </c>
      <c r="E37" s="641">
        <f>IF(E29=0,0,E12/E29)</f>
        <v>3278.0046128616236</v>
      </c>
    </row>
    <row r="38" spans="1:5" ht="26.1" customHeight="1" x14ac:dyDescent="0.25">
      <c r="A38" s="639">
        <v>6</v>
      </c>
      <c r="B38" s="640" t="s">
        <v>923</v>
      </c>
      <c r="C38" s="641">
        <f>IF(C30=0,0,C12/C30)</f>
        <v>13292.13940520751</v>
      </c>
      <c r="D38" s="641">
        <f>IF(D30=0,0,D12/D30)</f>
        <v>13898.961576032152</v>
      </c>
      <c r="E38" s="641">
        <f>IF(E30=0,0,E12/E30)</f>
        <v>13943.199370087434</v>
      </c>
    </row>
    <row r="39" spans="1:5" ht="26.1" customHeight="1" x14ac:dyDescent="0.25">
      <c r="A39" s="639">
        <v>7</v>
      </c>
      <c r="B39" s="640" t="s">
        <v>924</v>
      </c>
      <c r="C39" s="641">
        <f>IF(C22=0,0,C10/C22)</f>
        <v>1333.4331930388951</v>
      </c>
      <c r="D39" s="641">
        <f>IF(D22=0,0,D10/D22)</f>
        <v>1335.3235077075456</v>
      </c>
      <c r="E39" s="641">
        <f>IF(E22=0,0,E10/E22)</f>
        <v>1308.3191942379947</v>
      </c>
    </row>
    <row r="40" spans="1:5" ht="26.1" customHeight="1" x14ac:dyDescent="0.25">
      <c r="A40" s="639">
        <v>8</v>
      </c>
      <c r="B40" s="640" t="s">
        <v>925</v>
      </c>
      <c r="C40" s="641">
        <f>IF(C23=0,0,C10/C23)</f>
        <v>5165.0258961506588</v>
      </c>
      <c r="D40" s="641">
        <f>IF(D23=0,0,D10/D23)</f>
        <v>5459.1166932749647</v>
      </c>
      <c r="E40" s="641">
        <f>IF(E23=0,0,E10/E23)</f>
        <v>5565.0182105898621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926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927</v>
      </c>
      <c r="C43" s="641">
        <f>IF(C19=0,0,C13/C19)</f>
        <v>4039.6766524932355</v>
      </c>
      <c r="D43" s="641">
        <f>IF(D19=0,0,D13/D19)</f>
        <v>4169.9139568345327</v>
      </c>
      <c r="E43" s="641">
        <f>IF(E19=0,0,E13/E19)</f>
        <v>4293.6311262252448</v>
      </c>
    </row>
    <row r="44" spans="1:5" ht="26.1" customHeight="1" x14ac:dyDescent="0.25">
      <c r="A44" s="639">
        <v>2</v>
      </c>
      <c r="B44" s="640" t="s">
        <v>928</v>
      </c>
      <c r="C44" s="641">
        <f>IF(C20=0,0,C13/C20)</f>
        <v>15647.603967808347</v>
      </c>
      <c r="D44" s="641">
        <f>IF(D20=0,0,D13/D20)</f>
        <v>17047.589411764708</v>
      </c>
      <c r="E44" s="641">
        <f>IF(E20=0,0,E13/E20)</f>
        <v>18263.23080195703</v>
      </c>
    </row>
    <row r="45" spans="1:5" ht="26.1" customHeight="1" x14ac:dyDescent="0.25">
      <c r="A45" s="639">
        <v>3</v>
      </c>
      <c r="B45" s="640" t="s">
        <v>929</v>
      </c>
      <c r="C45" s="641">
        <f>IF(C22=0,0,C13/C22)</f>
        <v>1538.8227537987684</v>
      </c>
      <c r="D45" s="641">
        <f>IF(D22=0,0,D13/D22)</f>
        <v>1579.8732628104196</v>
      </c>
      <c r="E45" s="641">
        <f>IF(E22=0,0,E13/E22)</f>
        <v>1555.2813058052527</v>
      </c>
    </row>
    <row r="46" spans="1:5" ht="26.1" customHeight="1" x14ac:dyDescent="0.25">
      <c r="A46" s="639">
        <v>4</v>
      </c>
      <c r="B46" s="640" t="s">
        <v>930</v>
      </c>
      <c r="C46" s="641">
        <f>IF(C23=0,0,C13/C23)</f>
        <v>5960.598112038052</v>
      </c>
      <c r="D46" s="641">
        <f>IF(D23=0,0,D13/D23)</f>
        <v>6458.8936332543617</v>
      </c>
      <c r="E46" s="641">
        <f>IF(E23=0,0,E13/E23)</f>
        <v>6615.487128458165</v>
      </c>
    </row>
    <row r="47" spans="1:5" ht="26.1" customHeight="1" x14ac:dyDescent="0.25">
      <c r="A47" s="639">
        <v>5</v>
      </c>
      <c r="B47" s="640" t="s">
        <v>931</v>
      </c>
      <c r="C47" s="641">
        <f>IF(C29=0,0,C13/C29)</f>
        <v>1508.5266209396625</v>
      </c>
      <c r="D47" s="641">
        <f>IF(D29=0,0,D13/D29)</f>
        <v>1523.9733813109749</v>
      </c>
      <c r="E47" s="641">
        <f>IF(E29=0,0,E13/E29)</f>
        <v>1411.5264498101394</v>
      </c>
    </row>
    <row r="48" spans="1:5" ht="26.1" customHeight="1" x14ac:dyDescent="0.25">
      <c r="A48" s="639">
        <v>6</v>
      </c>
      <c r="B48" s="640" t="s">
        <v>932</v>
      </c>
      <c r="C48" s="641">
        <f>IF(C30=0,0,C13/C30)</f>
        <v>5843.246667970664</v>
      </c>
      <c r="D48" s="641">
        <f>IF(D30=0,0,D13/D30)</f>
        <v>6230.3617647713372</v>
      </c>
      <c r="E48" s="641">
        <f>IF(E30=0,0,E13/E30)</f>
        <v>6004.0167816216872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933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934</v>
      </c>
      <c r="C51" s="641">
        <f>IF(C19=0,0,C16/C19)</f>
        <v>4126.4571414766142</v>
      </c>
      <c r="D51" s="641">
        <f>IF(D19=0,0,D16/D19)</f>
        <v>4388.5764028776975</v>
      </c>
      <c r="E51" s="641">
        <f>IF(E19=0,0,E16/E19)</f>
        <v>4632.9010302060415</v>
      </c>
    </row>
    <row r="52" spans="1:6" ht="26.1" customHeight="1" x14ac:dyDescent="0.25">
      <c r="A52" s="639">
        <v>2</v>
      </c>
      <c r="B52" s="640" t="s">
        <v>935</v>
      </c>
      <c r="C52" s="641">
        <f>IF(C20=0,0,C16/C20)</f>
        <v>15983.746397155157</v>
      </c>
      <c r="D52" s="641">
        <f>IF(D20=0,0,D16/D20)</f>
        <v>17941.532941176472</v>
      </c>
      <c r="E52" s="641">
        <f>IF(E20=0,0,E16/E20)</f>
        <v>19706.336736864498</v>
      </c>
    </row>
    <row r="53" spans="1:6" ht="26.1" customHeight="1" x14ac:dyDescent="0.25">
      <c r="A53" s="639">
        <v>3</v>
      </c>
      <c r="B53" s="640" t="s">
        <v>936</v>
      </c>
      <c r="C53" s="641">
        <f>IF(C22=0,0,C16/C22)</f>
        <v>1571.8798032908328</v>
      </c>
      <c r="D53" s="641">
        <f>IF(D22=0,0,D16/D22)</f>
        <v>1662.7188456354829</v>
      </c>
      <c r="E53" s="641">
        <f>IF(E22=0,0,E16/E22)</f>
        <v>1678.1749880456198</v>
      </c>
    </row>
    <row r="54" spans="1:6" ht="26.1" customHeight="1" x14ac:dyDescent="0.25">
      <c r="A54" s="639">
        <v>4</v>
      </c>
      <c r="B54" s="640" t="s">
        <v>937</v>
      </c>
      <c r="C54" s="641">
        <f>IF(C23=0,0,C16/C23)</f>
        <v>6088.643909583956</v>
      </c>
      <c r="D54" s="641">
        <f>IF(D23=0,0,D16/D23)</f>
        <v>6797.5858689215329</v>
      </c>
      <c r="E54" s="641">
        <f>IF(E23=0,0,E16/E23)</f>
        <v>7138.2231569794121</v>
      </c>
    </row>
    <row r="55" spans="1:6" ht="26.1" customHeight="1" x14ac:dyDescent="0.25">
      <c r="A55" s="639">
        <v>5</v>
      </c>
      <c r="B55" s="640" t="s">
        <v>938</v>
      </c>
      <c r="C55" s="641">
        <f>IF(C29=0,0,C16/C29)</f>
        <v>1540.9328477421941</v>
      </c>
      <c r="D55" s="641">
        <f>IF(D29=0,0,D16/D29)</f>
        <v>1603.8876794743589</v>
      </c>
      <c r="E55" s="641">
        <f>IF(E29=0,0,E16/E29)</f>
        <v>1523.0610528104805</v>
      </c>
    </row>
    <row r="56" spans="1:6" ht="26.1" customHeight="1" x14ac:dyDescent="0.25">
      <c r="A56" s="639">
        <v>6</v>
      </c>
      <c r="B56" s="640" t="s">
        <v>939</v>
      </c>
      <c r="C56" s="641">
        <f>IF(C30=0,0,C16/C30)</f>
        <v>5968.7715172884991</v>
      </c>
      <c r="D56" s="641">
        <f>IF(D30=0,0,D16/D30)</f>
        <v>6557.0702190275251</v>
      </c>
      <c r="E56" s="641">
        <f>IF(E30=0,0,E16/E30)</f>
        <v>6478.4362501591941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940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941</v>
      </c>
      <c r="C59" s="649">
        <v>15137005</v>
      </c>
      <c r="D59" s="649">
        <v>12409863</v>
      </c>
      <c r="E59" s="649">
        <v>12572579</v>
      </c>
    </row>
    <row r="60" spans="1:6" ht="26.1" customHeight="1" x14ac:dyDescent="0.25">
      <c r="A60" s="639">
        <v>2</v>
      </c>
      <c r="B60" s="640" t="s">
        <v>942</v>
      </c>
      <c r="C60" s="649">
        <v>5158691</v>
      </c>
      <c r="D60" s="649">
        <v>4602323</v>
      </c>
      <c r="E60" s="649">
        <v>4891166</v>
      </c>
    </row>
    <row r="61" spans="1:6" ht="26.1" customHeight="1" x14ac:dyDescent="0.25">
      <c r="A61" s="650">
        <v>3</v>
      </c>
      <c r="B61" s="651" t="s">
        <v>943</v>
      </c>
      <c r="C61" s="652">
        <f>C59+C60</f>
        <v>20295696</v>
      </c>
      <c r="D61" s="652">
        <f>D59+D60</f>
        <v>17012186</v>
      </c>
      <c r="E61" s="652">
        <f>E59+E60</f>
        <v>17463745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944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945</v>
      </c>
      <c r="C64" s="641">
        <v>127711</v>
      </c>
      <c r="D64" s="641">
        <v>887642</v>
      </c>
      <c r="E64" s="649">
        <v>2054798</v>
      </c>
      <c r="F64" s="653"/>
    </row>
    <row r="65" spans="1:6" ht="26.1" customHeight="1" x14ac:dyDescent="0.25">
      <c r="A65" s="639">
        <v>2</v>
      </c>
      <c r="B65" s="640" t="s">
        <v>946</v>
      </c>
      <c r="C65" s="649">
        <v>43524</v>
      </c>
      <c r="D65" s="649">
        <v>329191</v>
      </c>
      <c r="E65" s="649">
        <v>799387</v>
      </c>
      <c r="F65" s="653"/>
    </row>
    <row r="66" spans="1:6" ht="26.1" customHeight="1" x14ac:dyDescent="0.25">
      <c r="A66" s="650">
        <v>3</v>
      </c>
      <c r="B66" s="651" t="s">
        <v>947</v>
      </c>
      <c r="C66" s="654">
        <f>C64+C65</f>
        <v>171235</v>
      </c>
      <c r="D66" s="654">
        <f>D64+D65</f>
        <v>1216833</v>
      </c>
      <c r="E66" s="654">
        <f>E64+E65</f>
        <v>2854185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948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949</v>
      </c>
      <c r="C69" s="649">
        <v>21833969</v>
      </c>
      <c r="D69" s="649">
        <v>26003628</v>
      </c>
      <c r="E69" s="649">
        <v>26718419</v>
      </c>
    </row>
    <row r="70" spans="1:6" ht="26.1" customHeight="1" x14ac:dyDescent="0.25">
      <c r="A70" s="639">
        <v>2</v>
      </c>
      <c r="B70" s="640" t="s">
        <v>950</v>
      </c>
      <c r="C70" s="649">
        <v>7444319</v>
      </c>
      <c r="D70" s="649">
        <v>9643709</v>
      </c>
      <c r="E70" s="649">
        <v>10394386</v>
      </c>
    </row>
    <row r="71" spans="1:6" ht="26.1" customHeight="1" x14ac:dyDescent="0.25">
      <c r="A71" s="650">
        <v>3</v>
      </c>
      <c r="B71" s="651" t="s">
        <v>951</v>
      </c>
      <c r="C71" s="652">
        <f>C69+C70</f>
        <v>29278288</v>
      </c>
      <c r="D71" s="652">
        <f>D69+D70</f>
        <v>35647337</v>
      </c>
      <c r="E71" s="652">
        <f>E69+E70</f>
        <v>37112805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952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953</v>
      </c>
      <c r="C75" s="641">
        <f t="shared" ref="C75:E76" si="0">+C59+C64+C69</f>
        <v>37098685</v>
      </c>
      <c r="D75" s="641">
        <f t="shared" si="0"/>
        <v>39301133</v>
      </c>
      <c r="E75" s="641">
        <f t="shared" si="0"/>
        <v>41345796</v>
      </c>
    </row>
    <row r="76" spans="1:6" ht="26.1" customHeight="1" x14ac:dyDescent="0.25">
      <c r="A76" s="639">
        <v>2</v>
      </c>
      <c r="B76" s="640" t="s">
        <v>954</v>
      </c>
      <c r="C76" s="641">
        <f t="shared" si="0"/>
        <v>12646534</v>
      </c>
      <c r="D76" s="641">
        <f t="shared" si="0"/>
        <v>14575223</v>
      </c>
      <c r="E76" s="641">
        <f t="shared" si="0"/>
        <v>16084939</v>
      </c>
    </row>
    <row r="77" spans="1:6" ht="26.1" customHeight="1" x14ac:dyDescent="0.25">
      <c r="A77" s="650">
        <v>3</v>
      </c>
      <c r="B77" s="651" t="s">
        <v>952</v>
      </c>
      <c r="C77" s="654">
        <f>C75+C76</f>
        <v>49745219</v>
      </c>
      <c r="D77" s="654">
        <f>D75+D76</f>
        <v>53876356</v>
      </c>
      <c r="E77" s="654">
        <f>E75+E76</f>
        <v>57430735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955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582</v>
      </c>
      <c r="C80" s="646">
        <v>219</v>
      </c>
      <c r="D80" s="646">
        <v>215.4</v>
      </c>
      <c r="E80" s="646">
        <v>208.6</v>
      </c>
    </row>
    <row r="81" spans="1:5" ht="26.1" customHeight="1" x14ac:dyDescent="0.25">
      <c r="A81" s="639">
        <v>2</v>
      </c>
      <c r="B81" s="640" t="s">
        <v>583</v>
      </c>
      <c r="C81" s="646">
        <v>1.1000000000000001</v>
      </c>
      <c r="D81" s="646">
        <v>4.5</v>
      </c>
      <c r="E81" s="646">
        <v>9.3000000000000007</v>
      </c>
    </row>
    <row r="82" spans="1:5" ht="26.1" customHeight="1" x14ac:dyDescent="0.25">
      <c r="A82" s="639">
        <v>3</v>
      </c>
      <c r="B82" s="640" t="s">
        <v>956</v>
      </c>
      <c r="C82" s="646">
        <v>387.9</v>
      </c>
      <c r="D82" s="646">
        <v>383.5</v>
      </c>
      <c r="E82" s="646">
        <v>389.6</v>
      </c>
    </row>
    <row r="83" spans="1:5" ht="26.1" customHeight="1" x14ac:dyDescent="0.25">
      <c r="A83" s="650">
        <v>4</v>
      </c>
      <c r="B83" s="651" t="s">
        <v>955</v>
      </c>
      <c r="C83" s="656">
        <f>C80+C81+C82</f>
        <v>608</v>
      </c>
      <c r="D83" s="656">
        <f>D80+D81+D82</f>
        <v>603.4</v>
      </c>
      <c r="E83" s="656">
        <f>E80+E81+E82</f>
        <v>607.5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957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958</v>
      </c>
      <c r="C86" s="649">
        <f>IF(C80=0,0,C59/C80)</f>
        <v>69118.744292237447</v>
      </c>
      <c r="D86" s="649">
        <f>IF(D80=0,0,D59/D80)</f>
        <v>57613.105849582171</v>
      </c>
      <c r="E86" s="649">
        <f>IF(E80=0,0,E59/E80)</f>
        <v>60271.232023010547</v>
      </c>
    </row>
    <row r="87" spans="1:5" ht="26.1" customHeight="1" x14ac:dyDescent="0.25">
      <c r="A87" s="639">
        <v>2</v>
      </c>
      <c r="B87" s="640" t="s">
        <v>959</v>
      </c>
      <c r="C87" s="649">
        <f>IF(C80=0,0,C60/C80)</f>
        <v>23555.666666666668</v>
      </c>
      <c r="D87" s="649">
        <f>IF(D80=0,0,D60/D80)</f>
        <v>21366.402042711234</v>
      </c>
      <c r="E87" s="649">
        <f>IF(E80=0,0,E60/E80)</f>
        <v>23447.583892617451</v>
      </c>
    </row>
    <row r="88" spans="1:5" ht="26.1" customHeight="1" x14ac:dyDescent="0.25">
      <c r="A88" s="650">
        <v>3</v>
      </c>
      <c r="B88" s="651" t="s">
        <v>960</v>
      </c>
      <c r="C88" s="652">
        <f>+C86+C87</f>
        <v>92674.410958904118</v>
      </c>
      <c r="D88" s="652">
        <f>+D86+D87</f>
        <v>78979.507892293404</v>
      </c>
      <c r="E88" s="652">
        <f>+E86+E87</f>
        <v>83718.815915628002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580</v>
      </c>
      <c r="B90" s="642" t="s">
        <v>961</v>
      </c>
    </row>
    <row r="91" spans="1:5" ht="26.1" customHeight="1" x14ac:dyDescent="0.25">
      <c r="A91" s="639">
        <v>1</v>
      </c>
      <c r="B91" s="640" t="s">
        <v>962</v>
      </c>
      <c r="C91" s="641">
        <f>IF(C81=0,0,C64/C81)</f>
        <v>116100.90909090909</v>
      </c>
      <c r="D91" s="641">
        <f>IF(D81=0,0,D64/D81)</f>
        <v>197253.77777777778</v>
      </c>
      <c r="E91" s="641">
        <f>IF(E81=0,0,E64/E81)</f>
        <v>220946.02150537632</v>
      </c>
    </row>
    <row r="92" spans="1:5" ht="26.1" customHeight="1" x14ac:dyDescent="0.25">
      <c r="A92" s="639">
        <v>2</v>
      </c>
      <c r="B92" s="640" t="s">
        <v>963</v>
      </c>
      <c r="C92" s="641">
        <f>IF(C81=0,0,C65/C81)</f>
        <v>39567.272727272721</v>
      </c>
      <c r="D92" s="641">
        <f>IF(D81=0,0,D65/D81)</f>
        <v>73153.555555555562</v>
      </c>
      <c r="E92" s="641">
        <f>IF(E81=0,0,E65/E81)</f>
        <v>85955.59139784945</v>
      </c>
    </row>
    <row r="93" spans="1:5" ht="26.1" customHeight="1" x14ac:dyDescent="0.25">
      <c r="A93" s="650">
        <v>3</v>
      </c>
      <c r="B93" s="651" t="s">
        <v>964</v>
      </c>
      <c r="C93" s="654">
        <f>+C91+C92</f>
        <v>155668.18181818182</v>
      </c>
      <c r="D93" s="654">
        <f>+D91+D92</f>
        <v>270407.33333333337</v>
      </c>
      <c r="E93" s="654">
        <f>+E91+E92</f>
        <v>306901.61290322576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965</v>
      </c>
      <c r="B95" s="642" t="s">
        <v>966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967</v>
      </c>
      <c r="C96" s="649">
        <f>IF(C82=0,0,C69/C82)</f>
        <v>56287.623098736789</v>
      </c>
      <c r="D96" s="649">
        <f>IF(D82=0,0,D69/D82)</f>
        <v>67806.070404172104</v>
      </c>
      <c r="E96" s="649">
        <f>IF(E82=0,0,E69/E82)</f>
        <v>68579.104209445577</v>
      </c>
    </row>
    <row r="97" spans="1:5" ht="26.1" customHeight="1" x14ac:dyDescent="0.25">
      <c r="A97" s="639">
        <v>2</v>
      </c>
      <c r="B97" s="640" t="s">
        <v>968</v>
      </c>
      <c r="C97" s="649">
        <f>IF(C82=0,0,C70/C82)</f>
        <v>19191.335395720547</v>
      </c>
      <c r="D97" s="649">
        <f>IF(D82=0,0,D70/D82)</f>
        <v>25146.568448500653</v>
      </c>
      <c r="E97" s="649">
        <f>IF(E82=0,0,E70/E82)</f>
        <v>26679.635523613961</v>
      </c>
    </row>
    <row r="98" spans="1:5" ht="26.1" customHeight="1" x14ac:dyDescent="0.25">
      <c r="A98" s="650">
        <v>3</v>
      </c>
      <c r="B98" s="651" t="s">
        <v>969</v>
      </c>
      <c r="C98" s="654">
        <f>+C96+C97</f>
        <v>75478.958494457329</v>
      </c>
      <c r="D98" s="654">
        <f>+D96+D97</f>
        <v>92952.638852672753</v>
      </c>
      <c r="E98" s="654">
        <f>+E96+E97</f>
        <v>95258.739733059541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970</v>
      </c>
      <c r="B100" s="642" t="s">
        <v>971</v>
      </c>
    </row>
    <row r="101" spans="1:5" ht="26.1" customHeight="1" x14ac:dyDescent="0.25">
      <c r="A101" s="639">
        <v>1</v>
      </c>
      <c r="B101" s="640" t="s">
        <v>972</v>
      </c>
      <c r="C101" s="641">
        <f>IF(C83=0,0,C75/C83)</f>
        <v>61017.574013157893</v>
      </c>
      <c r="D101" s="641">
        <f>IF(D83=0,0,D75/D83)</f>
        <v>65132.802452767653</v>
      </c>
      <c r="E101" s="641">
        <f>IF(E83=0,0,E75/E83)</f>
        <v>68058.923456790129</v>
      </c>
    </row>
    <row r="102" spans="1:5" ht="26.1" customHeight="1" x14ac:dyDescent="0.25">
      <c r="A102" s="639">
        <v>2</v>
      </c>
      <c r="B102" s="640" t="s">
        <v>973</v>
      </c>
      <c r="C102" s="658">
        <f>IF(C83=0,0,C76/C83)</f>
        <v>20800.220394736843</v>
      </c>
      <c r="D102" s="658">
        <f>IF(D83=0,0,D76/D83)</f>
        <v>24155.159098442164</v>
      </c>
      <c r="E102" s="658">
        <f>IF(E83=0,0,E76/E83)</f>
        <v>26477.265843621401</v>
      </c>
    </row>
    <row r="103" spans="1:5" ht="26.1" customHeight="1" x14ac:dyDescent="0.25">
      <c r="A103" s="650">
        <v>3</v>
      </c>
      <c r="B103" s="651" t="s">
        <v>971</v>
      </c>
      <c r="C103" s="654">
        <f>+C101+C102</f>
        <v>81817.794407894733</v>
      </c>
      <c r="D103" s="654">
        <f>+D101+D102</f>
        <v>89287.961551209824</v>
      </c>
      <c r="E103" s="654">
        <f>+E101+E102</f>
        <v>94536.189300411526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974</v>
      </c>
      <c r="B107" s="634" t="s">
        <v>975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976</v>
      </c>
      <c r="C108" s="641">
        <f>IF(C19=0,0,C77/C19)</f>
        <v>2403.6151430228065</v>
      </c>
      <c r="D108" s="641">
        <f>IF(D19=0,0,D77/D19)</f>
        <v>2583.9978896882494</v>
      </c>
      <c r="E108" s="641">
        <f>IF(E19=0,0,E77/E19)</f>
        <v>2872.1111722344467</v>
      </c>
    </row>
    <row r="109" spans="1:5" ht="26.1" customHeight="1" x14ac:dyDescent="0.25">
      <c r="A109" s="639">
        <v>2</v>
      </c>
      <c r="B109" s="640" t="s">
        <v>977</v>
      </c>
      <c r="C109" s="641">
        <f>IF(C20=0,0,C77/C20)</f>
        <v>9310.3535466966132</v>
      </c>
      <c r="D109" s="641">
        <f>IF(D20=0,0,D77/D20)</f>
        <v>10563.991372549019</v>
      </c>
      <c r="E109" s="641">
        <f>IF(E20=0,0,E77/E20)</f>
        <v>12216.706019995745</v>
      </c>
    </row>
    <row r="110" spans="1:5" ht="26.1" customHeight="1" x14ac:dyDescent="0.25">
      <c r="A110" s="639">
        <v>3</v>
      </c>
      <c r="B110" s="640" t="s">
        <v>978</v>
      </c>
      <c r="C110" s="641">
        <f>IF(C22=0,0,C77/C22)</f>
        <v>915.60240871654003</v>
      </c>
      <c r="D110" s="641">
        <f>IF(D22=0,0,D77/D22)</f>
        <v>979.01041108676475</v>
      </c>
      <c r="E110" s="641">
        <f>IF(E22=0,0,E77/E22)</f>
        <v>1040.3643636470854</v>
      </c>
    </row>
    <row r="111" spans="1:5" ht="26.1" customHeight="1" x14ac:dyDescent="0.25">
      <c r="A111" s="639">
        <v>4</v>
      </c>
      <c r="B111" s="640" t="s">
        <v>979</v>
      </c>
      <c r="C111" s="641">
        <f>IF(C23=0,0,C77/C23)</f>
        <v>3546.566994347279</v>
      </c>
      <c r="D111" s="641">
        <f>IF(D23=0,0,D77/D23)</f>
        <v>4002.4249159135375</v>
      </c>
      <c r="E111" s="641">
        <f>IF(E23=0,0,E77/E23)</f>
        <v>4425.2554383082579</v>
      </c>
    </row>
    <row r="112" spans="1:5" ht="26.1" customHeight="1" x14ac:dyDescent="0.25">
      <c r="A112" s="639">
        <v>5</v>
      </c>
      <c r="B112" s="640" t="s">
        <v>980</v>
      </c>
      <c r="C112" s="641">
        <f>IF(C29=0,0,C77/C29)</f>
        <v>897.57615315714168</v>
      </c>
      <c r="D112" s="641">
        <f>IF(D29=0,0,D77/D29)</f>
        <v>944.37056543919653</v>
      </c>
      <c r="E112" s="641">
        <f>IF(E29=0,0,E77/E29)</f>
        <v>944.2033484530524</v>
      </c>
    </row>
    <row r="113" spans="1:7" ht="25.5" customHeight="1" x14ac:dyDescent="0.25">
      <c r="A113" s="639">
        <v>6</v>
      </c>
      <c r="B113" s="640" t="s">
        <v>981</v>
      </c>
      <c r="C113" s="641">
        <f>IF(C30=0,0,C77/C30)</f>
        <v>3476.7426662437215</v>
      </c>
      <c r="D113" s="641">
        <f>IF(D30=0,0,D77/D30)</f>
        <v>3860.8090763543614</v>
      </c>
      <c r="E113" s="641">
        <f>IF(E30=0,0,E77/E30)</f>
        <v>4016.2284951429988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FILING&amp;R&amp;12WINDHAM COMMUNITY MEMORIAL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="80" zoomScaleNormal="80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193955564</v>
      </c>
      <c r="D12" s="51">
        <v>199383125</v>
      </c>
      <c r="E12" s="51">
        <f t="shared" ref="E12:E19" si="0">D12-C12</f>
        <v>5427561</v>
      </c>
      <c r="F12" s="70">
        <f t="shared" ref="F12:F19" si="1">IF(C12=0,0,E12/C12)</f>
        <v>2.7983528227114949E-2</v>
      </c>
    </row>
    <row r="13" spans="1:8" ht="23.1" customHeight="1" x14ac:dyDescent="0.2">
      <c r="A13" s="25">
        <v>2</v>
      </c>
      <c r="B13" s="48" t="s">
        <v>72</v>
      </c>
      <c r="C13" s="51">
        <v>104466765</v>
      </c>
      <c r="D13" s="51">
        <v>110493786</v>
      </c>
      <c r="E13" s="51">
        <f t="shared" si="0"/>
        <v>6027021</v>
      </c>
      <c r="F13" s="70">
        <f t="shared" si="1"/>
        <v>5.7693190748272907E-2</v>
      </c>
    </row>
    <row r="14" spans="1:8" ht="23.1" customHeight="1" x14ac:dyDescent="0.2">
      <c r="A14" s="25">
        <v>3</v>
      </c>
      <c r="B14" s="48" t="s">
        <v>73</v>
      </c>
      <c r="C14" s="51">
        <v>2546093</v>
      </c>
      <c r="D14" s="51">
        <v>3033891</v>
      </c>
      <c r="E14" s="51">
        <f t="shared" si="0"/>
        <v>487798</v>
      </c>
      <c r="F14" s="70">
        <f t="shared" si="1"/>
        <v>0.19158687447787651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86942706</v>
      </c>
      <c r="D16" s="27">
        <f>D12-D13-D14-D15</f>
        <v>85855448</v>
      </c>
      <c r="E16" s="27">
        <f t="shared" si="0"/>
        <v>-1087258</v>
      </c>
      <c r="F16" s="28">
        <f t="shared" si="1"/>
        <v>-1.2505453879017752E-2</v>
      </c>
    </row>
    <row r="17" spans="1:7" ht="23.1" customHeight="1" x14ac:dyDescent="0.2">
      <c r="A17" s="25">
        <v>5</v>
      </c>
      <c r="B17" s="48" t="s">
        <v>76</v>
      </c>
      <c r="C17" s="51">
        <v>2622664</v>
      </c>
      <c r="D17" s="51">
        <v>3044239</v>
      </c>
      <c r="E17" s="51">
        <f t="shared" si="0"/>
        <v>421575</v>
      </c>
      <c r="F17" s="70">
        <f t="shared" si="1"/>
        <v>0.16074304600208034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89565370</v>
      </c>
      <c r="D19" s="27">
        <f>SUM(D16:D18)</f>
        <v>88899687</v>
      </c>
      <c r="E19" s="27">
        <f t="shared" si="0"/>
        <v>-665683</v>
      </c>
      <c r="F19" s="28">
        <f t="shared" si="1"/>
        <v>-7.4323703458155756E-3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39301133</v>
      </c>
      <c r="D22" s="51">
        <v>41345796</v>
      </c>
      <c r="E22" s="51">
        <f t="shared" ref="E22:E31" si="2">D22-C22</f>
        <v>2044663</v>
      </c>
      <c r="F22" s="70">
        <f t="shared" ref="F22:F31" si="3">IF(C22=0,0,E22/C22)</f>
        <v>5.2025548474645758E-2</v>
      </c>
    </row>
    <row r="23" spans="1:7" ht="23.1" customHeight="1" x14ac:dyDescent="0.2">
      <c r="A23" s="25">
        <v>2</v>
      </c>
      <c r="B23" s="48" t="s">
        <v>81</v>
      </c>
      <c r="C23" s="51">
        <v>14575223</v>
      </c>
      <c r="D23" s="51">
        <v>16084939</v>
      </c>
      <c r="E23" s="51">
        <f t="shared" si="2"/>
        <v>1509716</v>
      </c>
      <c r="F23" s="70">
        <f t="shared" si="3"/>
        <v>0.10358098809191461</v>
      </c>
    </row>
    <row r="24" spans="1:7" ht="23.1" customHeight="1" x14ac:dyDescent="0.2">
      <c r="A24" s="25">
        <v>3</v>
      </c>
      <c r="B24" s="48" t="s">
        <v>82</v>
      </c>
      <c r="C24" s="51">
        <v>932425</v>
      </c>
      <c r="D24" s="51">
        <v>693799</v>
      </c>
      <c r="E24" s="51">
        <f t="shared" si="2"/>
        <v>-238626</v>
      </c>
      <c r="F24" s="70">
        <f t="shared" si="3"/>
        <v>-0.25591977907070274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7995028</v>
      </c>
      <c r="D25" s="51">
        <v>7777841</v>
      </c>
      <c r="E25" s="51">
        <f t="shared" si="2"/>
        <v>-217187</v>
      </c>
      <c r="F25" s="70">
        <f t="shared" si="3"/>
        <v>-2.7165258207976259E-2</v>
      </c>
    </row>
    <row r="26" spans="1:7" ht="23.1" customHeight="1" x14ac:dyDescent="0.2">
      <c r="A26" s="25">
        <v>5</v>
      </c>
      <c r="B26" s="48" t="s">
        <v>84</v>
      </c>
      <c r="C26" s="51">
        <v>4522902</v>
      </c>
      <c r="D26" s="51">
        <v>4545850</v>
      </c>
      <c r="E26" s="51">
        <f t="shared" si="2"/>
        <v>22948</v>
      </c>
      <c r="F26" s="70">
        <f t="shared" si="3"/>
        <v>5.073733633848357E-3</v>
      </c>
    </row>
    <row r="27" spans="1:7" ht="23.1" customHeight="1" x14ac:dyDescent="0.2">
      <c r="A27" s="25">
        <v>6</v>
      </c>
      <c r="B27" s="48" t="s">
        <v>85</v>
      </c>
      <c r="C27" s="51">
        <v>5459445</v>
      </c>
      <c r="D27" s="51">
        <v>3365182</v>
      </c>
      <c r="E27" s="51">
        <f t="shared" si="2"/>
        <v>-2094263</v>
      </c>
      <c r="F27" s="70">
        <f t="shared" si="3"/>
        <v>-0.38360364469282132</v>
      </c>
    </row>
    <row r="28" spans="1:7" ht="23.1" customHeight="1" x14ac:dyDescent="0.2">
      <c r="A28" s="25">
        <v>7</v>
      </c>
      <c r="B28" s="48" t="s">
        <v>86</v>
      </c>
      <c r="C28" s="51">
        <v>1557105</v>
      </c>
      <c r="D28" s="51">
        <v>1476666</v>
      </c>
      <c r="E28" s="51">
        <f t="shared" si="2"/>
        <v>-80439</v>
      </c>
      <c r="F28" s="70">
        <f t="shared" si="3"/>
        <v>-5.1659329332318628E-2</v>
      </c>
    </row>
    <row r="29" spans="1:7" ht="23.1" customHeight="1" x14ac:dyDescent="0.2">
      <c r="A29" s="25">
        <v>8</v>
      </c>
      <c r="B29" s="48" t="s">
        <v>87</v>
      </c>
      <c r="C29" s="51">
        <v>635157</v>
      </c>
      <c r="D29" s="51">
        <v>609350</v>
      </c>
      <c r="E29" s="51">
        <f t="shared" si="2"/>
        <v>-25807</v>
      </c>
      <c r="F29" s="70">
        <f t="shared" si="3"/>
        <v>-4.0630899132025625E-2</v>
      </c>
    </row>
    <row r="30" spans="1:7" ht="23.1" customHeight="1" x14ac:dyDescent="0.2">
      <c r="A30" s="25">
        <v>9</v>
      </c>
      <c r="B30" s="48" t="s">
        <v>88</v>
      </c>
      <c r="C30" s="51">
        <v>16523400</v>
      </c>
      <c r="D30" s="51">
        <v>16740066</v>
      </c>
      <c r="E30" s="51">
        <f t="shared" si="2"/>
        <v>216666</v>
      </c>
      <c r="F30" s="70">
        <f t="shared" si="3"/>
        <v>1.3112676567776607E-2</v>
      </c>
    </row>
    <row r="31" spans="1:7" ht="23.1" customHeight="1" x14ac:dyDescent="0.25">
      <c r="A31" s="29"/>
      <c r="B31" s="71" t="s">
        <v>89</v>
      </c>
      <c r="C31" s="27">
        <f>SUM(C22:C30)</f>
        <v>91501818</v>
      </c>
      <c r="D31" s="27">
        <f>SUM(D22:D30)</f>
        <v>92639489</v>
      </c>
      <c r="E31" s="27">
        <f t="shared" si="2"/>
        <v>1137671</v>
      </c>
      <c r="F31" s="28">
        <f t="shared" si="3"/>
        <v>1.2433315805812733E-2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-1936448</v>
      </c>
      <c r="D33" s="27">
        <f>+D19-D31</f>
        <v>-3739802</v>
      </c>
      <c r="E33" s="27">
        <f>D33-C33</f>
        <v>-1803354</v>
      </c>
      <c r="F33" s="28">
        <f>IF(C33=0,0,E33/C33)</f>
        <v>0.93126900386687383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96303</v>
      </c>
      <c r="D36" s="51">
        <v>-16806</v>
      </c>
      <c r="E36" s="51">
        <f>D36-C36</f>
        <v>-113109</v>
      </c>
      <c r="F36" s="70">
        <f>IF(C36=0,0,E36/C36)</f>
        <v>-1.1745116974549079</v>
      </c>
    </row>
    <row r="37" spans="1:6" ht="23.1" customHeight="1" x14ac:dyDescent="0.2">
      <c r="A37" s="44">
        <v>2</v>
      </c>
      <c r="B37" s="48" t="s">
        <v>93</v>
      </c>
      <c r="C37" s="51">
        <v>252482</v>
      </c>
      <c r="D37" s="51">
        <v>265347</v>
      </c>
      <c r="E37" s="51">
        <f>D37-C37</f>
        <v>12865</v>
      </c>
      <c r="F37" s="70">
        <f>IF(C37=0,0,E37/C37)</f>
        <v>5.0954127422945E-2</v>
      </c>
    </row>
    <row r="38" spans="1:6" ht="23.1" customHeight="1" x14ac:dyDescent="0.2">
      <c r="A38" s="44">
        <v>3</v>
      </c>
      <c r="B38" s="48" t="s">
        <v>94</v>
      </c>
      <c r="C38" s="51">
        <v>-95417</v>
      </c>
      <c r="D38" s="51">
        <v>-561377</v>
      </c>
      <c r="E38" s="51">
        <f>D38-C38</f>
        <v>-465960</v>
      </c>
      <c r="F38" s="70">
        <f>IF(C38=0,0,E38/C38)</f>
        <v>4.8834065208505821</v>
      </c>
    </row>
    <row r="39" spans="1:6" ht="23.1" customHeight="1" x14ac:dyDescent="0.25">
      <c r="A39" s="20"/>
      <c r="B39" s="71" t="s">
        <v>95</v>
      </c>
      <c r="C39" s="27">
        <f>SUM(C36:C38)</f>
        <v>253368</v>
      </c>
      <c r="D39" s="27">
        <f>SUM(D36:D38)</f>
        <v>-312836</v>
      </c>
      <c r="E39" s="27">
        <f>D39-C39</f>
        <v>-566204</v>
      </c>
      <c r="F39" s="28">
        <f>IF(C39=0,0,E39/C39)</f>
        <v>-2.2347099870544032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-1683080</v>
      </c>
      <c r="D41" s="27">
        <f>D33+D39</f>
        <v>-4052638</v>
      </c>
      <c r="E41" s="27">
        <f>D41-C41</f>
        <v>-2369558</v>
      </c>
      <c r="F41" s="28">
        <f>IF(C41=0,0,E41/C41)</f>
        <v>1.4078700953014711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20260</v>
      </c>
      <c r="D44" s="51">
        <v>-10172</v>
      </c>
      <c r="E44" s="51">
        <f>D44-C44</f>
        <v>-30432</v>
      </c>
      <c r="F44" s="70">
        <f>IF(C44=0,0,E44/C44)</f>
        <v>-1.5020730503455084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20260</v>
      </c>
      <c r="D46" s="27">
        <f>SUM(D44:D45)</f>
        <v>-10172</v>
      </c>
      <c r="E46" s="27">
        <f>D46-C46</f>
        <v>-30432</v>
      </c>
      <c r="F46" s="28">
        <f>IF(C46=0,0,E46/C46)</f>
        <v>-1.5020730503455084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-1662820</v>
      </c>
      <c r="D48" s="27">
        <f>D41+D46</f>
        <v>-4062810</v>
      </c>
      <c r="E48" s="27">
        <f>D48-C48</f>
        <v>-2399990</v>
      </c>
      <c r="F48" s="28">
        <f>IF(C48=0,0,E48/C48)</f>
        <v>1.4433251945490191</v>
      </c>
    </row>
    <row r="49" spans="1:6" ht="23.1" customHeight="1" x14ac:dyDescent="0.2">
      <c r="A49" s="44"/>
      <c r="B49" s="48" t="s">
        <v>102</v>
      </c>
      <c r="C49" s="51">
        <v>886449</v>
      </c>
      <c r="D49" s="51">
        <v>19866618</v>
      </c>
      <c r="E49" s="51">
        <f>D49-C49</f>
        <v>18980169</v>
      </c>
      <c r="F49" s="70">
        <f>IF(C49=0,0,E49/C49)</f>
        <v>21.411461911514369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FILING&amp;RWINDHAM COMMUNITY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tabSelected="1" zoomScale="80" zoomScaleNormal="80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1406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38718930</v>
      </c>
      <c r="D14" s="97">
        <v>38366754</v>
      </c>
      <c r="E14" s="97">
        <f t="shared" ref="E14:E25" si="0">D14-C14</f>
        <v>-352176</v>
      </c>
      <c r="F14" s="98">
        <f t="shared" ref="F14:F25" si="1">IF(C14=0,0,E14/C14)</f>
        <v>-9.0957058988975163E-3</v>
      </c>
    </row>
    <row r="15" spans="1:6" ht="18" customHeight="1" x14ac:dyDescent="0.25">
      <c r="A15" s="99">
        <v>2</v>
      </c>
      <c r="B15" s="100" t="s">
        <v>113</v>
      </c>
      <c r="C15" s="97">
        <v>4682719</v>
      </c>
      <c r="D15" s="97">
        <v>5467650</v>
      </c>
      <c r="E15" s="97">
        <f t="shared" si="0"/>
        <v>784931</v>
      </c>
      <c r="F15" s="98">
        <f t="shared" si="1"/>
        <v>0.16762291309813807</v>
      </c>
    </row>
    <row r="16" spans="1:6" ht="18" customHeight="1" x14ac:dyDescent="0.25">
      <c r="A16" s="99">
        <v>3</v>
      </c>
      <c r="B16" s="100" t="s">
        <v>114</v>
      </c>
      <c r="C16" s="97">
        <v>5417337</v>
      </c>
      <c r="D16" s="97">
        <v>7584999</v>
      </c>
      <c r="E16" s="97">
        <f t="shared" si="0"/>
        <v>2167662</v>
      </c>
      <c r="F16" s="98">
        <f t="shared" si="1"/>
        <v>0.40013423569550871</v>
      </c>
    </row>
    <row r="17" spans="1:6" ht="18" customHeight="1" x14ac:dyDescent="0.25">
      <c r="A17" s="99">
        <v>4</v>
      </c>
      <c r="B17" s="100" t="s">
        <v>115</v>
      </c>
      <c r="C17" s="97">
        <v>4618852</v>
      </c>
      <c r="D17" s="97">
        <v>3679039</v>
      </c>
      <c r="E17" s="97">
        <f t="shared" si="0"/>
        <v>-939813</v>
      </c>
      <c r="F17" s="98">
        <f t="shared" si="1"/>
        <v>-0.20347328730169315</v>
      </c>
    </row>
    <row r="18" spans="1:6" ht="18" customHeight="1" x14ac:dyDescent="0.25">
      <c r="A18" s="99">
        <v>5</v>
      </c>
      <c r="B18" s="100" t="s">
        <v>116</v>
      </c>
      <c r="C18" s="97">
        <v>136260</v>
      </c>
      <c r="D18" s="97">
        <v>117471</v>
      </c>
      <c r="E18" s="97">
        <f t="shared" si="0"/>
        <v>-18789</v>
      </c>
      <c r="F18" s="98">
        <f t="shared" si="1"/>
        <v>-0.13789079700572435</v>
      </c>
    </row>
    <row r="19" spans="1:6" ht="18" customHeight="1" x14ac:dyDescent="0.25">
      <c r="A19" s="99">
        <v>6</v>
      </c>
      <c r="B19" s="100" t="s">
        <v>117</v>
      </c>
      <c r="C19" s="97">
        <v>16018356</v>
      </c>
      <c r="D19" s="97">
        <v>15501339</v>
      </c>
      <c r="E19" s="97">
        <f t="shared" si="0"/>
        <v>-517017</v>
      </c>
      <c r="F19" s="98">
        <f t="shared" si="1"/>
        <v>-3.2276533247232113E-2</v>
      </c>
    </row>
    <row r="20" spans="1:6" ht="18" customHeight="1" x14ac:dyDescent="0.25">
      <c r="A20" s="99">
        <v>7</v>
      </c>
      <c r="B20" s="100" t="s">
        <v>118</v>
      </c>
      <c r="C20" s="97">
        <v>0</v>
      </c>
      <c r="D20" s="97">
        <v>0</v>
      </c>
      <c r="E20" s="97">
        <f t="shared" si="0"/>
        <v>0</v>
      </c>
      <c r="F20" s="98">
        <f t="shared" si="1"/>
        <v>0</v>
      </c>
    </row>
    <row r="21" spans="1:6" ht="18" customHeight="1" x14ac:dyDescent="0.25">
      <c r="A21" s="99">
        <v>8</v>
      </c>
      <c r="B21" s="100" t="s">
        <v>119</v>
      </c>
      <c r="C21" s="97">
        <v>254774</v>
      </c>
      <c r="D21" s="97">
        <v>239510</v>
      </c>
      <c r="E21" s="97">
        <f t="shared" si="0"/>
        <v>-15264</v>
      </c>
      <c r="F21" s="98">
        <f t="shared" si="1"/>
        <v>-5.9911921938659358E-2</v>
      </c>
    </row>
    <row r="22" spans="1:6" ht="18" customHeight="1" x14ac:dyDescent="0.25">
      <c r="A22" s="99">
        <v>9</v>
      </c>
      <c r="B22" s="100" t="s">
        <v>120</v>
      </c>
      <c r="C22" s="97">
        <v>1567998</v>
      </c>
      <c r="D22" s="97">
        <v>952163</v>
      </c>
      <c r="E22" s="97">
        <f t="shared" si="0"/>
        <v>-615835</v>
      </c>
      <c r="F22" s="98">
        <f t="shared" si="1"/>
        <v>-0.39275241422501816</v>
      </c>
    </row>
    <row r="23" spans="1:6" ht="18" customHeight="1" x14ac:dyDescent="0.25">
      <c r="A23" s="99">
        <v>10</v>
      </c>
      <c r="B23" s="100" t="s">
        <v>121</v>
      </c>
      <c r="C23" s="97">
        <v>1854887</v>
      </c>
      <c r="D23" s="97">
        <v>0</v>
      </c>
      <c r="E23" s="97">
        <f t="shared" si="0"/>
        <v>-1854887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214667</v>
      </c>
      <c r="D24" s="97">
        <v>313593</v>
      </c>
      <c r="E24" s="97">
        <f t="shared" si="0"/>
        <v>98926</v>
      </c>
      <c r="F24" s="98">
        <f t="shared" si="1"/>
        <v>0.4608346881448942</v>
      </c>
    </row>
    <row r="25" spans="1:6" ht="18" customHeight="1" x14ac:dyDescent="0.25">
      <c r="A25" s="101"/>
      <c r="B25" s="102" t="s">
        <v>123</v>
      </c>
      <c r="C25" s="103">
        <f>SUM(C14:C24)</f>
        <v>73484780</v>
      </c>
      <c r="D25" s="103">
        <f>SUM(D14:D24)</f>
        <v>72222518</v>
      </c>
      <c r="E25" s="103">
        <f t="shared" si="0"/>
        <v>-1262262</v>
      </c>
      <c r="F25" s="104">
        <f t="shared" si="1"/>
        <v>-1.7177189616679807E-2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30748244</v>
      </c>
      <c r="D27" s="97">
        <v>32538187</v>
      </c>
      <c r="E27" s="97">
        <f t="shared" ref="E27:E38" si="2">D27-C27</f>
        <v>1789943</v>
      </c>
      <c r="F27" s="98">
        <f t="shared" ref="F27:F38" si="3">IF(C27=0,0,E27/C27)</f>
        <v>5.8212852740468689E-2</v>
      </c>
    </row>
    <row r="28" spans="1:6" ht="18" customHeight="1" x14ac:dyDescent="0.25">
      <c r="A28" s="99">
        <v>2</v>
      </c>
      <c r="B28" s="100" t="s">
        <v>113</v>
      </c>
      <c r="C28" s="97">
        <v>4957041</v>
      </c>
      <c r="D28" s="97">
        <v>5887234</v>
      </c>
      <c r="E28" s="97">
        <f t="shared" si="2"/>
        <v>930193</v>
      </c>
      <c r="F28" s="98">
        <f t="shared" si="3"/>
        <v>0.18765085864732609</v>
      </c>
    </row>
    <row r="29" spans="1:6" ht="18" customHeight="1" x14ac:dyDescent="0.25">
      <c r="A29" s="99">
        <v>3</v>
      </c>
      <c r="B29" s="100" t="s">
        <v>114</v>
      </c>
      <c r="C29" s="97">
        <v>8393726</v>
      </c>
      <c r="D29" s="97">
        <v>15280624</v>
      </c>
      <c r="E29" s="97">
        <f t="shared" si="2"/>
        <v>6886898</v>
      </c>
      <c r="F29" s="98">
        <f t="shared" si="3"/>
        <v>0.82048163116117923</v>
      </c>
    </row>
    <row r="30" spans="1:6" ht="18" customHeight="1" x14ac:dyDescent="0.25">
      <c r="A30" s="99">
        <v>4</v>
      </c>
      <c r="B30" s="100" t="s">
        <v>115</v>
      </c>
      <c r="C30" s="97">
        <v>12861669</v>
      </c>
      <c r="D30" s="97">
        <v>12598916</v>
      </c>
      <c r="E30" s="97">
        <f t="shared" si="2"/>
        <v>-262753</v>
      </c>
      <c r="F30" s="98">
        <f t="shared" si="3"/>
        <v>-2.0429152701721683E-2</v>
      </c>
    </row>
    <row r="31" spans="1:6" ht="18" customHeight="1" x14ac:dyDescent="0.25">
      <c r="A31" s="99">
        <v>5</v>
      </c>
      <c r="B31" s="100" t="s">
        <v>116</v>
      </c>
      <c r="C31" s="97">
        <v>473205</v>
      </c>
      <c r="D31" s="97">
        <v>437537</v>
      </c>
      <c r="E31" s="97">
        <f t="shared" si="2"/>
        <v>-35668</v>
      </c>
      <c r="F31" s="98">
        <f t="shared" si="3"/>
        <v>-7.5375365856235665E-2</v>
      </c>
    </row>
    <row r="32" spans="1:6" ht="18" customHeight="1" x14ac:dyDescent="0.25">
      <c r="A32" s="99">
        <v>6</v>
      </c>
      <c r="B32" s="100" t="s">
        <v>117</v>
      </c>
      <c r="C32" s="97">
        <v>53167559</v>
      </c>
      <c r="D32" s="97">
        <v>54124923</v>
      </c>
      <c r="E32" s="97">
        <f t="shared" si="2"/>
        <v>957364</v>
      </c>
      <c r="F32" s="98">
        <f t="shared" si="3"/>
        <v>1.8006544178565731E-2</v>
      </c>
    </row>
    <row r="33" spans="1:6" ht="18" customHeight="1" x14ac:dyDescent="0.25">
      <c r="A33" s="99">
        <v>7</v>
      </c>
      <c r="B33" s="100" t="s">
        <v>118</v>
      </c>
      <c r="C33" s="97">
        <v>0</v>
      </c>
      <c r="D33" s="97">
        <v>0</v>
      </c>
      <c r="E33" s="97">
        <f t="shared" si="2"/>
        <v>0</v>
      </c>
      <c r="F33" s="98">
        <f t="shared" si="3"/>
        <v>0</v>
      </c>
    </row>
    <row r="34" spans="1:6" ht="18" customHeight="1" x14ac:dyDescent="0.25">
      <c r="A34" s="99">
        <v>8</v>
      </c>
      <c r="B34" s="100" t="s">
        <v>119</v>
      </c>
      <c r="C34" s="97">
        <v>2240081</v>
      </c>
      <c r="D34" s="97">
        <v>2372135</v>
      </c>
      <c r="E34" s="97">
        <f t="shared" si="2"/>
        <v>132054</v>
      </c>
      <c r="F34" s="98">
        <f t="shared" si="3"/>
        <v>5.8950546877545945E-2</v>
      </c>
    </row>
    <row r="35" spans="1:6" ht="18" customHeight="1" x14ac:dyDescent="0.25">
      <c r="A35" s="99">
        <v>9</v>
      </c>
      <c r="B35" s="100" t="s">
        <v>120</v>
      </c>
      <c r="C35" s="97">
        <v>3290522</v>
      </c>
      <c r="D35" s="97">
        <v>3740586</v>
      </c>
      <c r="E35" s="97">
        <f t="shared" si="2"/>
        <v>450064</v>
      </c>
      <c r="F35" s="98">
        <f t="shared" si="3"/>
        <v>0.13677586717244256</v>
      </c>
    </row>
    <row r="36" spans="1:6" ht="18" customHeight="1" x14ac:dyDescent="0.25">
      <c r="A36" s="99">
        <v>10</v>
      </c>
      <c r="B36" s="100" t="s">
        <v>121</v>
      </c>
      <c r="C36" s="97">
        <v>4127519</v>
      </c>
      <c r="D36" s="97">
        <v>0</v>
      </c>
      <c r="E36" s="97">
        <f t="shared" si="2"/>
        <v>-4127519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211217</v>
      </c>
      <c r="D37" s="97">
        <v>180466</v>
      </c>
      <c r="E37" s="97">
        <f t="shared" si="2"/>
        <v>-30751</v>
      </c>
      <c r="F37" s="98">
        <f t="shared" si="3"/>
        <v>-0.1455896068971721</v>
      </c>
    </row>
    <row r="38" spans="1:6" ht="18" customHeight="1" x14ac:dyDescent="0.25">
      <c r="A38" s="101"/>
      <c r="B38" s="102" t="s">
        <v>126</v>
      </c>
      <c r="C38" s="103">
        <f>SUM(C27:C37)</f>
        <v>120470783</v>
      </c>
      <c r="D38" s="103">
        <f>SUM(D27:D37)</f>
        <v>127160608</v>
      </c>
      <c r="E38" s="103">
        <f t="shared" si="2"/>
        <v>6689825</v>
      </c>
      <c r="F38" s="104">
        <f t="shared" si="3"/>
        <v>5.5530684149367571E-2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69467174</v>
      </c>
      <c r="D41" s="103">
        <f t="shared" si="4"/>
        <v>70904941</v>
      </c>
      <c r="E41" s="107">
        <f t="shared" ref="E41:E52" si="5">D41-C41</f>
        <v>1437767</v>
      </c>
      <c r="F41" s="108">
        <f t="shared" ref="F41:F52" si="6">IF(C41=0,0,E41/C41)</f>
        <v>2.0697070532910984E-2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9639760</v>
      </c>
      <c r="D42" s="103">
        <f t="shared" si="4"/>
        <v>11354884</v>
      </c>
      <c r="E42" s="107">
        <f t="shared" si="5"/>
        <v>1715124</v>
      </c>
      <c r="F42" s="108">
        <f t="shared" si="6"/>
        <v>0.17792185697569235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13811063</v>
      </c>
      <c r="D43" s="103">
        <f t="shared" si="4"/>
        <v>22865623</v>
      </c>
      <c r="E43" s="107">
        <f t="shared" si="5"/>
        <v>9054560</v>
      </c>
      <c r="F43" s="108">
        <f t="shared" si="6"/>
        <v>0.65560196199235354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17480521</v>
      </c>
      <c r="D44" s="103">
        <f t="shared" si="4"/>
        <v>16277955</v>
      </c>
      <c r="E44" s="107">
        <f t="shared" si="5"/>
        <v>-1202566</v>
      </c>
      <c r="F44" s="108">
        <f t="shared" si="6"/>
        <v>-6.8794631464359671E-2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609465</v>
      </c>
      <c r="D45" s="103">
        <f t="shared" si="4"/>
        <v>555008</v>
      </c>
      <c r="E45" s="107">
        <f t="shared" si="5"/>
        <v>-54457</v>
      </c>
      <c r="F45" s="108">
        <f t="shared" si="6"/>
        <v>-8.935213671006538E-2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69185915</v>
      </c>
      <c r="D46" s="103">
        <f t="shared" si="4"/>
        <v>69626262</v>
      </c>
      <c r="E46" s="107">
        <f t="shared" si="5"/>
        <v>440347</v>
      </c>
      <c r="F46" s="108">
        <f t="shared" si="6"/>
        <v>6.3646914259932819E-3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0</v>
      </c>
      <c r="D47" s="103">
        <f t="shared" si="4"/>
        <v>0</v>
      </c>
      <c r="E47" s="107">
        <f t="shared" si="5"/>
        <v>0</v>
      </c>
      <c r="F47" s="108">
        <f t="shared" si="6"/>
        <v>0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2494855</v>
      </c>
      <c r="D48" s="103">
        <f t="shared" si="4"/>
        <v>2611645</v>
      </c>
      <c r="E48" s="107">
        <f t="shared" si="5"/>
        <v>116790</v>
      </c>
      <c r="F48" s="108">
        <f t="shared" si="6"/>
        <v>4.6812339795298724E-2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4858520</v>
      </c>
      <c r="D49" s="103">
        <f t="shared" si="4"/>
        <v>4692749</v>
      </c>
      <c r="E49" s="107">
        <f t="shared" si="5"/>
        <v>-165771</v>
      </c>
      <c r="F49" s="108">
        <f t="shared" si="6"/>
        <v>-3.4119649605229577E-2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5982406</v>
      </c>
      <c r="D50" s="103">
        <f t="shared" si="4"/>
        <v>0</v>
      </c>
      <c r="E50" s="107">
        <f t="shared" si="5"/>
        <v>-5982406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425884</v>
      </c>
      <c r="D51" s="103">
        <f t="shared" si="4"/>
        <v>494059</v>
      </c>
      <c r="E51" s="107">
        <f t="shared" si="5"/>
        <v>68175</v>
      </c>
      <c r="F51" s="108">
        <f t="shared" si="6"/>
        <v>0.16007880080021791</v>
      </c>
    </row>
    <row r="52" spans="1:6" ht="18.75" customHeight="1" thickBot="1" x14ac:dyDescent="0.3">
      <c r="A52" s="109"/>
      <c r="B52" s="110" t="s">
        <v>128</v>
      </c>
      <c r="C52" s="111">
        <f>SUM(C41:C51)</f>
        <v>193955563</v>
      </c>
      <c r="D52" s="112">
        <f>SUM(D41:D51)</f>
        <v>199383126</v>
      </c>
      <c r="E52" s="111">
        <f t="shared" si="5"/>
        <v>5427563</v>
      </c>
      <c r="F52" s="113">
        <f t="shared" si="6"/>
        <v>2.7983538683033288E-2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24076685</v>
      </c>
      <c r="D57" s="97">
        <v>23402812</v>
      </c>
      <c r="E57" s="97">
        <f t="shared" ref="E57:E68" si="7">D57-C57</f>
        <v>-673873</v>
      </c>
      <c r="F57" s="98">
        <f t="shared" ref="F57:F68" si="8">IF(C57=0,0,E57/C57)</f>
        <v>-2.798861221966396E-2</v>
      </c>
    </row>
    <row r="58" spans="1:6" ht="18" customHeight="1" x14ac:dyDescent="0.25">
      <c r="A58" s="99">
        <v>2</v>
      </c>
      <c r="B58" s="100" t="s">
        <v>113</v>
      </c>
      <c r="C58" s="97">
        <v>2531836</v>
      </c>
      <c r="D58" s="97">
        <v>2932137</v>
      </c>
      <c r="E58" s="97">
        <f t="shared" si="7"/>
        <v>400301</v>
      </c>
      <c r="F58" s="98">
        <f t="shared" si="8"/>
        <v>0.15810700219129517</v>
      </c>
    </row>
    <row r="59" spans="1:6" ht="18" customHeight="1" x14ac:dyDescent="0.25">
      <c r="A59" s="99">
        <v>3</v>
      </c>
      <c r="B59" s="100" t="s">
        <v>114</v>
      </c>
      <c r="C59" s="97">
        <v>2692056</v>
      </c>
      <c r="D59" s="97">
        <v>2510251</v>
      </c>
      <c r="E59" s="97">
        <f t="shared" si="7"/>
        <v>-181805</v>
      </c>
      <c r="F59" s="98">
        <f t="shared" si="8"/>
        <v>-6.7533884882038112E-2</v>
      </c>
    </row>
    <row r="60" spans="1:6" ht="18" customHeight="1" x14ac:dyDescent="0.25">
      <c r="A60" s="99">
        <v>4</v>
      </c>
      <c r="B60" s="100" t="s">
        <v>115</v>
      </c>
      <c r="C60" s="97">
        <v>2351919</v>
      </c>
      <c r="D60" s="97">
        <v>1653364</v>
      </c>
      <c r="E60" s="97">
        <f t="shared" si="7"/>
        <v>-698555</v>
      </c>
      <c r="F60" s="98">
        <f t="shared" si="8"/>
        <v>-0.29701490570040889</v>
      </c>
    </row>
    <row r="61" spans="1:6" ht="18" customHeight="1" x14ac:dyDescent="0.25">
      <c r="A61" s="99">
        <v>5</v>
      </c>
      <c r="B61" s="100" t="s">
        <v>116</v>
      </c>
      <c r="C61" s="97">
        <v>57058</v>
      </c>
      <c r="D61" s="97">
        <v>53482</v>
      </c>
      <c r="E61" s="97">
        <f t="shared" si="7"/>
        <v>-3576</v>
      </c>
      <c r="F61" s="98">
        <f t="shared" si="8"/>
        <v>-6.26730695082197E-2</v>
      </c>
    </row>
    <row r="62" spans="1:6" ht="18" customHeight="1" x14ac:dyDescent="0.25">
      <c r="A62" s="99">
        <v>6</v>
      </c>
      <c r="B62" s="100" t="s">
        <v>117</v>
      </c>
      <c r="C62" s="97">
        <v>8698382</v>
      </c>
      <c r="D62" s="97">
        <v>9205280</v>
      </c>
      <c r="E62" s="97">
        <f t="shared" si="7"/>
        <v>506898</v>
      </c>
      <c r="F62" s="98">
        <f t="shared" si="8"/>
        <v>5.8274975736866928E-2</v>
      </c>
    </row>
    <row r="63" spans="1:6" ht="18" customHeight="1" x14ac:dyDescent="0.25">
      <c r="A63" s="99">
        <v>7</v>
      </c>
      <c r="B63" s="100" t="s">
        <v>118</v>
      </c>
      <c r="C63" s="97">
        <v>0</v>
      </c>
      <c r="D63" s="97">
        <v>0</v>
      </c>
      <c r="E63" s="97">
        <f t="shared" si="7"/>
        <v>0</v>
      </c>
      <c r="F63" s="98">
        <f t="shared" si="8"/>
        <v>0</v>
      </c>
    </row>
    <row r="64" spans="1:6" ht="18" customHeight="1" x14ac:dyDescent="0.25">
      <c r="A64" s="99">
        <v>8</v>
      </c>
      <c r="B64" s="100" t="s">
        <v>119</v>
      </c>
      <c r="C64" s="97">
        <v>151797</v>
      </c>
      <c r="D64" s="97">
        <v>161785</v>
      </c>
      <c r="E64" s="97">
        <f t="shared" si="7"/>
        <v>9988</v>
      </c>
      <c r="F64" s="98">
        <f t="shared" si="8"/>
        <v>6.5798401812947549E-2</v>
      </c>
    </row>
    <row r="65" spans="1:6" ht="18" customHeight="1" x14ac:dyDescent="0.25">
      <c r="A65" s="99">
        <v>9</v>
      </c>
      <c r="B65" s="100" t="s">
        <v>120</v>
      </c>
      <c r="C65" s="97">
        <v>147158</v>
      </c>
      <c r="D65" s="97">
        <v>46750</v>
      </c>
      <c r="E65" s="97">
        <f t="shared" si="7"/>
        <v>-100408</v>
      </c>
      <c r="F65" s="98">
        <f t="shared" si="8"/>
        <v>-0.68231424727164003</v>
      </c>
    </row>
    <row r="66" spans="1:6" ht="18" customHeight="1" x14ac:dyDescent="0.25">
      <c r="A66" s="99">
        <v>10</v>
      </c>
      <c r="B66" s="100" t="s">
        <v>121</v>
      </c>
      <c r="C66" s="97">
        <v>582283</v>
      </c>
      <c r="D66" s="97">
        <v>0</v>
      </c>
      <c r="E66" s="97">
        <f t="shared" si="7"/>
        <v>-582283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63718</v>
      </c>
      <c r="D67" s="97">
        <v>118590</v>
      </c>
      <c r="E67" s="97">
        <f t="shared" si="7"/>
        <v>54872</v>
      </c>
      <c r="F67" s="98">
        <f t="shared" si="8"/>
        <v>0.86116952823378012</v>
      </c>
    </row>
    <row r="68" spans="1:6" ht="18" customHeight="1" x14ac:dyDescent="0.25">
      <c r="A68" s="101"/>
      <c r="B68" s="102" t="s">
        <v>131</v>
      </c>
      <c r="C68" s="103">
        <f>SUM(C57:C67)</f>
        <v>41352892</v>
      </c>
      <c r="D68" s="103">
        <f>SUM(D57:D67)</f>
        <v>40084451</v>
      </c>
      <c r="E68" s="103">
        <f t="shared" si="7"/>
        <v>-1268441</v>
      </c>
      <c r="F68" s="104">
        <f t="shared" si="8"/>
        <v>-3.0673574172273125E-2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8157216</v>
      </c>
      <c r="D70" s="97">
        <v>8007435</v>
      </c>
      <c r="E70" s="97">
        <f t="shared" ref="E70:E81" si="9">D70-C70</f>
        <v>-149781</v>
      </c>
      <c r="F70" s="98">
        <f t="shared" ref="F70:F81" si="10">IF(C70=0,0,E70/C70)</f>
        <v>-1.8361779312942063E-2</v>
      </c>
    </row>
    <row r="71" spans="1:6" ht="18" customHeight="1" x14ac:dyDescent="0.25">
      <c r="A71" s="99">
        <v>2</v>
      </c>
      <c r="B71" s="100" t="s">
        <v>113</v>
      </c>
      <c r="C71" s="97">
        <v>1341064</v>
      </c>
      <c r="D71" s="97">
        <v>1466728</v>
      </c>
      <c r="E71" s="97">
        <f t="shared" si="9"/>
        <v>125664</v>
      </c>
      <c r="F71" s="98">
        <f t="shared" si="10"/>
        <v>9.3704700148538767E-2</v>
      </c>
    </row>
    <row r="72" spans="1:6" ht="18" customHeight="1" x14ac:dyDescent="0.25">
      <c r="A72" s="99">
        <v>3</v>
      </c>
      <c r="B72" s="100" t="s">
        <v>114</v>
      </c>
      <c r="C72" s="97">
        <v>1873675</v>
      </c>
      <c r="D72" s="97">
        <v>3390249</v>
      </c>
      <c r="E72" s="97">
        <f t="shared" si="9"/>
        <v>1516574</v>
      </c>
      <c r="F72" s="98">
        <f t="shared" si="10"/>
        <v>0.80941145075853604</v>
      </c>
    </row>
    <row r="73" spans="1:6" ht="18" customHeight="1" x14ac:dyDescent="0.25">
      <c r="A73" s="99">
        <v>4</v>
      </c>
      <c r="B73" s="100" t="s">
        <v>115</v>
      </c>
      <c r="C73" s="97">
        <v>3870021</v>
      </c>
      <c r="D73" s="97">
        <v>3315979</v>
      </c>
      <c r="E73" s="97">
        <f t="shared" si="9"/>
        <v>-554042</v>
      </c>
      <c r="F73" s="98">
        <f t="shared" si="10"/>
        <v>-0.14316253064259857</v>
      </c>
    </row>
    <row r="74" spans="1:6" ht="18" customHeight="1" x14ac:dyDescent="0.25">
      <c r="A74" s="99">
        <v>5</v>
      </c>
      <c r="B74" s="100" t="s">
        <v>116</v>
      </c>
      <c r="C74" s="97">
        <v>170553</v>
      </c>
      <c r="D74" s="97">
        <v>134184</v>
      </c>
      <c r="E74" s="97">
        <f t="shared" si="9"/>
        <v>-36369</v>
      </c>
      <c r="F74" s="98">
        <f t="shared" si="10"/>
        <v>-0.21324163163356846</v>
      </c>
    </row>
    <row r="75" spans="1:6" ht="18" customHeight="1" x14ac:dyDescent="0.25">
      <c r="A75" s="99">
        <v>6</v>
      </c>
      <c r="B75" s="100" t="s">
        <v>117</v>
      </c>
      <c r="C75" s="97">
        <v>23328960</v>
      </c>
      <c r="D75" s="97">
        <v>24461844</v>
      </c>
      <c r="E75" s="97">
        <f t="shared" si="9"/>
        <v>1132884</v>
      </c>
      <c r="F75" s="98">
        <f t="shared" si="10"/>
        <v>4.8561273198633799E-2</v>
      </c>
    </row>
    <row r="76" spans="1:6" ht="18" customHeight="1" x14ac:dyDescent="0.25">
      <c r="A76" s="99">
        <v>7</v>
      </c>
      <c r="B76" s="100" t="s">
        <v>118</v>
      </c>
      <c r="C76" s="97">
        <v>0</v>
      </c>
      <c r="D76" s="97">
        <v>0</v>
      </c>
      <c r="E76" s="97">
        <f t="shared" si="9"/>
        <v>0</v>
      </c>
      <c r="F76" s="98">
        <f t="shared" si="10"/>
        <v>0</v>
      </c>
    </row>
    <row r="77" spans="1:6" ht="18" customHeight="1" x14ac:dyDescent="0.25">
      <c r="A77" s="99">
        <v>8</v>
      </c>
      <c r="B77" s="100" t="s">
        <v>119</v>
      </c>
      <c r="C77" s="97">
        <v>1523255</v>
      </c>
      <c r="D77" s="97">
        <v>1495438</v>
      </c>
      <c r="E77" s="97">
        <f t="shared" si="9"/>
        <v>-27817</v>
      </c>
      <c r="F77" s="98">
        <f t="shared" si="10"/>
        <v>-1.8261551742813908E-2</v>
      </c>
    </row>
    <row r="78" spans="1:6" ht="18" customHeight="1" x14ac:dyDescent="0.25">
      <c r="A78" s="99">
        <v>9</v>
      </c>
      <c r="B78" s="100" t="s">
        <v>120</v>
      </c>
      <c r="C78" s="97">
        <v>155386</v>
      </c>
      <c r="D78" s="97">
        <v>122464</v>
      </c>
      <c r="E78" s="97">
        <f t="shared" si="9"/>
        <v>-32922</v>
      </c>
      <c r="F78" s="98">
        <f t="shared" si="10"/>
        <v>-0.21187236945413357</v>
      </c>
    </row>
    <row r="79" spans="1:6" ht="18" customHeight="1" x14ac:dyDescent="0.25">
      <c r="A79" s="99">
        <v>10</v>
      </c>
      <c r="B79" s="100" t="s">
        <v>121</v>
      </c>
      <c r="C79" s="97">
        <v>656708</v>
      </c>
      <c r="D79" s="97">
        <v>0</v>
      </c>
      <c r="E79" s="97">
        <f t="shared" si="9"/>
        <v>-656708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58337</v>
      </c>
      <c r="D80" s="97">
        <v>28274</v>
      </c>
      <c r="E80" s="97">
        <f t="shared" si="9"/>
        <v>-30063</v>
      </c>
      <c r="F80" s="98">
        <f t="shared" si="10"/>
        <v>-0.5153333219054802</v>
      </c>
    </row>
    <row r="81" spans="1:6" ht="18" customHeight="1" x14ac:dyDescent="0.25">
      <c r="A81" s="101"/>
      <c r="B81" s="102" t="s">
        <v>133</v>
      </c>
      <c r="C81" s="103">
        <f>SUM(C70:C80)</f>
        <v>41135175</v>
      </c>
      <c r="D81" s="103">
        <f>SUM(D70:D80)</f>
        <v>42422595</v>
      </c>
      <c r="E81" s="103">
        <f t="shared" si="9"/>
        <v>1287420</v>
      </c>
      <c r="F81" s="104">
        <f t="shared" si="10"/>
        <v>3.1297302126464761E-2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32233901</v>
      </c>
      <c r="D84" s="103">
        <f t="shared" si="11"/>
        <v>31410247</v>
      </c>
      <c r="E84" s="103">
        <f t="shared" ref="E84:E95" si="12">D84-C84</f>
        <v>-823654</v>
      </c>
      <c r="F84" s="104">
        <f t="shared" ref="F84:F95" si="13">IF(C84=0,0,E84/C84)</f>
        <v>-2.5552414521593275E-2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3872900</v>
      </c>
      <c r="D85" s="103">
        <f t="shared" si="11"/>
        <v>4398865</v>
      </c>
      <c r="E85" s="103">
        <f t="shared" si="12"/>
        <v>525965</v>
      </c>
      <c r="F85" s="104">
        <f t="shared" si="13"/>
        <v>0.13580650158795735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4565731</v>
      </c>
      <c r="D86" s="103">
        <f t="shared" si="11"/>
        <v>5900500</v>
      </c>
      <c r="E86" s="103">
        <f t="shared" si="12"/>
        <v>1334769</v>
      </c>
      <c r="F86" s="104">
        <f t="shared" si="13"/>
        <v>0.29234508121481534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6221940</v>
      </c>
      <c r="D87" s="103">
        <f t="shared" si="11"/>
        <v>4969343</v>
      </c>
      <c r="E87" s="103">
        <f t="shared" si="12"/>
        <v>-1252597</v>
      </c>
      <c r="F87" s="104">
        <f t="shared" si="13"/>
        <v>-0.20131936341398343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227611</v>
      </c>
      <c r="D88" s="103">
        <f t="shared" si="11"/>
        <v>187666</v>
      </c>
      <c r="E88" s="103">
        <f t="shared" si="12"/>
        <v>-39945</v>
      </c>
      <c r="F88" s="104">
        <f t="shared" si="13"/>
        <v>-0.17549679057690534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32027342</v>
      </c>
      <c r="D89" s="103">
        <f t="shared" si="11"/>
        <v>33667124</v>
      </c>
      <c r="E89" s="103">
        <f t="shared" si="12"/>
        <v>1639782</v>
      </c>
      <c r="F89" s="104">
        <f t="shared" si="13"/>
        <v>5.1199440777820404E-2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0</v>
      </c>
      <c r="D90" s="103">
        <f t="shared" si="11"/>
        <v>0</v>
      </c>
      <c r="E90" s="103">
        <f t="shared" si="12"/>
        <v>0</v>
      </c>
      <c r="F90" s="104">
        <f t="shared" si="13"/>
        <v>0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1675052</v>
      </c>
      <c r="D91" s="103">
        <f t="shared" si="11"/>
        <v>1657223</v>
      </c>
      <c r="E91" s="103">
        <f t="shared" si="12"/>
        <v>-17829</v>
      </c>
      <c r="F91" s="104">
        <f t="shared" si="13"/>
        <v>-1.0643848668578646E-2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302544</v>
      </c>
      <c r="D92" s="103">
        <f t="shared" si="11"/>
        <v>169214</v>
      </c>
      <c r="E92" s="103">
        <f t="shared" si="12"/>
        <v>-133330</v>
      </c>
      <c r="F92" s="104">
        <f t="shared" si="13"/>
        <v>-0.44069622930879476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1238991</v>
      </c>
      <c r="D93" s="103">
        <f t="shared" si="11"/>
        <v>0</v>
      </c>
      <c r="E93" s="103">
        <f t="shared" si="12"/>
        <v>-1238991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122055</v>
      </c>
      <c r="D94" s="103">
        <f t="shared" si="11"/>
        <v>146864</v>
      </c>
      <c r="E94" s="103">
        <f t="shared" si="12"/>
        <v>24809</v>
      </c>
      <c r="F94" s="104">
        <f t="shared" si="13"/>
        <v>0.20326082503789275</v>
      </c>
    </row>
    <row r="95" spans="1:6" ht="18.75" customHeight="1" thickBot="1" x14ac:dyDescent="0.3">
      <c r="A95" s="115"/>
      <c r="B95" s="116" t="s">
        <v>134</v>
      </c>
      <c r="C95" s="112">
        <f>SUM(C84:C94)</f>
        <v>82488067</v>
      </c>
      <c r="D95" s="112">
        <f>SUM(D84:D94)</f>
        <v>82507046</v>
      </c>
      <c r="E95" s="112">
        <f t="shared" si="12"/>
        <v>18979</v>
      </c>
      <c r="F95" s="113">
        <f t="shared" si="13"/>
        <v>2.3008176443266637E-4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2256</v>
      </c>
      <c r="D100" s="117">
        <v>2057</v>
      </c>
      <c r="E100" s="117">
        <f t="shared" ref="E100:E111" si="14">D100-C100</f>
        <v>-199</v>
      </c>
      <c r="F100" s="98">
        <f t="shared" ref="F100:F111" si="15">IF(C100=0,0,E100/C100)</f>
        <v>-8.8209219858156024E-2</v>
      </c>
    </row>
    <row r="101" spans="1:6" ht="18" customHeight="1" x14ac:dyDescent="0.25">
      <c r="A101" s="99">
        <v>2</v>
      </c>
      <c r="B101" s="100" t="s">
        <v>113</v>
      </c>
      <c r="C101" s="117">
        <v>261</v>
      </c>
      <c r="D101" s="117">
        <v>315</v>
      </c>
      <c r="E101" s="117">
        <f t="shared" si="14"/>
        <v>54</v>
      </c>
      <c r="F101" s="98">
        <f t="shared" si="15"/>
        <v>0.20689655172413793</v>
      </c>
    </row>
    <row r="102" spans="1:6" ht="18" customHeight="1" x14ac:dyDescent="0.25">
      <c r="A102" s="99">
        <v>3</v>
      </c>
      <c r="B102" s="100" t="s">
        <v>114</v>
      </c>
      <c r="C102" s="117">
        <v>428</v>
      </c>
      <c r="D102" s="117">
        <v>529</v>
      </c>
      <c r="E102" s="117">
        <f t="shared" si="14"/>
        <v>101</v>
      </c>
      <c r="F102" s="98">
        <f t="shared" si="15"/>
        <v>0.23598130841121495</v>
      </c>
    </row>
    <row r="103" spans="1:6" ht="18" customHeight="1" x14ac:dyDescent="0.25">
      <c r="A103" s="99">
        <v>4</v>
      </c>
      <c r="B103" s="100" t="s">
        <v>115</v>
      </c>
      <c r="C103" s="117">
        <v>633</v>
      </c>
      <c r="D103" s="117">
        <v>506</v>
      </c>
      <c r="E103" s="117">
        <f t="shared" si="14"/>
        <v>-127</v>
      </c>
      <c r="F103" s="98">
        <f t="shared" si="15"/>
        <v>-0.20063191153238547</v>
      </c>
    </row>
    <row r="104" spans="1:6" ht="18" customHeight="1" x14ac:dyDescent="0.25">
      <c r="A104" s="99">
        <v>5</v>
      </c>
      <c r="B104" s="100" t="s">
        <v>116</v>
      </c>
      <c r="C104" s="117">
        <v>14</v>
      </c>
      <c r="D104" s="117">
        <v>18</v>
      </c>
      <c r="E104" s="117">
        <f t="shared" si="14"/>
        <v>4</v>
      </c>
      <c r="F104" s="98">
        <f t="shared" si="15"/>
        <v>0.2857142857142857</v>
      </c>
    </row>
    <row r="105" spans="1:6" ht="18" customHeight="1" x14ac:dyDescent="0.25">
      <c r="A105" s="99">
        <v>6</v>
      </c>
      <c r="B105" s="100" t="s">
        <v>117</v>
      </c>
      <c r="C105" s="117">
        <v>1260</v>
      </c>
      <c r="D105" s="117">
        <v>1174</v>
      </c>
      <c r="E105" s="117">
        <f t="shared" si="14"/>
        <v>-86</v>
      </c>
      <c r="F105" s="98">
        <f t="shared" si="15"/>
        <v>-6.8253968253968247E-2</v>
      </c>
    </row>
    <row r="106" spans="1:6" ht="18" customHeight="1" x14ac:dyDescent="0.25">
      <c r="A106" s="99">
        <v>7</v>
      </c>
      <c r="B106" s="100" t="s">
        <v>118</v>
      </c>
      <c r="C106" s="117">
        <v>0</v>
      </c>
      <c r="D106" s="117">
        <v>0</v>
      </c>
      <c r="E106" s="117">
        <f t="shared" si="14"/>
        <v>0</v>
      </c>
      <c r="F106" s="98">
        <f t="shared" si="15"/>
        <v>0</v>
      </c>
    </row>
    <row r="107" spans="1:6" ht="18" customHeight="1" x14ac:dyDescent="0.25">
      <c r="A107" s="99">
        <v>8</v>
      </c>
      <c r="B107" s="100" t="s">
        <v>119</v>
      </c>
      <c r="C107" s="117">
        <v>15</v>
      </c>
      <c r="D107" s="117">
        <v>16</v>
      </c>
      <c r="E107" s="117">
        <f t="shared" si="14"/>
        <v>1</v>
      </c>
      <c r="F107" s="98">
        <f t="shared" si="15"/>
        <v>6.6666666666666666E-2</v>
      </c>
    </row>
    <row r="108" spans="1:6" ht="18" customHeight="1" x14ac:dyDescent="0.25">
      <c r="A108" s="99">
        <v>9</v>
      </c>
      <c r="B108" s="100" t="s">
        <v>120</v>
      </c>
      <c r="C108" s="117">
        <v>106</v>
      </c>
      <c r="D108" s="117">
        <v>66</v>
      </c>
      <c r="E108" s="117">
        <f t="shared" si="14"/>
        <v>-40</v>
      </c>
      <c r="F108" s="98">
        <f t="shared" si="15"/>
        <v>-0.37735849056603776</v>
      </c>
    </row>
    <row r="109" spans="1:6" ht="18" customHeight="1" x14ac:dyDescent="0.25">
      <c r="A109" s="99">
        <v>10</v>
      </c>
      <c r="B109" s="100" t="s">
        <v>121</v>
      </c>
      <c r="C109" s="117">
        <v>115</v>
      </c>
      <c r="D109" s="117">
        <v>0</v>
      </c>
      <c r="E109" s="117">
        <f t="shared" si="14"/>
        <v>-115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12</v>
      </c>
      <c r="D110" s="117">
        <v>20</v>
      </c>
      <c r="E110" s="117">
        <f t="shared" si="14"/>
        <v>8</v>
      </c>
      <c r="F110" s="98">
        <f t="shared" si="15"/>
        <v>0.66666666666666663</v>
      </c>
    </row>
    <row r="111" spans="1:6" ht="18" customHeight="1" x14ac:dyDescent="0.25">
      <c r="A111" s="101"/>
      <c r="B111" s="102" t="s">
        <v>138</v>
      </c>
      <c r="C111" s="118">
        <f>SUM(C100:C110)</f>
        <v>5100</v>
      </c>
      <c r="D111" s="118">
        <f>SUM(D100:D110)</f>
        <v>4701</v>
      </c>
      <c r="E111" s="118">
        <f t="shared" si="14"/>
        <v>-399</v>
      </c>
      <c r="F111" s="104">
        <f t="shared" si="15"/>
        <v>-7.8235294117647056E-2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11040</v>
      </c>
      <c r="D113" s="117">
        <v>10775</v>
      </c>
      <c r="E113" s="117">
        <f t="shared" ref="E113:E124" si="16">D113-C113</f>
        <v>-265</v>
      </c>
      <c r="F113" s="98">
        <f t="shared" ref="F113:F124" si="17">IF(C113=0,0,E113/C113)</f>
        <v>-2.4003623188405796E-2</v>
      </c>
    </row>
    <row r="114" spans="1:6" ht="18" customHeight="1" x14ac:dyDescent="0.25">
      <c r="A114" s="99">
        <v>2</v>
      </c>
      <c r="B114" s="100" t="s">
        <v>113</v>
      </c>
      <c r="C114" s="117">
        <v>1300</v>
      </c>
      <c r="D114" s="117">
        <v>1625</v>
      </c>
      <c r="E114" s="117">
        <f t="shared" si="16"/>
        <v>325</v>
      </c>
      <c r="F114" s="98">
        <f t="shared" si="17"/>
        <v>0.25</v>
      </c>
    </row>
    <row r="115" spans="1:6" ht="18" customHeight="1" x14ac:dyDescent="0.25">
      <c r="A115" s="99">
        <v>3</v>
      </c>
      <c r="B115" s="100" t="s">
        <v>114</v>
      </c>
      <c r="C115" s="117">
        <v>1733</v>
      </c>
      <c r="D115" s="117">
        <v>2251</v>
      </c>
      <c r="E115" s="117">
        <f t="shared" si="16"/>
        <v>518</v>
      </c>
      <c r="F115" s="98">
        <f t="shared" si="17"/>
        <v>0.29890363531448355</v>
      </c>
    </row>
    <row r="116" spans="1:6" ht="18" customHeight="1" x14ac:dyDescent="0.25">
      <c r="A116" s="99">
        <v>4</v>
      </c>
      <c r="B116" s="100" t="s">
        <v>115</v>
      </c>
      <c r="C116" s="117">
        <v>1626</v>
      </c>
      <c r="D116" s="117">
        <v>1274</v>
      </c>
      <c r="E116" s="117">
        <f t="shared" si="16"/>
        <v>-352</v>
      </c>
      <c r="F116" s="98">
        <f t="shared" si="17"/>
        <v>-0.21648216482164823</v>
      </c>
    </row>
    <row r="117" spans="1:6" ht="18" customHeight="1" x14ac:dyDescent="0.25">
      <c r="A117" s="99">
        <v>5</v>
      </c>
      <c r="B117" s="100" t="s">
        <v>116</v>
      </c>
      <c r="C117" s="117">
        <v>38</v>
      </c>
      <c r="D117" s="117">
        <v>35</v>
      </c>
      <c r="E117" s="117">
        <f t="shared" si="16"/>
        <v>-3</v>
      </c>
      <c r="F117" s="98">
        <f t="shared" si="17"/>
        <v>-7.8947368421052627E-2</v>
      </c>
    </row>
    <row r="118" spans="1:6" ht="18" customHeight="1" x14ac:dyDescent="0.25">
      <c r="A118" s="99">
        <v>6</v>
      </c>
      <c r="B118" s="100" t="s">
        <v>117</v>
      </c>
      <c r="C118" s="117">
        <v>4043</v>
      </c>
      <c r="D118" s="117">
        <v>3694</v>
      </c>
      <c r="E118" s="117">
        <f t="shared" si="16"/>
        <v>-349</v>
      </c>
      <c r="F118" s="98">
        <f t="shared" si="17"/>
        <v>-8.632203809052684E-2</v>
      </c>
    </row>
    <row r="119" spans="1:6" ht="18" customHeight="1" x14ac:dyDescent="0.25">
      <c r="A119" s="99">
        <v>7</v>
      </c>
      <c r="B119" s="100" t="s">
        <v>118</v>
      </c>
      <c r="C119" s="117">
        <v>0</v>
      </c>
      <c r="D119" s="117">
        <v>0</v>
      </c>
      <c r="E119" s="117">
        <f t="shared" si="16"/>
        <v>0</v>
      </c>
      <c r="F119" s="98">
        <f t="shared" si="17"/>
        <v>0</v>
      </c>
    </row>
    <row r="120" spans="1:6" ht="18" customHeight="1" x14ac:dyDescent="0.25">
      <c r="A120" s="99">
        <v>8</v>
      </c>
      <c r="B120" s="100" t="s">
        <v>119</v>
      </c>
      <c r="C120" s="117">
        <v>50</v>
      </c>
      <c r="D120" s="117">
        <v>52</v>
      </c>
      <c r="E120" s="117">
        <f t="shared" si="16"/>
        <v>2</v>
      </c>
      <c r="F120" s="98">
        <f t="shared" si="17"/>
        <v>0.04</v>
      </c>
    </row>
    <row r="121" spans="1:6" ht="18" customHeight="1" x14ac:dyDescent="0.25">
      <c r="A121" s="99">
        <v>9</v>
      </c>
      <c r="B121" s="100" t="s">
        <v>120</v>
      </c>
      <c r="C121" s="117">
        <v>398</v>
      </c>
      <c r="D121" s="117">
        <v>220</v>
      </c>
      <c r="E121" s="117">
        <f t="shared" si="16"/>
        <v>-178</v>
      </c>
      <c r="F121" s="98">
        <f t="shared" si="17"/>
        <v>-0.44723618090452261</v>
      </c>
    </row>
    <row r="122" spans="1:6" ht="18" customHeight="1" x14ac:dyDescent="0.25">
      <c r="A122" s="99">
        <v>10</v>
      </c>
      <c r="B122" s="100" t="s">
        <v>121</v>
      </c>
      <c r="C122" s="117">
        <v>568</v>
      </c>
      <c r="D122" s="117">
        <v>0</v>
      </c>
      <c r="E122" s="117">
        <f t="shared" si="16"/>
        <v>-568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54</v>
      </c>
      <c r="D123" s="117">
        <v>70</v>
      </c>
      <c r="E123" s="117">
        <f t="shared" si="16"/>
        <v>16</v>
      </c>
      <c r="F123" s="98">
        <f t="shared" si="17"/>
        <v>0.29629629629629628</v>
      </c>
    </row>
    <row r="124" spans="1:6" ht="18" customHeight="1" x14ac:dyDescent="0.25">
      <c r="A124" s="101"/>
      <c r="B124" s="102" t="s">
        <v>140</v>
      </c>
      <c r="C124" s="118">
        <f>SUM(C113:C123)</f>
        <v>20850</v>
      </c>
      <c r="D124" s="118">
        <f>SUM(D113:D123)</f>
        <v>19996</v>
      </c>
      <c r="E124" s="118">
        <f t="shared" si="16"/>
        <v>-854</v>
      </c>
      <c r="F124" s="104">
        <f t="shared" si="17"/>
        <v>-4.0959232613908873E-2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42252</v>
      </c>
      <c r="D126" s="117">
        <v>42541</v>
      </c>
      <c r="E126" s="117">
        <f t="shared" ref="E126:E137" si="18">D126-C126</f>
        <v>289</v>
      </c>
      <c r="F126" s="98">
        <f t="shared" ref="F126:F137" si="19">IF(C126=0,0,E126/C126)</f>
        <v>6.8399129035311935E-3</v>
      </c>
    </row>
    <row r="127" spans="1:6" ht="18" customHeight="1" x14ac:dyDescent="0.25">
      <c r="A127" s="99">
        <v>2</v>
      </c>
      <c r="B127" s="100" t="s">
        <v>113</v>
      </c>
      <c r="C127" s="117">
        <v>6519</v>
      </c>
      <c r="D127" s="117">
        <v>7587</v>
      </c>
      <c r="E127" s="117">
        <f t="shared" si="18"/>
        <v>1068</v>
      </c>
      <c r="F127" s="98">
        <f t="shared" si="19"/>
        <v>0.16382880809940176</v>
      </c>
    </row>
    <row r="128" spans="1:6" ht="18" customHeight="1" x14ac:dyDescent="0.25">
      <c r="A128" s="99">
        <v>3</v>
      </c>
      <c r="B128" s="100" t="s">
        <v>114</v>
      </c>
      <c r="C128" s="117">
        <v>8661</v>
      </c>
      <c r="D128" s="117">
        <v>14362</v>
      </c>
      <c r="E128" s="117">
        <f t="shared" si="18"/>
        <v>5701</v>
      </c>
      <c r="F128" s="98">
        <f t="shared" si="19"/>
        <v>0.65823807874379403</v>
      </c>
    </row>
    <row r="129" spans="1:6" ht="18" customHeight="1" x14ac:dyDescent="0.25">
      <c r="A129" s="99">
        <v>4</v>
      </c>
      <c r="B129" s="100" t="s">
        <v>115</v>
      </c>
      <c r="C129" s="117">
        <v>17673</v>
      </c>
      <c r="D129" s="117">
        <v>17743</v>
      </c>
      <c r="E129" s="117">
        <f t="shared" si="18"/>
        <v>70</v>
      </c>
      <c r="F129" s="98">
        <f t="shared" si="19"/>
        <v>3.9608442256549537E-3</v>
      </c>
    </row>
    <row r="130" spans="1:6" ht="18" customHeight="1" x14ac:dyDescent="0.25">
      <c r="A130" s="99">
        <v>5</v>
      </c>
      <c r="B130" s="100" t="s">
        <v>116</v>
      </c>
      <c r="C130" s="117">
        <v>535</v>
      </c>
      <c r="D130" s="117">
        <v>532</v>
      </c>
      <c r="E130" s="117">
        <f t="shared" si="18"/>
        <v>-3</v>
      </c>
      <c r="F130" s="98">
        <f t="shared" si="19"/>
        <v>-5.6074766355140183E-3</v>
      </c>
    </row>
    <row r="131" spans="1:6" ht="18" customHeight="1" x14ac:dyDescent="0.25">
      <c r="A131" s="99">
        <v>6</v>
      </c>
      <c r="B131" s="100" t="s">
        <v>117</v>
      </c>
      <c r="C131" s="117">
        <v>73175</v>
      </c>
      <c r="D131" s="117">
        <v>72640</v>
      </c>
      <c r="E131" s="117">
        <f t="shared" si="18"/>
        <v>-535</v>
      </c>
      <c r="F131" s="98">
        <f t="shared" si="19"/>
        <v>-7.311240177656303E-3</v>
      </c>
    </row>
    <row r="132" spans="1:6" ht="18" customHeight="1" x14ac:dyDescent="0.25">
      <c r="A132" s="99">
        <v>7</v>
      </c>
      <c r="B132" s="100" t="s">
        <v>118</v>
      </c>
      <c r="C132" s="117">
        <v>0</v>
      </c>
      <c r="D132" s="117">
        <v>0</v>
      </c>
      <c r="E132" s="117">
        <f t="shared" si="18"/>
        <v>0</v>
      </c>
      <c r="F132" s="98">
        <f t="shared" si="19"/>
        <v>0</v>
      </c>
    </row>
    <row r="133" spans="1:6" ht="18" customHeight="1" x14ac:dyDescent="0.25">
      <c r="A133" s="99">
        <v>8</v>
      </c>
      <c r="B133" s="100" t="s">
        <v>119</v>
      </c>
      <c r="C133" s="117">
        <v>1851</v>
      </c>
      <c r="D133" s="117">
        <v>1816</v>
      </c>
      <c r="E133" s="117">
        <f t="shared" si="18"/>
        <v>-35</v>
      </c>
      <c r="F133" s="98">
        <f t="shared" si="19"/>
        <v>-1.8908698001080498E-2</v>
      </c>
    </row>
    <row r="134" spans="1:6" ht="18" customHeight="1" x14ac:dyDescent="0.25">
      <c r="A134" s="99">
        <v>9</v>
      </c>
      <c r="B134" s="100" t="s">
        <v>120</v>
      </c>
      <c r="C134" s="117">
        <v>4982</v>
      </c>
      <c r="D134" s="117">
        <v>5128</v>
      </c>
      <c r="E134" s="117">
        <f t="shared" si="18"/>
        <v>146</v>
      </c>
      <c r="F134" s="98">
        <f t="shared" si="19"/>
        <v>2.93054997992774E-2</v>
      </c>
    </row>
    <row r="135" spans="1:6" ht="18" customHeight="1" x14ac:dyDescent="0.25">
      <c r="A135" s="99">
        <v>10</v>
      </c>
      <c r="B135" s="100" t="s">
        <v>121</v>
      </c>
      <c r="C135" s="117">
        <v>4005</v>
      </c>
      <c r="D135" s="117">
        <v>0</v>
      </c>
      <c r="E135" s="117">
        <f t="shared" si="18"/>
        <v>-4005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181</v>
      </c>
      <c r="D136" s="117">
        <v>162</v>
      </c>
      <c r="E136" s="117">
        <f t="shared" si="18"/>
        <v>-19</v>
      </c>
      <c r="F136" s="98">
        <f t="shared" si="19"/>
        <v>-0.10497237569060773</v>
      </c>
    </row>
    <row r="137" spans="1:6" ht="18" customHeight="1" x14ac:dyDescent="0.25">
      <c r="A137" s="101"/>
      <c r="B137" s="102" t="s">
        <v>143</v>
      </c>
      <c r="C137" s="118">
        <f>SUM(C126:C136)</f>
        <v>159834</v>
      </c>
      <c r="D137" s="118">
        <f>SUM(D126:D136)</f>
        <v>162511</v>
      </c>
      <c r="E137" s="118">
        <f t="shared" si="18"/>
        <v>2677</v>
      </c>
      <c r="F137" s="104">
        <f t="shared" si="19"/>
        <v>1.6748626700201458E-2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5173583</v>
      </c>
      <c r="D142" s="97">
        <v>5762199</v>
      </c>
      <c r="E142" s="97">
        <f t="shared" ref="E142:E153" si="20">D142-C142</f>
        <v>588616</v>
      </c>
      <c r="F142" s="98">
        <f t="shared" ref="F142:F153" si="21">IF(C142=0,0,E142/C142)</f>
        <v>0.11377337524110466</v>
      </c>
    </row>
    <row r="143" spans="1:6" ht="18" customHeight="1" x14ac:dyDescent="0.25">
      <c r="A143" s="99">
        <v>2</v>
      </c>
      <c r="B143" s="100" t="s">
        <v>113</v>
      </c>
      <c r="C143" s="97">
        <v>718141</v>
      </c>
      <c r="D143" s="97">
        <v>847284</v>
      </c>
      <c r="E143" s="97">
        <f t="shared" si="20"/>
        <v>129143</v>
      </c>
      <c r="F143" s="98">
        <f t="shared" si="21"/>
        <v>0.17982958778290056</v>
      </c>
    </row>
    <row r="144" spans="1:6" ht="18" customHeight="1" x14ac:dyDescent="0.25">
      <c r="A144" s="99">
        <v>3</v>
      </c>
      <c r="B144" s="100" t="s">
        <v>114</v>
      </c>
      <c r="C144" s="97">
        <v>4284511</v>
      </c>
      <c r="D144" s="97">
        <v>7640412</v>
      </c>
      <c r="E144" s="97">
        <f t="shared" si="20"/>
        <v>3355901</v>
      </c>
      <c r="F144" s="98">
        <f t="shared" si="21"/>
        <v>0.78326348094333287</v>
      </c>
    </row>
    <row r="145" spans="1:6" ht="18" customHeight="1" x14ac:dyDescent="0.25">
      <c r="A145" s="99">
        <v>4</v>
      </c>
      <c r="B145" s="100" t="s">
        <v>115</v>
      </c>
      <c r="C145" s="97">
        <v>6808915</v>
      </c>
      <c r="D145" s="97">
        <v>6462154</v>
      </c>
      <c r="E145" s="97">
        <f t="shared" si="20"/>
        <v>-346761</v>
      </c>
      <c r="F145" s="98">
        <f t="shared" si="21"/>
        <v>-5.0927497259108098E-2</v>
      </c>
    </row>
    <row r="146" spans="1:6" ht="18" customHeight="1" x14ac:dyDescent="0.25">
      <c r="A146" s="99">
        <v>5</v>
      </c>
      <c r="B146" s="100" t="s">
        <v>116</v>
      </c>
      <c r="C146" s="97">
        <v>280812</v>
      </c>
      <c r="D146" s="97">
        <v>209846</v>
      </c>
      <c r="E146" s="97">
        <f t="shared" si="20"/>
        <v>-70966</v>
      </c>
      <c r="F146" s="98">
        <f t="shared" si="21"/>
        <v>-0.25271712035098215</v>
      </c>
    </row>
    <row r="147" spans="1:6" ht="18" customHeight="1" x14ac:dyDescent="0.25">
      <c r="A147" s="99">
        <v>6</v>
      </c>
      <c r="B147" s="100" t="s">
        <v>117</v>
      </c>
      <c r="C147" s="97">
        <v>11410289</v>
      </c>
      <c r="D147" s="97">
        <v>11876912</v>
      </c>
      <c r="E147" s="97">
        <f t="shared" si="20"/>
        <v>466623</v>
      </c>
      <c r="F147" s="98">
        <f t="shared" si="21"/>
        <v>4.0894932634922741E-2</v>
      </c>
    </row>
    <row r="148" spans="1:6" ht="18" customHeight="1" x14ac:dyDescent="0.25">
      <c r="A148" s="99">
        <v>7</v>
      </c>
      <c r="B148" s="100" t="s">
        <v>118</v>
      </c>
      <c r="C148" s="97">
        <v>0</v>
      </c>
      <c r="D148" s="97">
        <v>0</v>
      </c>
      <c r="E148" s="97">
        <f t="shared" si="20"/>
        <v>0</v>
      </c>
      <c r="F148" s="98">
        <f t="shared" si="21"/>
        <v>0</v>
      </c>
    </row>
    <row r="149" spans="1:6" ht="18" customHeight="1" x14ac:dyDescent="0.25">
      <c r="A149" s="99">
        <v>8</v>
      </c>
      <c r="B149" s="100" t="s">
        <v>119</v>
      </c>
      <c r="C149" s="97">
        <v>502722</v>
      </c>
      <c r="D149" s="97">
        <v>554692</v>
      </c>
      <c r="E149" s="97">
        <f t="shared" si="20"/>
        <v>51970</v>
      </c>
      <c r="F149" s="98">
        <f t="shared" si="21"/>
        <v>0.1033772144445638</v>
      </c>
    </row>
    <row r="150" spans="1:6" ht="18" customHeight="1" x14ac:dyDescent="0.25">
      <c r="A150" s="99">
        <v>9</v>
      </c>
      <c r="B150" s="100" t="s">
        <v>120</v>
      </c>
      <c r="C150" s="97">
        <v>2236098</v>
      </c>
      <c r="D150" s="97">
        <v>2363314</v>
      </c>
      <c r="E150" s="97">
        <f t="shared" si="20"/>
        <v>127216</v>
      </c>
      <c r="F150" s="98">
        <f t="shared" si="21"/>
        <v>5.6891960906901219E-2</v>
      </c>
    </row>
    <row r="151" spans="1:6" ht="18" customHeight="1" x14ac:dyDescent="0.25">
      <c r="A151" s="99">
        <v>10</v>
      </c>
      <c r="B151" s="100" t="s">
        <v>121</v>
      </c>
      <c r="C151" s="97">
        <v>2237938</v>
      </c>
      <c r="D151" s="97">
        <v>0</v>
      </c>
      <c r="E151" s="97">
        <f t="shared" si="20"/>
        <v>-2237938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141946</v>
      </c>
      <c r="D152" s="97">
        <v>149142</v>
      </c>
      <c r="E152" s="97">
        <f t="shared" si="20"/>
        <v>7196</v>
      </c>
      <c r="F152" s="98">
        <f t="shared" si="21"/>
        <v>5.0695334845645527E-2</v>
      </c>
    </row>
    <row r="153" spans="1:6" ht="33.75" customHeight="1" x14ac:dyDescent="0.25">
      <c r="A153" s="101"/>
      <c r="B153" s="102" t="s">
        <v>147</v>
      </c>
      <c r="C153" s="103">
        <f>SUM(C142:C152)</f>
        <v>33794955</v>
      </c>
      <c r="D153" s="103">
        <f>SUM(D142:D152)</f>
        <v>35865955</v>
      </c>
      <c r="E153" s="103">
        <f t="shared" si="20"/>
        <v>2071000</v>
      </c>
      <c r="F153" s="104">
        <f t="shared" si="21"/>
        <v>6.1281336223113776E-2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1476535</v>
      </c>
      <c r="D155" s="97">
        <v>1453094</v>
      </c>
      <c r="E155" s="97">
        <f t="shared" ref="E155:E166" si="22">D155-C155</f>
        <v>-23441</v>
      </c>
      <c r="F155" s="98">
        <f t="shared" ref="F155:F166" si="23">IF(C155=0,0,E155/C155)</f>
        <v>-1.5875681917462168E-2</v>
      </c>
    </row>
    <row r="156" spans="1:6" ht="18" customHeight="1" x14ac:dyDescent="0.25">
      <c r="A156" s="99">
        <v>2</v>
      </c>
      <c r="B156" s="100" t="s">
        <v>113</v>
      </c>
      <c r="C156" s="97">
        <v>202837</v>
      </c>
      <c r="D156" s="97">
        <v>212062</v>
      </c>
      <c r="E156" s="97">
        <f t="shared" si="22"/>
        <v>9225</v>
      </c>
      <c r="F156" s="98">
        <f t="shared" si="23"/>
        <v>4.5479868071407088E-2</v>
      </c>
    </row>
    <row r="157" spans="1:6" ht="18" customHeight="1" x14ac:dyDescent="0.25">
      <c r="A157" s="99">
        <v>3</v>
      </c>
      <c r="B157" s="100" t="s">
        <v>114</v>
      </c>
      <c r="C157" s="97">
        <v>988662</v>
      </c>
      <c r="D157" s="97">
        <v>1528494</v>
      </c>
      <c r="E157" s="97">
        <f t="shared" si="22"/>
        <v>539832</v>
      </c>
      <c r="F157" s="98">
        <f t="shared" si="23"/>
        <v>0.54602280658101554</v>
      </c>
    </row>
    <row r="158" spans="1:6" ht="18" customHeight="1" x14ac:dyDescent="0.25">
      <c r="A158" s="99">
        <v>4</v>
      </c>
      <c r="B158" s="100" t="s">
        <v>115</v>
      </c>
      <c r="C158" s="97">
        <v>2008891</v>
      </c>
      <c r="D158" s="97">
        <v>1634434</v>
      </c>
      <c r="E158" s="97">
        <f t="shared" si="22"/>
        <v>-374457</v>
      </c>
      <c r="F158" s="98">
        <f t="shared" si="23"/>
        <v>-0.18639985942492648</v>
      </c>
    </row>
    <row r="159" spans="1:6" ht="18" customHeight="1" x14ac:dyDescent="0.25">
      <c r="A159" s="99">
        <v>5</v>
      </c>
      <c r="B159" s="100" t="s">
        <v>116</v>
      </c>
      <c r="C159" s="97">
        <v>100362</v>
      </c>
      <c r="D159" s="97">
        <v>65926</v>
      </c>
      <c r="E159" s="97">
        <f t="shared" si="22"/>
        <v>-34436</v>
      </c>
      <c r="F159" s="98">
        <f t="shared" si="23"/>
        <v>-0.34311791315438112</v>
      </c>
    </row>
    <row r="160" spans="1:6" ht="18" customHeight="1" x14ac:dyDescent="0.25">
      <c r="A160" s="99">
        <v>6</v>
      </c>
      <c r="B160" s="100" t="s">
        <v>117</v>
      </c>
      <c r="C160" s="97">
        <v>5149839</v>
      </c>
      <c r="D160" s="97">
        <v>5527783</v>
      </c>
      <c r="E160" s="97">
        <f t="shared" si="22"/>
        <v>377944</v>
      </c>
      <c r="F160" s="98">
        <f t="shared" si="23"/>
        <v>7.338947877788024E-2</v>
      </c>
    </row>
    <row r="161" spans="1:6" ht="18" customHeight="1" x14ac:dyDescent="0.25">
      <c r="A161" s="99">
        <v>7</v>
      </c>
      <c r="B161" s="100" t="s">
        <v>118</v>
      </c>
      <c r="C161" s="97">
        <v>0</v>
      </c>
      <c r="D161" s="97">
        <v>0</v>
      </c>
      <c r="E161" s="97">
        <f t="shared" si="22"/>
        <v>0</v>
      </c>
      <c r="F161" s="98">
        <f t="shared" si="23"/>
        <v>0</v>
      </c>
    </row>
    <row r="162" spans="1:6" ht="18" customHeight="1" x14ac:dyDescent="0.25">
      <c r="A162" s="99">
        <v>8</v>
      </c>
      <c r="B162" s="100" t="s">
        <v>119</v>
      </c>
      <c r="C162" s="97">
        <v>386758</v>
      </c>
      <c r="D162" s="97">
        <v>391004</v>
      </c>
      <c r="E162" s="97">
        <f t="shared" si="22"/>
        <v>4246</v>
      </c>
      <c r="F162" s="98">
        <f t="shared" si="23"/>
        <v>1.0978441299210358E-2</v>
      </c>
    </row>
    <row r="163" spans="1:6" ht="18" customHeight="1" x14ac:dyDescent="0.25">
      <c r="A163" s="99">
        <v>9</v>
      </c>
      <c r="B163" s="100" t="s">
        <v>120</v>
      </c>
      <c r="C163" s="97">
        <v>65233</v>
      </c>
      <c r="D163" s="97">
        <v>43188</v>
      </c>
      <c r="E163" s="97">
        <f t="shared" si="22"/>
        <v>-22045</v>
      </c>
      <c r="F163" s="98">
        <f t="shared" si="23"/>
        <v>-0.3379424524397161</v>
      </c>
    </row>
    <row r="164" spans="1:6" ht="18" customHeight="1" x14ac:dyDescent="0.25">
      <c r="A164" s="99">
        <v>10</v>
      </c>
      <c r="B164" s="100" t="s">
        <v>121</v>
      </c>
      <c r="C164" s="97">
        <v>381059</v>
      </c>
      <c r="D164" s="97">
        <v>0</v>
      </c>
      <c r="E164" s="97">
        <f t="shared" si="22"/>
        <v>-381059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36011</v>
      </c>
      <c r="D165" s="97">
        <v>21961</v>
      </c>
      <c r="E165" s="97">
        <f t="shared" si="22"/>
        <v>-14050</v>
      </c>
      <c r="F165" s="98">
        <f t="shared" si="23"/>
        <v>-0.39015856266140903</v>
      </c>
    </row>
    <row r="166" spans="1:6" ht="33.75" customHeight="1" x14ac:dyDescent="0.25">
      <c r="A166" s="101"/>
      <c r="B166" s="102" t="s">
        <v>149</v>
      </c>
      <c r="C166" s="103">
        <f>SUM(C155:C165)</f>
        <v>10796187</v>
      </c>
      <c r="D166" s="103">
        <f>SUM(D155:D165)</f>
        <v>10877946</v>
      </c>
      <c r="E166" s="103">
        <f t="shared" si="22"/>
        <v>81759</v>
      </c>
      <c r="F166" s="104">
        <f t="shared" si="23"/>
        <v>7.5729514503592799E-3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3606</v>
      </c>
      <c r="D168" s="117">
        <v>3929</v>
      </c>
      <c r="E168" s="117">
        <f t="shared" ref="E168:E179" si="24">D168-C168</f>
        <v>323</v>
      </c>
      <c r="F168" s="98">
        <f t="shared" ref="F168:F179" si="25">IF(C168=0,0,E168/C168)</f>
        <v>8.9572933998890741E-2</v>
      </c>
    </row>
    <row r="169" spans="1:6" ht="18" customHeight="1" x14ac:dyDescent="0.25">
      <c r="A169" s="99">
        <v>2</v>
      </c>
      <c r="B169" s="100" t="s">
        <v>113</v>
      </c>
      <c r="C169" s="117">
        <v>504</v>
      </c>
      <c r="D169" s="117">
        <v>543</v>
      </c>
      <c r="E169" s="117">
        <f t="shared" si="24"/>
        <v>39</v>
      </c>
      <c r="F169" s="98">
        <f t="shared" si="25"/>
        <v>7.7380952380952384E-2</v>
      </c>
    </row>
    <row r="170" spans="1:6" ht="18" customHeight="1" x14ac:dyDescent="0.25">
      <c r="A170" s="99">
        <v>3</v>
      </c>
      <c r="B170" s="100" t="s">
        <v>114</v>
      </c>
      <c r="C170" s="117">
        <v>3025</v>
      </c>
      <c r="D170" s="117">
        <v>5473</v>
      </c>
      <c r="E170" s="117">
        <f t="shared" si="24"/>
        <v>2448</v>
      </c>
      <c r="F170" s="98">
        <f t="shared" si="25"/>
        <v>0.80925619834710749</v>
      </c>
    </row>
    <row r="171" spans="1:6" ht="18" customHeight="1" x14ac:dyDescent="0.25">
      <c r="A171" s="99">
        <v>4</v>
      </c>
      <c r="B171" s="100" t="s">
        <v>115</v>
      </c>
      <c r="C171" s="117">
        <v>7185</v>
      </c>
      <c r="D171" s="117">
        <v>7603</v>
      </c>
      <c r="E171" s="117">
        <f t="shared" si="24"/>
        <v>418</v>
      </c>
      <c r="F171" s="98">
        <f t="shared" si="25"/>
        <v>5.8176757132915799E-2</v>
      </c>
    </row>
    <row r="172" spans="1:6" ht="18" customHeight="1" x14ac:dyDescent="0.25">
      <c r="A172" s="99">
        <v>5</v>
      </c>
      <c r="B172" s="100" t="s">
        <v>116</v>
      </c>
      <c r="C172" s="117">
        <v>266</v>
      </c>
      <c r="D172" s="117">
        <v>197</v>
      </c>
      <c r="E172" s="117">
        <f t="shared" si="24"/>
        <v>-69</v>
      </c>
      <c r="F172" s="98">
        <f t="shared" si="25"/>
        <v>-0.25939849624060152</v>
      </c>
    </row>
    <row r="173" spans="1:6" ht="18" customHeight="1" x14ac:dyDescent="0.25">
      <c r="A173" s="99">
        <v>6</v>
      </c>
      <c r="B173" s="100" t="s">
        <v>117</v>
      </c>
      <c r="C173" s="117">
        <v>9316</v>
      </c>
      <c r="D173" s="117">
        <v>9677</v>
      </c>
      <c r="E173" s="117">
        <f t="shared" si="24"/>
        <v>361</v>
      </c>
      <c r="F173" s="98">
        <f t="shared" si="25"/>
        <v>3.8750536711034782E-2</v>
      </c>
    </row>
    <row r="174" spans="1:6" ht="18" customHeight="1" x14ac:dyDescent="0.25">
      <c r="A174" s="99">
        <v>7</v>
      </c>
      <c r="B174" s="100" t="s">
        <v>118</v>
      </c>
      <c r="C174" s="117">
        <v>0</v>
      </c>
      <c r="D174" s="117">
        <v>0</v>
      </c>
      <c r="E174" s="117">
        <f t="shared" si="24"/>
        <v>0</v>
      </c>
      <c r="F174" s="98">
        <f t="shared" si="25"/>
        <v>0</v>
      </c>
    </row>
    <row r="175" spans="1:6" ht="18" customHeight="1" x14ac:dyDescent="0.25">
      <c r="A175" s="99">
        <v>8</v>
      </c>
      <c r="B175" s="100" t="s">
        <v>119</v>
      </c>
      <c r="C175" s="117">
        <v>698</v>
      </c>
      <c r="D175" s="117">
        <v>746</v>
      </c>
      <c r="E175" s="117">
        <f t="shared" si="24"/>
        <v>48</v>
      </c>
      <c r="F175" s="98">
        <f t="shared" si="25"/>
        <v>6.8767908309455589E-2</v>
      </c>
    </row>
    <row r="176" spans="1:6" ht="18" customHeight="1" x14ac:dyDescent="0.25">
      <c r="A176" s="99">
        <v>9</v>
      </c>
      <c r="B176" s="100" t="s">
        <v>120</v>
      </c>
      <c r="C176" s="117">
        <v>2313</v>
      </c>
      <c r="D176" s="117">
        <v>2446</v>
      </c>
      <c r="E176" s="117">
        <f t="shared" si="24"/>
        <v>133</v>
      </c>
      <c r="F176" s="98">
        <f t="shared" si="25"/>
        <v>5.7501080847384346E-2</v>
      </c>
    </row>
    <row r="177" spans="1:6" ht="18" customHeight="1" x14ac:dyDescent="0.25">
      <c r="A177" s="99">
        <v>10</v>
      </c>
      <c r="B177" s="100" t="s">
        <v>121</v>
      </c>
      <c r="C177" s="117">
        <v>1670</v>
      </c>
      <c r="D177" s="117">
        <v>0</v>
      </c>
      <c r="E177" s="117">
        <f t="shared" si="24"/>
        <v>-1670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114</v>
      </c>
      <c r="D178" s="117">
        <v>130</v>
      </c>
      <c r="E178" s="117">
        <f t="shared" si="24"/>
        <v>16</v>
      </c>
      <c r="F178" s="98">
        <f t="shared" si="25"/>
        <v>0.14035087719298245</v>
      </c>
    </row>
    <row r="179" spans="1:6" ht="33.75" customHeight="1" x14ac:dyDescent="0.25">
      <c r="A179" s="101"/>
      <c r="B179" s="102" t="s">
        <v>151</v>
      </c>
      <c r="C179" s="118">
        <f>SUM(C168:C178)</f>
        <v>28697</v>
      </c>
      <c r="D179" s="118">
        <f>SUM(D168:D178)</f>
        <v>30744</v>
      </c>
      <c r="E179" s="118">
        <f t="shared" si="24"/>
        <v>2047</v>
      </c>
      <c r="F179" s="104">
        <f t="shared" si="25"/>
        <v>7.1331498065999935E-2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FILING&amp;RWINDHAM COMMUNITY MEMORIAL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tabSelected="1" zoomScale="80" zoomScaleNormal="80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12409863</v>
      </c>
      <c r="D15" s="146">
        <v>12572579</v>
      </c>
      <c r="E15" s="146">
        <f>+D15-C15</f>
        <v>162716</v>
      </c>
      <c r="F15" s="150">
        <f>IF(C15=0,0,E15/C15)</f>
        <v>1.3111828873533899E-2</v>
      </c>
    </row>
    <row r="16" spans="1:7" ht="15" customHeight="1" x14ac:dyDescent="0.2">
      <c r="A16" s="141">
        <v>2</v>
      </c>
      <c r="B16" s="149" t="s">
        <v>158</v>
      </c>
      <c r="C16" s="146">
        <v>887642</v>
      </c>
      <c r="D16" s="146">
        <v>2054798</v>
      </c>
      <c r="E16" s="146">
        <f>+D16-C16</f>
        <v>1167156</v>
      </c>
      <c r="F16" s="150">
        <f>IF(C16=0,0,E16/C16)</f>
        <v>1.3148949689176492</v>
      </c>
    </row>
    <row r="17" spans="1:7" ht="15" customHeight="1" x14ac:dyDescent="0.2">
      <c r="A17" s="141">
        <v>3</v>
      </c>
      <c r="B17" s="149" t="s">
        <v>159</v>
      </c>
      <c r="C17" s="146">
        <v>26003628</v>
      </c>
      <c r="D17" s="146">
        <v>26718419</v>
      </c>
      <c r="E17" s="146">
        <f>+D17-C17</f>
        <v>714791</v>
      </c>
      <c r="F17" s="150">
        <f>IF(C17=0,0,E17/C17)</f>
        <v>2.7488125887664597E-2</v>
      </c>
    </row>
    <row r="18" spans="1:7" ht="15.75" customHeight="1" x14ac:dyDescent="0.25">
      <c r="A18" s="141"/>
      <c r="B18" s="151" t="s">
        <v>160</v>
      </c>
      <c r="C18" s="147">
        <f>SUM(C15:C17)</f>
        <v>39301133</v>
      </c>
      <c r="D18" s="147">
        <f>SUM(D15:D17)</f>
        <v>41345796</v>
      </c>
      <c r="E18" s="147">
        <f>+D18-C18</f>
        <v>2044663</v>
      </c>
      <c r="F18" s="148">
        <f>IF(C18=0,0,E18/C18)</f>
        <v>5.2025548474645758E-2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4602323</v>
      </c>
      <c r="D21" s="146">
        <v>4891166</v>
      </c>
      <c r="E21" s="146">
        <f>+D21-C21</f>
        <v>288843</v>
      </c>
      <c r="F21" s="150">
        <f>IF(C21=0,0,E21/C21)</f>
        <v>6.2760262589131616E-2</v>
      </c>
    </row>
    <row r="22" spans="1:7" ht="15" customHeight="1" x14ac:dyDescent="0.2">
      <c r="A22" s="141">
        <v>2</v>
      </c>
      <c r="B22" s="149" t="s">
        <v>163</v>
      </c>
      <c r="C22" s="146">
        <v>329191</v>
      </c>
      <c r="D22" s="146">
        <v>799387</v>
      </c>
      <c r="E22" s="146">
        <f>+D22-C22</f>
        <v>470196</v>
      </c>
      <c r="F22" s="150">
        <f>IF(C22=0,0,E22/C22)</f>
        <v>1.4283379557764337</v>
      </c>
    </row>
    <row r="23" spans="1:7" ht="15" customHeight="1" x14ac:dyDescent="0.2">
      <c r="A23" s="141">
        <v>3</v>
      </c>
      <c r="B23" s="149" t="s">
        <v>164</v>
      </c>
      <c r="C23" s="146">
        <v>9643709</v>
      </c>
      <c r="D23" s="146">
        <v>10394386</v>
      </c>
      <c r="E23" s="146">
        <f>+D23-C23</f>
        <v>750677</v>
      </c>
      <c r="F23" s="150">
        <f>IF(C23=0,0,E23/C23)</f>
        <v>7.7841108643987494E-2</v>
      </c>
    </row>
    <row r="24" spans="1:7" ht="15.75" customHeight="1" x14ac:dyDescent="0.25">
      <c r="A24" s="141"/>
      <c r="B24" s="151" t="s">
        <v>165</v>
      </c>
      <c r="C24" s="147">
        <f>SUM(C21:C23)</f>
        <v>14575223</v>
      </c>
      <c r="D24" s="147">
        <f>SUM(D21:D23)</f>
        <v>16084939</v>
      </c>
      <c r="E24" s="147">
        <f>+D24-C24</f>
        <v>1509716</v>
      </c>
      <c r="F24" s="148">
        <f>IF(C24=0,0,E24/C24)</f>
        <v>0.10358098809191461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592337</v>
      </c>
      <c r="D27" s="146">
        <v>488358</v>
      </c>
      <c r="E27" s="146">
        <f>+D27-C27</f>
        <v>-103979</v>
      </c>
      <c r="F27" s="150">
        <f>IF(C27=0,0,E27/C27)</f>
        <v>-0.17554027521495366</v>
      </c>
    </row>
    <row r="28" spans="1:7" ht="15" customHeight="1" x14ac:dyDescent="0.2">
      <c r="A28" s="141">
        <v>2</v>
      </c>
      <c r="B28" s="149" t="s">
        <v>168</v>
      </c>
      <c r="C28" s="146">
        <v>932425</v>
      </c>
      <c r="D28" s="146">
        <v>693799</v>
      </c>
      <c r="E28" s="146">
        <f>+D28-C28</f>
        <v>-238626</v>
      </c>
      <c r="F28" s="150">
        <f>IF(C28=0,0,E28/C28)</f>
        <v>-0.25591977907070274</v>
      </c>
    </row>
    <row r="29" spans="1:7" ht="15" customHeight="1" x14ac:dyDescent="0.2">
      <c r="A29" s="141">
        <v>3</v>
      </c>
      <c r="B29" s="149" t="s">
        <v>169</v>
      </c>
      <c r="C29" s="146">
        <v>5853147</v>
      </c>
      <c r="D29" s="146">
        <v>6116829</v>
      </c>
      <c r="E29" s="146">
        <f>+D29-C29</f>
        <v>263682</v>
      </c>
      <c r="F29" s="150">
        <f>IF(C29=0,0,E29/C29)</f>
        <v>4.5049611772948805E-2</v>
      </c>
    </row>
    <row r="30" spans="1:7" ht="15.75" customHeight="1" x14ac:dyDescent="0.25">
      <c r="A30" s="141"/>
      <c r="B30" s="151" t="s">
        <v>170</v>
      </c>
      <c r="C30" s="147">
        <f>SUM(C27:C29)</f>
        <v>7377909</v>
      </c>
      <c r="D30" s="147">
        <f>SUM(D27:D29)</f>
        <v>7298986</v>
      </c>
      <c r="E30" s="147">
        <f>+D30-C30</f>
        <v>-78923</v>
      </c>
      <c r="F30" s="148">
        <f>IF(C30=0,0,E30/C30)</f>
        <v>-1.06972043162907E-2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5671740</v>
      </c>
      <c r="D33" s="146">
        <v>5503723</v>
      </c>
      <c r="E33" s="146">
        <f>+D33-C33</f>
        <v>-168017</v>
      </c>
      <c r="F33" s="150">
        <f>IF(C33=0,0,E33/C33)</f>
        <v>-2.9623537045069061E-2</v>
      </c>
    </row>
    <row r="34" spans="1:7" ht="15" customHeight="1" x14ac:dyDescent="0.2">
      <c r="A34" s="141">
        <v>2</v>
      </c>
      <c r="B34" s="149" t="s">
        <v>174</v>
      </c>
      <c r="C34" s="146">
        <v>2323288</v>
      </c>
      <c r="D34" s="146">
        <v>2274118</v>
      </c>
      <c r="E34" s="146">
        <f>+D34-C34</f>
        <v>-49170</v>
      </c>
      <c r="F34" s="150">
        <f>IF(C34=0,0,E34/C34)</f>
        <v>-2.1163971061702209E-2</v>
      </c>
    </row>
    <row r="35" spans="1:7" ht="15.75" customHeight="1" x14ac:dyDescent="0.25">
      <c r="A35" s="141"/>
      <c r="B35" s="151" t="s">
        <v>175</v>
      </c>
      <c r="C35" s="147">
        <f>SUM(C33:C34)</f>
        <v>7995028</v>
      </c>
      <c r="D35" s="147">
        <f>SUM(D33:D34)</f>
        <v>7777841</v>
      </c>
      <c r="E35" s="147">
        <f>+D35-C35</f>
        <v>-217187</v>
      </c>
      <c r="F35" s="148">
        <f>IF(C35=0,0,E35/C35)</f>
        <v>-2.7165258207976259E-2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1663918</v>
      </c>
      <c r="D38" s="146">
        <v>1673434</v>
      </c>
      <c r="E38" s="146">
        <f>+D38-C38</f>
        <v>9516</v>
      </c>
      <c r="F38" s="150">
        <f>IF(C38=0,0,E38/C38)</f>
        <v>5.7190318272895661E-3</v>
      </c>
    </row>
    <row r="39" spans="1:7" ht="15" customHeight="1" x14ac:dyDescent="0.2">
      <c r="A39" s="141">
        <v>2</v>
      </c>
      <c r="B39" s="149" t="s">
        <v>179</v>
      </c>
      <c r="C39" s="146">
        <v>2843074</v>
      </c>
      <c r="D39" s="146">
        <v>2856493</v>
      </c>
      <c r="E39" s="146">
        <f>+D39-C39</f>
        <v>13419</v>
      </c>
      <c r="F39" s="150">
        <f>IF(C39=0,0,E39/C39)</f>
        <v>4.7198912163383721E-3</v>
      </c>
    </row>
    <row r="40" spans="1:7" ht="15" customHeight="1" x14ac:dyDescent="0.2">
      <c r="A40" s="141">
        <v>3</v>
      </c>
      <c r="B40" s="149" t="s">
        <v>180</v>
      </c>
      <c r="C40" s="146">
        <v>15910</v>
      </c>
      <c r="D40" s="146">
        <v>15923</v>
      </c>
      <c r="E40" s="146">
        <f>+D40-C40</f>
        <v>13</v>
      </c>
      <c r="F40" s="150">
        <f>IF(C40=0,0,E40/C40)</f>
        <v>8.1709616593337523E-4</v>
      </c>
    </row>
    <row r="41" spans="1:7" ht="15.75" customHeight="1" x14ac:dyDescent="0.25">
      <c r="A41" s="141"/>
      <c r="B41" s="151" t="s">
        <v>181</v>
      </c>
      <c r="C41" s="147">
        <f>SUM(C38:C40)</f>
        <v>4522902</v>
      </c>
      <c r="D41" s="147">
        <f>SUM(D38:D40)</f>
        <v>4545850</v>
      </c>
      <c r="E41" s="147">
        <f>+D41-C41</f>
        <v>22948</v>
      </c>
      <c r="F41" s="148">
        <f>IF(C41=0,0,E41/C41)</f>
        <v>5.073733633848357E-3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5459445</v>
      </c>
      <c r="D44" s="146">
        <v>3365182</v>
      </c>
      <c r="E44" s="146">
        <f>+D44-C44</f>
        <v>-2094263</v>
      </c>
      <c r="F44" s="150">
        <f>IF(C44=0,0,E44/C44)</f>
        <v>-0.38360364469282132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1557105</v>
      </c>
      <c r="D47" s="146">
        <v>1476666</v>
      </c>
      <c r="E47" s="146">
        <f>+D47-C47</f>
        <v>-80439</v>
      </c>
      <c r="F47" s="150">
        <f>IF(C47=0,0,E47/C47)</f>
        <v>-5.1659329332318628E-2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635157</v>
      </c>
      <c r="D50" s="146">
        <v>609350</v>
      </c>
      <c r="E50" s="146">
        <f>+D50-C50</f>
        <v>-25807</v>
      </c>
      <c r="F50" s="150">
        <f>IF(C50=0,0,E50/C50)</f>
        <v>-4.0630899132025625E-2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81761</v>
      </c>
      <c r="D53" s="146">
        <v>67904</v>
      </c>
      <c r="E53" s="146">
        <f t="shared" ref="E53:E59" si="0">+D53-C53</f>
        <v>-13857</v>
      </c>
      <c r="F53" s="150">
        <f t="shared" ref="F53:F59" si="1">IF(C53=0,0,E53/C53)</f>
        <v>-0.1694817822678294</v>
      </c>
    </row>
    <row r="54" spans="1:7" ht="15" customHeight="1" x14ac:dyDescent="0.2">
      <c r="A54" s="141">
        <v>2</v>
      </c>
      <c r="B54" s="149" t="s">
        <v>193</v>
      </c>
      <c r="C54" s="146">
        <v>848236</v>
      </c>
      <c r="D54" s="146">
        <v>728167</v>
      </c>
      <c r="E54" s="146">
        <f t="shared" si="0"/>
        <v>-120069</v>
      </c>
      <c r="F54" s="150">
        <f t="shared" si="1"/>
        <v>-0.14155140786290607</v>
      </c>
    </row>
    <row r="55" spans="1:7" ht="15" customHeight="1" x14ac:dyDescent="0.2">
      <c r="A55" s="141">
        <v>3</v>
      </c>
      <c r="B55" s="149" t="s">
        <v>194</v>
      </c>
      <c r="C55" s="146">
        <v>2488</v>
      </c>
      <c r="D55" s="146">
        <v>3836</v>
      </c>
      <c r="E55" s="146">
        <f t="shared" si="0"/>
        <v>1348</v>
      </c>
      <c r="F55" s="150">
        <f t="shared" si="1"/>
        <v>0.54180064308681675</v>
      </c>
    </row>
    <row r="56" spans="1:7" ht="15" customHeight="1" x14ac:dyDescent="0.2">
      <c r="A56" s="141">
        <v>4</v>
      </c>
      <c r="B56" s="149" t="s">
        <v>195</v>
      </c>
      <c r="C56" s="146">
        <v>670559</v>
      </c>
      <c r="D56" s="146">
        <v>658793</v>
      </c>
      <c r="E56" s="146">
        <f t="shared" si="0"/>
        <v>-11766</v>
      </c>
      <c r="F56" s="150">
        <f t="shared" si="1"/>
        <v>-1.7546554441891019E-2</v>
      </c>
    </row>
    <row r="57" spans="1:7" ht="15" customHeight="1" x14ac:dyDescent="0.2">
      <c r="A57" s="141">
        <v>5</v>
      </c>
      <c r="B57" s="149" t="s">
        <v>196</v>
      </c>
      <c r="C57" s="146">
        <v>139052</v>
      </c>
      <c r="D57" s="146">
        <v>162331</v>
      </c>
      <c r="E57" s="146">
        <f t="shared" si="0"/>
        <v>23279</v>
      </c>
      <c r="F57" s="150">
        <f t="shared" si="1"/>
        <v>0.16741219112274544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1742096</v>
      </c>
      <c r="D59" s="147">
        <f>SUM(D53:D58)</f>
        <v>1621031</v>
      </c>
      <c r="E59" s="147">
        <f t="shared" si="0"/>
        <v>-121065</v>
      </c>
      <c r="F59" s="148">
        <f t="shared" si="1"/>
        <v>-6.9493874045976803E-2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196835</v>
      </c>
      <c r="D62" s="146">
        <v>242695</v>
      </c>
      <c r="E62" s="146">
        <f t="shared" ref="E62:E78" si="2">+D62-C62</f>
        <v>45860</v>
      </c>
      <c r="F62" s="150">
        <f t="shared" ref="F62:F78" si="3">IF(C62=0,0,E62/C62)</f>
        <v>0.23298701958493154</v>
      </c>
    </row>
    <row r="63" spans="1:7" ht="15" customHeight="1" x14ac:dyDescent="0.2">
      <c r="A63" s="141">
        <v>2</v>
      </c>
      <c r="B63" s="149" t="s">
        <v>202</v>
      </c>
      <c r="C63" s="146">
        <v>311514</v>
      </c>
      <c r="D63" s="146">
        <v>444650</v>
      </c>
      <c r="E63" s="146">
        <f t="shared" si="2"/>
        <v>133136</v>
      </c>
      <c r="F63" s="150">
        <f t="shared" si="3"/>
        <v>0.42738368099026047</v>
      </c>
    </row>
    <row r="64" spans="1:7" ht="15" customHeight="1" x14ac:dyDescent="0.2">
      <c r="A64" s="141">
        <v>3</v>
      </c>
      <c r="B64" s="149" t="s">
        <v>203</v>
      </c>
      <c r="C64" s="146">
        <v>149511</v>
      </c>
      <c r="D64" s="146">
        <v>184315</v>
      </c>
      <c r="E64" s="146">
        <f t="shared" si="2"/>
        <v>34804</v>
      </c>
      <c r="F64" s="150">
        <f t="shared" si="3"/>
        <v>0.23278554755168515</v>
      </c>
    </row>
    <row r="65" spans="1:7" ht="15" customHeight="1" x14ac:dyDescent="0.2">
      <c r="A65" s="141">
        <v>4</v>
      </c>
      <c r="B65" s="149" t="s">
        <v>204</v>
      </c>
      <c r="C65" s="146">
        <v>371726</v>
      </c>
      <c r="D65" s="146">
        <v>374452</v>
      </c>
      <c r="E65" s="146">
        <f t="shared" si="2"/>
        <v>2726</v>
      </c>
      <c r="F65" s="150">
        <f t="shared" si="3"/>
        <v>7.3333584414326681E-3</v>
      </c>
    </row>
    <row r="66" spans="1:7" ht="15" customHeight="1" x14ac:dyDescent="0.2">
      <c r="A66" s="141">
        <v>5</v>
      </c>
      <c r="B66" s="149" t="s">
        <v>205</v>
      </c>
      <c r="C66" s="146">
        <v>686518</v>
      </c>
      <c r="D66" s="146">
        <v>638999</v>
      </c>
      <c r="E66" s="146">
        <f t="shared" si="2"/>
        <v>-47519</v>
      </c>
      <c r="F66" s="150">
        <f t="shared" si="3"/>
        <v>-6.9217413090406951E-2</v>
      </c>
    </row>
    <row r="67" spans="1:7" ht="15" customHeight="1" x14ac:dyDescent="0.2">
      <c r="A67" s="141">
        <v>6</v>
      </c>
      <c r="B67" s="149" t="s">
        <v>206</v>
      </c>
      <c r="C67" s="146">
        <v>175865</v>
      </c>
      <c r="D67" s="146">
        <v>218868</v>
      </c>
      <c r="E67" s="146">
        <f t="shared" si="2"/>
        <v>43003</v>
      </c>
      <c r="F67" s="150">
        <f t="shared" si="3"/>
        <v>0.24452278736530861</v>
      </c>
    </row>
    <row r="68" spans="1:7" ht="15" customHeight="1" x14ac:dyDescent="0.2">
      <c r="A68" s="141">
        <v>7</v>
      </c>
      <c r="B68" s="149" t="s">
        <v>207</v>
      </c>
      <c r="C68" s="146">
        <v>2642551</v>
      </c>
      <c r="D68" s="146">
        <v>2875783</v>
      </c>
      <c r="E68" s="146">
        <f t="shared" si="2"/>
        <v>233232</v>
      </c>
      <c r="F68" s="150">
        <f t="shared" si="3"/>
        <v>8.8260169813184311E-2</v>
      </c>
    </row>
    <row r="69" spans="1:7" ht="15" customHeight="1" x14ac:dyDescent="0.2">
      <c r="A69" s="141">
        <v>8</v>
      </c>
      <c r="B69" s="149" t="s">
        <v>208</v>
      </c>
      <c r="C69" s="146">
        <v>408819</v>
      </c>
      <c r="D69" s="146">
        <v>275990</v>
      </c>
      <c r="E69" s="146">
        <f t="shared" si="2"/>
        <v>-132829</v>
      </c>
      <c r="F69" s="150">
        <f t="shared" si="3"/>
        <v>-0.32490906733786834</v>
      </c>
    </row>
    <row r="70" spans="1:7" ht="15" customHeight="1" x14ac:dyDescent="0.2">
      <c r="A70" s="141">
        <v>9</v>
      </c>
      <c r="B70" s="149" t="s">
        <v>209</v>
      </c>
      <c r="C70" s="146">
        <v>72501</v>
      </c>
      <c r="D70" s="146">
        <v>53684</v>
      </c>
      <c r="E70" s="146">
        <f t="shared" si="2"/>
        <v>-18817</v>
      </c>
      <c r="F70" s="150">
        <f t="shared" si="3"/>
        <v>-0.25954124770692816</v>
      </c>
    </row>
    <row r="71" spans="1:7" ht="15" customHeight="1" x14ac:dyDescent="0.2">
      <c r="A71" s="141">
        <v>10</v>
      </c>
      <c r="B71" s="149" t="s">
        <v>210</v>
      </c>
      <c r="C71" s="146">
        <v>148574</v>
      </c>
      <c r="D71" s="146">
        <v>163578</v>
      </c>
      <c r="E71" s="146">
        <f t="shared" si="2"/>
        <v>15004</v>
      </c>
      <c r="F71" s="150">
        <f t="shared" si="3"/>
        <v>0.1009867136914938</v>
      </c>
    </row>
    <row r="72" spans="1:7" ht="15" customHeight="1" x14ac:dyDescent="0.2">
      <c r="A72" s="141">
        <v>11</v>
      </c>
      <c r="B72" s="149" t="s">
        <v>211</v>
      </c>
      <c r="C72" s="146">
        <v>71179</v>
      </c>
      <c r="D72" s="146">
        <v>71745</v>
      </c>
      <c r="E72" s="146">
        <f t="shared" si="2"/>
        <v>566</v>
      </c>
      <c r="F72" s="150">
        <f t="shared" si="3"/>
        <v>7.9517835316596196E-3</v>
      </c>
    </row>
    <row r="73" spans="1:7" ht="15" customHeight="1" x14ac:dyDescent="0.2">
      <c r="A73" s="141">
        <v>12</v>
      </c>
      <c r="B73" s="149" t="s">
        <v>212</v>
      </c>
      <c r="C73" s="146">
        <v>1401737</v>
      </c>
      <c r="D73" s="146">
        <v>1441730</v>
      </c>
      <c r="E73" s="146">
        <f t="shared" si="2"/>
        <v>39993</v>
      </c>
      <c r="F73" s="150">
        <f t="shared" si="3"/>
        <v>2.8531029715274693E-2</v>
      </c>
    </row>
    <row r="74" spans="1:7" ht="15" customHeight="1" x14ac:dyDescent="0.2">
      <c r="A74" s="141">
        <v>13</v>
      </c>
      <c r="B74" s="149" t="s">
        <v>213</v>
      </c>
      <c r="C74" s="146">
        <v>65091</v>
      </c>
      <c r="D74" s="146">
        <v>65568</v>
      </c>
      <c r="E74" s="146">
        <f t="shared" si="2"/>
        <v>477</v>
      </c>
      <c r="F74" s="150">
        <f t="shared" si="3"/>
        <v>7.3282020555837215E-3</v>
      </c>
    </row>
    <row r="75" spans="1:7" ht="15" customHeight="1" x14ac:dyDescent="0.2">
      <c r="A75" s="141">
        <v>14</v>
      </c>
      <c r="B75" s="149" t="s">
        <v>214</v>
      </c>
      <c r="C75" s="146">
        <v>138053</v>
      </c>
      <c r="D75" s="146">
        <v>132176</v>
      </c>
      <c r="E75" s="146">
        <f t="shared" si="2"/>
        <v>-5877</v>
      </c>
      <c r="F75" s="150">
        <f t="shared" si="3"/>
        <v>-4.2570606940812585E-2</v>
      </c>
    </row>
    <row r="76" spans="1:7" ht="15" customHeight="1" x14ac:dyDescent="0.2">
      <c r="A76" s="141">
        <v>15</v>
      </c>
      <c r="B76" s="149" t="s">
        <v>215</v>
      </c>
      <c r="C76" s="146">
        <v>267748</v>
      </c>
      <c r="D76" s="146">
        <v>368966</v>
      </c>
      <c r="E76" s="146">
        <f t="shared" si="2"/>
        <v>101218</v>
      </c>
      <c r="F76" s="150">
        <f t="shared" si="3"/>
        <v>0.37803456981938238</v>
      </c>
    </row>
    <row r="77" spans="1:7" ht="15" customHeight="1" x14ac:dyDescent="0.2">
      <c r="A77" s="141">
        <v>16</v>
      </c>
      <c r="B77" s="149" t="s">
        <v>216</v>
      </c>
      <c r="C77" s="146">
        <v>281781</v>
      </c>
      <c r="D77" s="146">
        <v>365236</v>
      </c>
      <c r="E77" s="146">
        <f t="shared" si="2"/>
        <v>83455</v>
      </c>
      <c r="F77" s="150">
        <f t="shared" si="3"/>
        <v>0.29616972045666673</v>
      </c>
    </row>
    <row r="78" spans="1:7" ht="15.75" customHeight="1" x14ac:dyDescent="0.25">
      <c r="A78" s="141"/>
      <c r="B78" s="151" t="s">
        <v>217</v>
      </c>
      <c r="C78" s="147">
        <f>SUM(C62:C77)</f>
        <v>7390003</v>
      </c>
      <c r="D78" s="147">
        <f>SUM(D62:D77)</f>
        <v>7918435</v>
      </c>
      <c r="E78" s="147">
        <f t="shared" si="2"/>
        <v>528432</v>
      </c>
      <c r="F78" s="148">
        <f t="shared" si="3"/>
        <v>7.1506330917592315E-2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945817</v>
      </c>
      <c r="D81" s="146">
        <v>595413</v>
      </c>
      <c r="E81" s="146">
        <f>+D81-C81</f>
        <v>-350404</v>
      </c>
      <c r="F81" s="150">
        <f>IF(C81=0,0,E81/C81)</f>
        <v>-0.37047758710194467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91501818</v>
      </c>
      <c r="D83" s="147">
        <f>+D81+D78+D59+D50+D47+D44+D41+D35+D30+D24+D18</f>
        <v>92639489</v>
      </c>
      <c r="E83" s="147">
        <f>+D83-C83</f>
        <v>1137671</v>
      </c>
      <c r="F83" s="148">
        <f>IF(C83=0,0,E83/C83)</f>
        <v>1.2433315805812733E-2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2779388</v>
      </c>
      <c r="D91" s="146">
        <v>2402375</v>
      </c>
      <c r="E91" s="146">
        <f t="shared" ref="E91:E109" si="4">D91-C91</f>
        <v>-377013</v>
      </c>
      <c r="F91" s="150">
        <f t="shared" ref="F91:F109" si="5">IF(C91=0,0,E91/C91)</f>
        <v>-0.13564604869849045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754250</v>
      </c>
      <c r="D92" s="146">
        <v>751182</v>
      </c>
      <c r="E92" s="146">
        <f t="shared" si="4"/>
        <v>-3068</v>
      </c>
      <c r="F92" s="150">
        <f t="shared" si="5"/>
        <v>-4.0676168379184616E-3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604333</v>
      </c>
      <c r="D93" s="146">
        <v>587163</v>
      </c>
      <c r="E93" s="146">
        <f t="shared" si="4"/>
        <v>-17170</v>
      </c>
      <c r="F93" s="150">
        <f t="shared" si="5"/>
        <v>-2.841148836816788E-2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1466725</v>
      </c>
      <c r="D94" s="146">
        <v>1569500</v>
      </c>
      <c r="E94" s="146">
        <f t="shared" si="4"/>
        <v>102775</v>
      </c>
      <c r="F94" s="150">
        <f t="shared" si="5"/>
        <v>7.0071076718539599E-2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2121519</v>
      </c>
      <c r="D95" s="146">
        <v>2271588</v>
      </c>
      <c r="E95" s="146">
        <f t="shared" si="4"/>
        <v>150069</v>
      </c>
      <c r="F95" s="150">
        <f t="shared" si="5"/>
        <v>7.0736580723528758E-2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160250</v>
      </c>
      <c r="D96" s="146">
        <v>142211</v>
      </c>
      <c r="E96" s="146">
        <f t="shared" si="4"/>
        <v>-18039</v>
      </c>
      <c r="F96" s="150">
        <f t="shared" si="5"/>
        <v>-0.11256786271450858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880984</v>
      </c>
      <c r="D97" s="146">
        <v>855778</v>
      </c>
      <c r="E97" s="146">
        <f t="shared" si="4"/>
        <v>-25206</v>
      </c>
      <c r="F97" s="150">
        <f t="shared" si="5"/>
        <v>-2.8611189306502728E-2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456998</v>
      </c>
      <c r="D98" s="146">
        <v>678364</v>
      </c>
      <c r="E98" s="146">
        <f t="shared" si="4"/>
        <v>221366</v>
      </c>
      <c r="F98" s="150">
        <f t="shared" si="5"/>
        <v>0.48439161659350805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226382</v>
      </c>
      <c r="D99" s="146">
        <v>210270</v>
      </c>
      <c r="E99" s="146">
        <f t="shared" si="4"/>
        <v>-16112</v>
      </c>
      <c r="F99" s="150">
        <f t="shared" si="5"/>
        <v>-7.1171736268784619E-2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1966012</v>
      </c>
      <c r="D100" s="146">
        <v>2009913</v>
      </c>
      <c r="E100" s="146">
        <f t="shared" si="4"/>
        <v>43901</v>
      </c>
      <c r="F100" s="150">
        <f t="shared" si="5"/>
        <v>2.2329975605438826E-2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1155350</v>
      </c>
      <c r="D101" s="146">
        <v>1094760</v>
      </c>
      <c r="E101" s="146">
        <f t="shared" si="4"/>
        <v>-60590</v>
      </c>
      <c r="F101" s="150">
        <f t="shared" si="5"/>
        <v>-5.2442982645951444E-2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523697</v>
      </c>
      <c r="D102" s="146">
        <v>558852</v>
      </c>
      <c r="E102" s="146">
        <f t="shared" si="4"/>
        <v>35155</v>
      </c>
      <c r="F102" s="150">
        <f t="shared" si="5"/>
        <v>6.7128511333843802E-2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1258211</v>
      </c>
      <c r="D103" s="146">
        <v>1280465</v>
      </c>
      <c r="E103" s="146">
        <f t="shared" si="4"/>
        <v>22254</v>
      </c>
      <c r="F103" s="150">
        <f t="shared" si="5"/>
        <v>1.7687017519319097E-2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465258</v>
      </c>
      <c r="D104" s="146">
        <v>475152</v>
      </c>
      <c r="E104" s="146">
        <f t="shared" si="4"/>
        <v>9894</v>
      </c>
      <c r="F104" s="150">
        <f t="shared" si="5"/>
        <v>2.1265620365474639E-2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1873714</v>
      </c>
      <c r="D105" s="146">
        <v>1767949</v>
      </c>
      <c r="E105" s="146">
        <f t="shared" si="4"/>
        <v>-105765</v>
      </c>
      <c r="F105" s="150">
        <f t="shared" si="5"/>
        <v>-5.6446714920206607E-2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416757</v>
      </c>
      <c r="D106" s="146">
        <v>469357</v>
      </c>
      <c r="E106" s="146">
        <f t="shared" si="4"/>
        <v>52600</v>
      </c>
      <c r="F106" s="150">
        <f t="shared" si="5"/>
        <v>0.12621263710027666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3403240</v>
      </c>
      <c r="D107" s="146">
        <v>3386365</v>
      </c>
      <c r="E107" s="146">
        <f t="shared" si="4"/>
        <v>-16875</v>
      </c>
      <c r="F107" s="150">
        <f t="shared" si="5"/>
        <v>-4.9585101256449738E-3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436302</v>
      </c>
      <c r="D108" s="146">
        <v>416369</v>
      </c>
      <c r="E108" s="146">
        <f t="shared" si="4"/>
        <v>-19933</v>
      </c>
      <c r="F108" s="150">
        <f t="shared" si="5"/>
        <v>-4.5686244848751556E-2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20949370</v>
      </c>
      <c r="D109" s="147">
        <f>SUM(D91:D108)</f>
        <v>20927613</v>
      </c>
      <c r="E109" s="147">
        <f t="shared" si="4"/>
        <v>-21757</v>
      </c>
      <c r="F109" s="148">
        <f t="shared" si="5"/>
        <v>-1.0385515173009976E-3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156136</v>
      </c>
      <c r="D112" s="146">
        <v>114360</v>
      </c>
      <c r="E112" s="146">
        <f t="shared" ref="E112:E118" si="6">D112-C112</f>
        <v>-41776</v>
      </c>
      <c r="F112" s="150">
        <f t="shared" ref="F112:F118" si="7">IF(C112=0,0,E112/C112)</f>
        <v>-0.26756161295281039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2597521</v>
      </c>
      <c r="D114" s="146">
        <v>2375518</v>
      </c>
      <c r="E114" s="146">
        <f t="shared" si="6"/>
        <v>-222003</v>
      </c>
      <c r="F114" s="150">
        <f t="shared" si="7"/>
        <v>-8.5467258974999627E-2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1048330</v>
      </c>
      <c r="D115" s="146">
        <v>1161186</v>
      </c>
      <c r="E115" s="146">
        <f t="shared" si="6"/>
        <v>112856</v>
      </c>
      <c r="F115" s="150">
        <f t="shared" si="7"/>
        <v>0.10765312449324163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0</v>
      </c>
      <c r="D116" s="146">
        <v>0</v>
      </c>
      <c r="E116" s="146">
        <f t="shared" si="6"/>
        <v>0</v>
      </c>
      <c r="F116" s="150">
        <f t="shared" si="7"/>
        <v>0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396996</v>
      </c>
      <c r="E117" s="146">
        <f t="shared" si="6"/>
        <v>396996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3801987</v>
      </c>
      <c r="D118" s="147">
        <f>SUM(D112:D117)</f>
        <v>4048060</v>
      </c>
      <c r="E118" s="147">
        <f t="shared" si="6"/>
        <v>246073</v>
      </c>
      <c r="F118" s="148">
        <f t="shared" si="7"/>
        <v>6.472220972875499E-2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4314508</v>
      </c>
      <c r="D121" s="146">
        <v>4453788</v>
      </c>
      <c r="E121" s="146">
        <f t="shared" ref="E121:E155" si="8">D121-C121</f>
        <v>139280</v>
      </c>
      <c r="F121" s="150">
        <f t="shared" ref="F121:F155" si="9">IF(C121=0,0,E121/C121)</f>
        <v>3.2281780448662978E-2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255510</v>
      </c>
      <c r="D122" s="146">
        <v>186803</v>
      </c>
      <c r="E122" s="146">
        <f t="shared" si="8"/>
        <v>-68707</v>
      </c>
      <c r="F122" s="150">
        <f t="shared" si="9"/>
        <v>-0.26890141286055341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0</v>
      </c>
      <c r="D123" s="146">
        <v>0</v>
      </c>
      <c r="E123" s="146">
        <f t="shared" si="8"/>
        <v>0</v>
      </c>
      <c r="F123" s="150">
        <f t="shared" si="9"/>
        <v>0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935002</v>
      </c>
      <c r="D124" s="146">
        <v>860152</v>
      </c>
      <c r="E124" s="146">
        <f t="shared" si="8"/>
        <v>-74850</v>
      </c>
      <c r="F124" s="150">
        <f t="shared" si="9"/>
        <v>-8.0053304698813485E-2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2501319</v>
      </c>
      <c r="D125" s="146">
        <v>2481443</v>
      </c>
      <c r="E125" s="146">
        <f t="shared" si="8"/>
        <v>-19876</v>
      </c>
      <c r="F125" s="150">
        <f t="shared" si="9"/>
        <v>-7.9462075808803267E-3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499392</v>
      </c>
      <c r="D126" s="146">
        <v>506680</v>
      </c>
      <c r="E126" s="146">
        <f t="shared" si="8"/>
        <v>7288</v>
      </c>
      <c r="F126" s="150">
        <f t="shared" si="9"/>
        <v>1.4593745995130079E-2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0</v>
      </c>
      <c r="D127" s="146">
        <v>0</v>
      </c>
      <c r="E127" s="146">
        <f t="shared" si="8"/>
        <v>0</v>
      </c>
      <c r="F127" s="150">
        <f t="shared" si="9"/>
        <v>0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644383</v>
      </c>
      <c r="D128" s="146">
        <v>650015</v>
      </c>
      <c r="E128" s="146">
        <f t="shared" si="8"/>
        <v>5632</v>
      </c>
      <c r="F128" s="150">
        <f t="shared" si="9"/>
        <v>8.740143672319102E-3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465624</v>
      </c>
      <c r="D129" s="146">
        <v>465067</v>
      </c>
      <c r="E129" s="146">
        <f t="shared" si="8"/>
        <v>-557</v>
      </c>
      <c r="F129" s="150">
        <f t="shared" si="9"/>
        <v>-1.1962441798532722E-3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4545022</v>
      </c>
      <c r="D130" s="146">
        <v>4369258</v>
      </c>
      <c r="E130" s="146">
        <f t="shared" si="8"/>
        <v>-175764</v>
      </c>
      <c r="F130" s="150">
        <f t="shared" si="9"/>
        <v>-3.8671760004682046E-2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542447</v>
      </c>
      <c r="D132" s="146">
        <v>509260</v>
      </c>
      <c r="E132" s="146">
        <f t="shared" si="8"/>
        <v>-33187</v>
      </c>
      <c r="F132" s="150">
        <f t="shared" si="9"/>
        <v>-6.118017059731181E-2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215038</v>
      </c>
      <c r="D133" s="146">
        <v>193307</v>
      </c>
      <c r="E133" s="146">
        <f t="shared" si="8"/>
        <v>-21731</v>
      </c>
      <c r="F133" s="150">
        <f t="shared" si="9"/>
        <v>-0.10105655744566076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125451</v>
      </c>
      <c r="D134" s="146">
        <v>189184</v>
      </c>
      <c r="E134" s="146">
        <f t="shared" si="8"/>
        <v>63733</v>
      </c>
      <c r="F134" s="150">
        <f t="shared" si="9"/>
        <v>0.50803102406517286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1063357</v>
      </c>
      <c r="D138" s="146">
        <v>1082620</v>
      </c>
      <c r="E138" s="146">
        <f t="shared" si="8"/>
        <v>19263</v>
      </c>
      <c r="F138" s="150">
        <f t="shared" si="9"/>
        <v>1.8115270788643889E-2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5221387</v>
      </c>
      <c r="D144" s="146">
        <v>5018896</v>
      </c>
      <c r="E144" s="146">
        <f t="shared" si="8"/>
        <v>-202491</v>
      </c>
      <c r="F144" s="150">
        <f t="shared" si="9"/>
        <v>-3.8781074837011695E-2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513348</v>
      </c>
      <c r="D145" s="146">
        <v>514684</v>
      </c>
      <c r="E145" s="146">
        <f t="shared" si="8"/>
        <v>1336</v>
      </c>
      <c r="F145" s="150">
        <f t="shared" si="9"/>
        <v>2.6025230447961228E-3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642737</v>
      </c>
      <c r="D149" s="146">
        <v>640476</v>
      </c>
      <c r="E149" s="146">
        <f t="shared" si="8"/>
        <v>-2261</v>
      </c>
      <c r="F149" s="150">
        <f t="shared" si="9"/>
        <v>-3.5177685429654743E-3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1579624</v>
      </c>
      <c r="D152" s="146">
        <v>1530288</v>
      </c>
      <c r="E152" s="146">
        <f t="shared" si="8"/>
        <v>-49336</v>
      </c>
      <c r="F152" s="150">
        <f t="shared" si="9"/>
        <v>-3.1232749059269801E-2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2594367</v>
      </c>
      <c r="D154" s="146">
        <v>3952322</v>
      </c>
      <c r="E154" s="146">
        <f t="shared" si="8"/>
        <v>1357955</v>
      </c>
      <c r="F154" s="150">
        <f t="shared" si="9"/>
        <v>0.5234244037177469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26658516</v>
      </c>
      <c r="D155" s="147">
        <f>SUM(D121:D154)</f>
        <v>27604243</v>
      </c>
      <c r="E155" s="147">
        <f t="shared" si="8"/>
        <v>945727</v>
      </c>
      <c r="F155" s="148">
        <f t="shared" si="9"/>
        <v>3.5475605618857403E-2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6826418</v>
      </c>
      <c r="D158" s="146">
        <v>6702480</v>
      </c>
      <c r="E158" s="146">
        <f t="shared" ref="E158:E171" si="10">D158-C158</f>
        <v>-123938</v>
      </c>
      <c r="F158" s="150">
        <f t="shared" ref="F158:F171" si="11">IF(C158=0,0,E158/C158)</f>
        <v>-1.8155641802186741E-2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2246988</v>
      </c>
      <c r="D159" s="146">
        <v>2245182</v>
      </c>
      <c r="E159" s="146">
        <f t="shared" si="10"/>
        <v>-1806</v>
      </c>
      <c r="F159" s="150">
        <f t="shared" si="11"/>
        <v>-8.0374261010739709E-4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0</v>
      </c>
      <c r="D161" s="146">
        <v>0</v>
      </c>
      <c r="E161" s="146">
        <f t="shared" si="10"/>
        <v>0</v>
      </c>
      <c r="F161" s="150">
        <f t="shared" si="11"/>
        <v>0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550119</v>
      </c>
      <c r="D163" s="146">
        <v>491789</v>
      </c>
      <c r="E163" s="146">
        <f t="shared" si="10"/>
        <v>-58330</v>
      </c>
      <c r="F163" s="150">
        <f t="shared" si="11"/>
        <v>-0.10603160407111915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348409</v>
      </c>
      <c r="D164" s="146">
        <v>309199</v>
      </c>
      <c r="E164" s="146">
        <f t="shared" si="10"/>
        <v>-39210</v>
      </c>
      <c r="F164" s="150">
        <f t="shared" si="11"/>
        <v>-0.11254014678151253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1130930</v>
      </c>
      <c r="D167" s="146">
        <v>1249314</v>
      </c>
      <c r="E167" s="146">
        <f t="shared" si="10"/>
        <v>118384</v>
      </c>
      <c r="F167" s="150">
        <f t="shared" si="11"/>
        <v>0.10467845047880947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694052</v>
      </c>
      <c r="D169" s="146">
        <v>742013</v>
      </c>
      <c r="E169" s="146">
        <f t="shared" si="10"/>
        <v>47961</v>
      </c>
      <c r="F169" s="150">
        <f t="shared" si="11"/>
        <v>6.9102891426002663E-2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660090</v>
      </c>
      <c r="D170" s="146">
        <v>623120</v>
      </c>
      <c r="E170" s="146">
        <f t="shared" si="10"/>
        <v>-36970</v>
      </c>
      <c r="F170" s="150">
        <f t="shared" si="11"/>
        <v>-5.6007514126861488E-2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12457006</v>
      </c>
      <c r="D171" s="147">
        <f>SUM(D158:D170)</f>
        <v>12363097</v>
      </c>
      <c r="E171" s="147">
        <f t="shared" si="10"/>
        <v>-93909</v>
      </c>
      <c r="F171" s="148">
        <f t="shared" si="11"/>
        <v>-7.5386493351612743E-3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27634939</v>
      </c>
      <c r="D174" s="146">
        <v>27696476</v>
      </c>
      <c r="E174" s="146">
        <f>D174-C174</f>
        <v>61537</v>
      </c>
      <c r="F174" s="150">
        <f>IF(C174=0,0,E174/C174)</f>
        <v>2.2267825523334789E-3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91501818</v>
      </c>
      <c r="D176" s="147">
        <f>+D174+D171+D155+D118+D109</f>
        <v>92639489</v>
      </c>
      <c r="E176" s="147">
        <f>D176-C176</f>
        <v>1137671</v>
      </c>
      <c r="F176" s="148">
        <f>IF(C176=0,0,E176/C176)</f>
        <v>1.2433315805812733E-2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FILING&amp;RWINDHAM COMMUNITY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tabSelected="1"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83605148</v>
      </c>
      <c r="D11" s="164">
        <v>86942706</v>
      </c>
      <c r="E11" s="51">
        <v>85855448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2401877</v>
      </c>
      <c r="D12" s="49">
        <v>2622664</v>
      </c>
      <c r="E12" s="49">
        <v>3044239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86007025</v>
      </c>
      <c r="D13" s="51">
        <f>+D11+D12</f>
        <v>89565370</v>
      </c>
      <c r="E13" s="51">
        <f>+E11+E12</f>
        <v>88899687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85401157</v>
      </c>
      <c r="D14" s="49">
        <v>91501818</v>
      </c>
      <c r="E14" s="49">
        <v>92639489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605868</v>
      </c>
      <c r="D15" s="51">
        <f>+D13-D14</f>
        <v>-1936448</v>
      </c>
      <c r="E15" s="51">
        <f>+E13-E14</f>
        <v>-3739802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-1790872</v>
      </c>
      <c r="D16" s="49">
        <v>273628</v>
      </c>
      <c r="E16" s="49">
        <v>-323008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-1185004</v>
      </c>
      <c r="D17" s="51">
        <f>D15+D16</f>
        <v>-1662820</v>
      </c>
      <c r="E17" s="51">
        <f>E15+E16</f>
        <v>-4062810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7.1942018059172096E-3</v>
      </c>
      <c r="D20" s="169">
        <f>IF(+D27=0,0,+D24/+D27)</f>
        <v>-2.1554648238619047E-2</v>
      </c>
      <c r="E20" s="169">
        <f>IF(+E27=0,0,+E24/+E27)</f>
        <v>-4.2221068143681477E-2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-2.1265184126850346E-2</v>
      </c>
      <c r="D21" s="169">
        <f>IF(D27=0,0,+D26/D27)</f>
        <v>3.0457597044882445E-3</v>
      </c>
      <c r="E21" s="169">
        <f>IF(E27=0,0,+E26/E27)</f>
        <v>-3.6466483463440755E-3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-1.4070982320933135E-2</v>
      </c>
      <c r="D22" s="169">
        <f>IF(D27=0,0,+D28/D27)</f>
        <v>-1.85088885341308E-2</v>
      </c>
      <c r="E22" s="169">
        <f>IF(E27=0,0,+E28/E27)</f>
        <v>-4.5867716490025551E-2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605868</v>
      </c>
      <c r="D24" s="51">
        <f>+D15</f>
        <v>-1936448</v>
      </c>
      <c r="E24" s="51">
        <f>+E15</f>
        <v>-3739802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86007025</v>
      </c>
      <c r="D25" s="51">
        <f>+D13</f>
        <v>89565370</v>
      </c>
      <c r="E25" s="51">
        <f>+E13</f>
        <v>88899687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-1790872</v>
      </c>
      <c r="D26" s="51">
        <f>+D16</f>
        <v>273628</v>
      </c>
      <c r="E26" s="51">
        <f>+E16</f>
        <v>-323008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84216153</v>
      </c>
      <c r="D27" s="51">
        <f>+D25+D26</f>
        <v>89838998</v>
      </c>
      <c r="E27" s="51">
        <f>+E25+E26</f>
        <v>88576679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-1185004</v>
      </c>
      <c r="D28" s="51">
        <f>+D17</f>
        <v>-1662820</v>
      </c>
      <c r="E28" s="51">
        <f>+E17</f>
        <v>-4062810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-25502905</v>
      </c>
      <c r="D31" s="51">
        <v>-25203815</v>
      </c>
      <c r="E31" s="51">
        <v>-35978450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-20171322</v>
      </c>
      <c r="D32" s="51">
        <v>-19935723</v>
      </c>
      <c r="E32" s="51">
        <v>-31049573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-33443309</v>
      </c>
      <c r="D33" s="51">
        <f>+D32-C32</f>
        <v>235599</v>
      </c>
      <c r="E33" s="51">
        <f>+E32-D32</f>
        <v>-11113850</v>
      </c>
      <c r="F33" s="5"/>
    </row>
    <row r="34" spans="1:6" ht="24" customHeight="1" x14ac:dyDescent="0.2">
      <c r="A34" s="25">
        <v>4</v>
      </c>
      <c r="B34" s="48" t="s">
        <v>320</v>
      </c>
      <c r="C34" s="171">
        <v>-1.5198</v>
      </c>
      <c r="D34" s="171">
        <f>IF(C32=0,0,+D33/C32)</f>
        <v>-1.1679898818728886E-2</v>
      </c>
      <c r="E34" s="171">
        <f>IF(D32=0,0,+E33/D32)</f>
        <v>0.55748417050136578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0.44904520900150141</v>
      </c>
      <c r="D38" s="172">
        <f>IF((D40+D41)=0,0,+D39/(D40+D41))</f>
        <v>0.46547279895106186</v>
      </c>
      <c r="E38" s="172">
        <f>IF((E40+E41)=0,0,+E39/(E40+E41))</f>
        <v>0.45764311291431925</v>
      </c>
      <c r="F38" s="5"/>
    </row>
    <row r="39" spans="1:6" ht="24" customHeight="1" x14ac:dyDescent="0.2">
      <c r="A39" s="21">
        <v>2</v>
      </c>
      <c r="B39" s="48" t="s">
        <v>324</v>
      </c>
      <c r="C39" s="51">
        <v>85401157</v>
      </c>
      <c r="D39" s="51">
        <v>91501818</v>
      </c>
      <c r="E39" s="23">
        <v>92639489</v>
      </c>
      <c r="F39" s="5"/>
    </row>
    <row r="40" spans="1:6" ht="24" customHeight="1" x14ac:dyDescent="0.2">
      <c r="A40" s="21">
        <v>3</v>
      </c>
      <c r="B40" s="48" t="s">
        <v>325</v>
      </c>
      <c r="C40" s="51">
        <v>190183873</v>
      </c>
      <c r="D40" s="51">
        <v>193955564</v>
      </c>
      <c r="E40" s="23">
        <v>199383125</v>
      </c>
      <c r="F40" s="5"/>
    </row>
    <row r="41" spans="1:6" ht="24" customHeight="1" x14ac:dyDescent="0.2">
      <c r="A41" s="21">
        <v>4</v>
      </c>
      <c r="B41" s="48" t="s">
        <v>326</v>
      </c>
      <c r="C41" s="51">
        <v>0</v>
      </c>
      <c r="D41" s="51">
        <v>2622664</v>
      </c>
      <c r="E41" s="23">
        <v>3044239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1.0210651866040521</v>
      </c>
      <c r="D43" s="173">
        <f>IF(D38=0,0,IF((D46-D47)=0,0,((+D44-D45)/(D46-D47)/D38)))</f>
        <v>1.0100986310940772</v>
      </c>
      <c r="E43" s="173">
        <f>IF(E38=0,0,IF((E46-E47)=0,0,((+E44-E45)/(E46-E47)/E38)))</f>
        <v>1.0685185272878948</v>
      </c>
      <c r="F43" s="5"/>
    </row>
    <row r="44" spans="1:6" ht="24" customHeight="1" x14ac:dyDescent="0.2">
      <c r="A44" s="21">
        <v>6</v>
      </c>
      <c r="B44" s="48" t="s">
        <v>328</v>
      </c>
      <c r="C44" s="51">
        <v>33973384</v>
      </c>
      <c r="D44" s="51">
        <v>34004938</v>
      </c>
      <c r="E44" s="23">
        <v>35493561</v>
      </c>
      <c r="F44" s="5"/>
    </row>
    <row r="45" spans="1:6" ht="24" customHeight="1" x14ac:dyDescent="0.2">
      <c r="A45" s="21">
        <v>7</v>
      </c>
      <c r="B45" s="48" t="s">
        <v>329</v>
      </c>
      <c r="C45" s="51">
        <v>251059</v>
      </c>
      <c r="D45" s="51">
        <v>302544</v>
      </c>
      <c r="E45" s="23">
        <v>169214</v>
      </c>
      <c r="F45" s="5"/>
    </row>
    <row r="46" spans="1:6" ht="24" customHeight="1" x14ac:dyDescent="0.2">
      <c r="A46" s="21">
        <v>8</v>
      </c>
      <c r="B46" s="48" t="s">
        <v>330</v>
      </c>
      <c r="C46" s="51">
        <v>77745972</v>
      </c>
      <c r="D46" s="51">
        <v>76539290</v>
      </c>
      <c r="E46" s="23">
        <v>76930656</v>
      </c>
      <c r="F46" s="5"/>
    </row>
    <row r="47" spans="1:6" ht="24" customHeight="1" x14ac:dyDescent="0.2">
      <c r="A47" s="21">
        <v>9</v>
      </c>
      <c r="B47" s="48" t="s">
        <v>331</v>
      </c>
      <c r="C47" s="51">
        <v>4197446</v>
      </c>
      <c r="D47" s="51">
        <v>4858520</v>
      </c>
      <c r="E47" s="174">
        <v>4692749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0.98426552341206985</v>
      </c>
      <c r="D49" s="175">
        <f>IF(D38=0,0,IF(D51=0,0,(D50/D51)/D38))</f>
        <v>0.98057350122314446</v>
      </c>
      <c r="E49" s="175">
        <f>IF(E38=0,0,IF(E51=0,0,(E50/E51)/E38))</f>
        <v>0.95121532627307659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33581550</v>
      </c>
      <c r="D50" s="176">
        <v>36106801</v>
      </c>
      <c r="E50" s="176">
        <v>35809112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75979844</v>
      </c>
      <c r="D51" s="176">
        <v>79106934</v>
      </c>
      <c r="E51" s="176">
        <v>82259825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0.81684246568091279</v>
      </c>
      <c r="D53" s="175">
        <f>IF(D38=0,0,IF(D55=0,0,(D54/D55)/D38))</f>
        <v>0.74063773963013879</v>
      </c>
      <c r="E53" s="175">
        <f>IF(E38=0,0,IF(E55=0,0,(E54/E55)/E38))</f>
        <v>0.60678637382942313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9550095</v>
      </c>
      <c r="D54" s="176">
        <v>10787671</v>
      </c>
      <c r="E54" s="176">
        <v>10869843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26036303</v>
      </c>
      <c r="D55" s="176">
        <v>31291584</v>
      </c>
      <c r="E55" s="176">
        <v>39143578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2800024.9930905341</v>
      </c>
      <c r="D57" s="53">
        <f>+D60*D38</f>
        <v>2938954.2909706971</v>
      </c>
      <c r="E57" s="53">
        <f>+E60*E38</f>
        <v>2771903.6046849824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2094259</v>
      </c>
      <c r="D58" s="51">
        <v>2446867</v>
      </c>
      <c r="E58" s="52">
        <v>2956537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4141249</v>
      </c>
      <c r="D59" s="51">
        <v>3867045</v>
      </c>
      <c r="E59" s="52">
        <v>3100374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6235508</v>
      </c>
      <c r="D60" s="51">
        <v>6313912</v>
      </c>
      <c r="E60" s="52">
        <v>6056911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3.2786733710065942E-2</v>
      </c>
      <c r="D62" s="178">
        <f>IF(D63=0,0,+D57/D63)</f>
        <v>3.211908085772347E-2</v>
      </c>
      <c r="E62" s="178">
        <f>IF(E63=0,0,+E57/E63)</f>
        <v>2.9921404301841328E-2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85401157</v>
      </c>
      <c r="D63" s="176">
        <v>91501818</v>
      </c>
      <c r="E63" s="176">
        <v>92639489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2.6296984491256148</v>
      </c>
      <c r="D67" s="179">
        <f>IF(D69=0,0,D68/D69)</f>
        <v>2.1047881220072964</v>
      </c>
      <c r="E67" s="179">
        <f>IF(E69=0,0,E68/E69)</f>
        <v>1.3104443026371659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24003919</v>
      </c>
      <c r="D68" s="180">
        <v>22752848</v>
      </c>
      <c r="E68" s="180">
        <v>21775957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9128012</v>
      </c>
      <c r="D69" s="180">
        <v>10810042</v>
      </c>
      <c r="E69" s="180">
        <v>16617232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15.132808255151589</v>
      </c>
      <c r="D71" s="181">
        <f>IF((D77/365)=0,0,+D74/(D77/365))</f>
        <v>13.907273401751754</v>
      </c>
      <c r="E71" s="181">
        <f>IF((E77/365)=0,0,+E74/(E77/365))</f>
        <v>10.369408510868759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3357508</v>
      </c>
      <c r="D72" s="182">
        <v>3314081</v>
      </c>
      <c r="E72" s="182">
        <v>2502682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3357508</v>
      </c>
      <c r="D74" s="180">
        <f>+D72+D73</f>
        <v>3314081</v>
      </c>
      <c r="E74" s="180">
        <f>+E72+E73</f>
        <v>2502682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85401157</v>
      </c>
      <c r="D75" s="180">
        <f>+D14</f>
        <v>91501818</v>
      </c>
      <c r="E75" s="180">
        <f>+E14</f>
        <v>92639489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4418804</v>
      </c>
      <c r="D76" s="180">
        <v>4522902</v>
      </c>
      <c r="E76" s="180">
        <v>4545850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80982353</v>
      </c>
      <c r="D77" s="180">
        <f>+D75-D76</f>
        <v>86978916</v>
      </c>
      <c r="E77" s="180">
        <f>+E75-E76</f>
        <v>88093639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62.755877185935965</v>
      </c>
      <c r="D79" s="179">
        <f>IF((D84/365)=0,0,+D83/(D84/365))</f>
        <v>65.812031948948075</v>
      </c>
      <c r="E79" s="179">
        <f>IF((E84/365)=0,0,+E83/(E84/365))</f>
        <v>62.963002592450515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13116037</v>
      </c>
      <c r="D80" s="189">
        <v>14090656</v>
      </c>
      <c r="E80" s="189">
        <v>14881466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1258523</v>
      </c>
      <c r="D81" s="190">
        <v>1585717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0</v>
      </c>
      <c r="D82" s="190">
        <v>0</v>
      </c>
      <c r="E82" s="190">
        <v>71283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14374560</v>
      </c>
      <c r="D83" s="191">
        <f>+D80+D81-D82</f>
        <v>15676373</v>
      </c>
      <c r="E83" s="191">
        <f>+E80+E81-E82</f>
        <v>14810183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83605148</v>
      </c>
      <c r="D84" s="191">
        <f>+D11</f>
        <v>86942706</v>
      </c>
      <c r="E84" s="191">
        <f>+E11</f>
        <v>85855448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41.141362983118064</v>
      </c>
      <c r="D86" s="179">
        <f>IF((D90/365)=0,0,+D87/(D90/365))</f>
        <v>45.363468659462256</v>
      </c>
      <c r="E86" s="179">
        <f>IF((E90/365)=0,0,+E87/(E90/365))</f>
        <v>68.85048397194717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9128012</v>
      </c>
      <c r="D87" s="51">
        <f>+D69</f>
        <v>10810042</v>
      </c>
      <c r="E87" s="51">
        <f>+E69</f>
        <v>16617232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85401157</v>
      </c>
      <c r="D88" s="51">
        <f t="shared" si="0"/>
        <v>91501818</v>
      </c>
      <c r="E88" s="51">
        <f t="shared" si="0"/>
        <v>92639489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4418804</v>
      </c>
      <c r="D89" s="52">
        <f t="shared" si="0"/>
        <v>4522902</v>
      </c>
      <c r="E89" s="52">
        <f t="shared" si="0"/>
        <v>4545850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80982353</v>
      </c>
      <c r="D90" s="51">
        <f>+D88-D89</f>
        <v>86978916</v>
      </c>
      <c r="E90" s="51">
        <f>+E88-E89</f>
        <v>88093639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-28.936722605178705</v>
      </c>
      <c r="D94" s="192">
        <f>IF(D96=0,0,(D95/D96)*100)</f>
        <v>-29.38916666594185</v>
      </c>
      <c r="E94" s="192">
        <f>IF(E96=0,0,(E95/E96)*100)</f>
        <v>-46.78289848043741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-20171322</v>
      </c>
      <c r="D95" s="51">
        <f>+D32</f>
        <v>-19935723</v>
      </c>
      <c r="E95" s="51">
        <f>+E32</f>
        <v>-31049573</v>
      </c>
      <c r="F95" s="28"/>
    </row>
    <row r="96" spans="1:6" ht="24" customHeight="1" x14ac:dyDescent="0.25">
      <c r="A96" s="21">
        <v>3</v>
      </c>
      <c r="B96" s="48" t="s">
        <v>43</v>
      </c>
      <c r="C96" s="51">
        <v>69708385</v>
      </c>
      <c r="D96" s="51">
        <v>67833577</v>
      </c>
      <c r="E96" s="51">
        <v>66369494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11.218239863091544</v>
      </c>
      <c r="D98" s="192">
        <f>IF(D104=0,0,(D101/D104)*100)</f>
        <v>9.4563545541952614</v>
      </c>
      <c r="E98" s="192">
        <f>IF(E104=0,0,(E101/E104)*100)</f>
        <v>1.3415783670599406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-1185004</v>
      </c>
      <c r="D99" s="51">
        <f>+D28</f>
        <v>-1662820</v>
      </c>
      <c r="E99" s="51">
        <f>+E28</f>
        <v>-4062810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4418804</v>
      </c>
      <c r="D100" s="52">
        <f>+D76</f>
        <v>4522902</v>
      </c>
      <c r="E100" s="52">
        <f>+E76</f>
        <v>4545850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3233800</v>
      </c>
      <c r="D101" s="51">
        <f>+D99+D100</f>
        <v>2860082</v>
      </c>
      <c r="E101" s="51">
        <f>+E99+E100</f>
        <v>483040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9128012</v>
      </c>
      <c r="D102" s="180">
        <f>+D69</f>
        <v>10810042</v>
      </c>
      <c r="E102" s="180">
        <f>+E69</f>
        <v>16617232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19698257</v>
      </c>
      <c r="D103" s="194">
        <v>19435038</v>
      </c>
      <c r="E103" s="194">
        <v>19388119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28826269</v>
      </c>
      <c r="D104" s="180">
        <f>+D102+D103</f>
        <v>30245080</v>
      </c>
      <c r="E104" s="180">
        <f>+E102+E103</f>
        <v>36005351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-4163.9641486899263</v>
      </c>
      <c r="D106" s="197">
        <f>IF(D109=0,0,(D107/D109)*100)</f>
        <v>-3881.68968513137</v>
      </c>
      <c r="E106" s="197">
        <f>IF(E109=0,0,(E107/E109)*100)</f>
        <v>-166.25816128932121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19698257</v>
      </c>
      <c r="D107" s="180">
        <f>+D103</f>
        <v>19435038</v>
      </c>
      <c r="E107" s="180">
        <f>+E103</f>
        <v>19388119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-20171322</v>
      </c>
      <c r="D108" s="180">
        <f>+D32</f>
        <v>-19935723</v>
      </c>
      <c r="E108" s="180">
        <f>+E32</f>
        <v>-31049573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-473065</v>
      </c>
      <c r="D109" s="180">
        <f>+D107+D108</f>
        <v>-500685</v>
      </c>
      <c r="E109" s="180">
        <f>+E107+E108</f>
        <v>-11661454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1.4906847019028766</v>
      </c>
      <c r="D111" s="197">
        <f>IF((+D113+D115)=0,0,((+D112+D113+D114)/(+D113+D115)))</f>
        <v>1.8076895374524156</v>
      </c>
      <c r="E111" s="197">
        <f>IF((+E113+E115)=0,0,((+E112+E113+E114)/(+E113+E115)))</f>
        <v>9.1818391209150377E-2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-1185004</v>
      </c>
      <c r="D112" s="180">
        <f>+D17</f>
        <v>-1662820</v>
      </c>
      <c r="E112" s="180">
        <f>+E17</f>
        <v>-4062810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1483430</v>
      </c>
      <c r="D113" s="180">
        <v>1557105</v>
      </c>
      <c r="E113" s="180">
        <v>1476666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4418804</v>
      </c>
      <c r="D114" s="180">
        <v>4522902</v>
      </c>
      <c r="E114" s="180">
        <v>4545850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1681042</v>
      </c>
      <c r="D115" s="180">
        <v>886449</v>
      </c>
      <c r="E115" s="180">
        <v>19866618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13.121617297350143</v>
      </c>
      <c r="D119" s="197">
        <f>IF(+D121=0,0,(+D120)/(+D121))</f>
        <v>13.816095949016804</v>
      </c>
      <c r="E119" s="197">
        <f>IF(+E121=0,0,(+E120)/(+E121))</f>
        <v>14.734771934841669</v>
      </c>
    </row>
    <row r="120" spans="1:8" ht="24" customHeight="1" x14ac:dyDescent="0.25">
      <c r="A120" s="17">
        <v>21</v>
      </c>
      <c r="B120" s="48" t="s">
        <v>369</v>
      </c>
      <c r="C120" s="180">
        <v>57981855</v>
      </c>
      <c r="D120" s="180">
        <v>62488848</v>
      </c>
      <c r="E120" s="180">
        <v>66982063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4418804</v>
      </c>
      <c r="D121" s="180">
        <v>4522902</v>
      </c>
      <c r="E121" s="180">
        <v>4545850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20696</v>
      </c>
      <c r="D124" s="198">
        <v>20850</v>
      </c>
      <c r="E124" s="198">
        <v>19996</v>
      </c>
    </row>
    <row r="125" spans="1:8" ht="24" customHeight="1" x14ac:dyDescent="0.2">
      <c r="A125" s="44">
        <v>2</v>
      </c>
      <c r="B125" s="48" t="s">
        <v>373</v>
      </c>
      <c r="C125" s="198">
        <v>5343</v>
      </c>
      <c r="D125" s="198">
        <v>5100</v>
      </c>
      <c r="E125" s="198">
        <v>4701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3.8734793187347933</v>
      </c>
      <c r="D126" s="199">
        <f>IF(D125=0,0,D124/D125)</f>
        <v>4.0882352941176467</v>
      </c>
      <c r="E126" s="199">
        <f>IF(E125=0,0,E124/E125)</f>
        <v>4.2535630716868749</v>
      </c>
    </row>
    <row r="127" spans="1:8" ht="24" customHeight="1" x14ac:dyDescent="0.2">
      <c r="A127" s="44">
        <v>4</v>
      </c>
      <c r="B127" s="48" t="s">
        <v>375</v>
      </c>
      <c r="C127" s="198">
        <v>87</v>
      </c>
      <c r="D127" s="198">
        <v>87</v>
      </c>
      <c r="E127" s="198">
        <v>87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144</v>
      </c>
      <c r="E128" s="198">
        <v>144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144</v>
      </c>
      <c r="D129" s="198">
        <v>144</v>
      </c>
      <c r="E129" s="198">
        <v>144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0.65169999999999995</v>
      </c>
      <c r="D130" s="171">
        <v>0.65649999999999997</v>
      </c>
      <c r="E130" s="171">
        <v>0.62960000000000005</v>
      </c>
    </row>
    <row r="131" spans="1:8" ht="24" customHeight="1" x14ac:dyDescent="0.2">
      <c r="A131" s="44">
        <v>7</v>
      </c>
      <c r="B131" s="48" t="s">
        <v>379</v>
      </c>
      <c r="C131" s="171">
        <v>0.39369999999999999</v>
      </c>
      <c r="D131" s="171">
        <v>0.39660000000000001</v>
      </c>
      <c r="E131" s="171">
        <v>0.38040000000000002</v>
      </c>
    </row>
    <row r="132" spans="1:8" ht="24" customHeight="1" x14ac:dyDescent="0.2">
      <c r="A132" s="44">
        <v>8</v>
      </c>
      <c r="B132" s="48" t="s">
        <v>380</v>
      </c>
      <c r="C132" s="199">
        <v>608</v>
      </c>
      <c r="D132" s="199">
        <v>603.4</v>
      </c>
      <c r="E132" s="199">
        <v>607.5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0.38672325281755093</v>
      </c>
      <c r="D135" s="203">
        <f>IF(D149=0,0,D143/D149)</f>
        <v>0.36957315645763067</v>
      </c>
      <c r="E135" s="203">
        <f>IF(E149=0,0,E143/E149)</f>
        <v>0.36230702573249368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0.3995072915567347</v>
      </c>
      <c r="D136" s="203">
        <f>IF(D149=0,0,D144/D149)</f>
        <v>0.40786112225169269</v>
      </c>
      <c r="E136" s="203">
        <f>IF(E149=0,0,E144/E149)</f>
        <v>0.41257165068508178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0.13690068768343991</v>
      </c>
      <c r="D137" s="203">
        <f>IF(D149=0,0,D145/D149)</f>
        <v>0.16133377849371724</v>
      </c>
      <c r="E137" s="203">
        <f>IF(E149=0,0,E145/E149)</f>
        <v>0.19632342506418235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5.1701560415693078E-2</v>
      </c>
      <c r="D138" s="203">
        <f>IF(D149=0,0,D146/D149)</f>
        <v>3.3039995697158757E-2</v>
      </c>
      <c r="E138" s="203">
        <f>IF(E149=0,0,E146/E149)</f>
        <v>2.477932874208888E-3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2.2070462304656084E-2</v>
      </c>
      <c r="D139" s="203">
        <f>IF(D149=0,0,D147/D149)</f>
        <v>2.5049655188030595E-2</v>
      </c>
      <c r="E139" s="203">
        <f>IF(E149=0,0,E147/E149)</f>
        <v>2.3536339898374049E-2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3.0967452219253103E-3</v>
      </c>
      <c r="D140" s="203">
        <f>IF(D149=0,0,D148/D149)</f>
        <v>3.1422919117700589E-3</v>
      </c>
      <c r="E140" s="203">
        <f>IF(E149=0,0,E148/E149)</f>
        <v>2.7836257456592679E-3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0.99999999999999989</v>
      </c>
      <c r="D141" s="203">
        <f>SUM(D135:D140)</f>
        <v>1</v>
      </c>
      <c r="E141" s="203">
        <f>SUM(E135:E140)</f>
        <v>0.99999999999999989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73548526</v>
      </c>
      <c r="D143" s="205">
        <f>+D46-D147</f>
        <v>71680770</v>
      </c>
      <c r="E143" s="205">
        <f>+E46-E147</f>
        <v>72237907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75979844</v>
      </c>
      <c r="D144" s="205">
        <f>+D51</f>
        <v>79106934</v>
      </c>
      <c r="E144" s="205">
        <f>+E51</f>
        <v>82259825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26036303</v>
      </c>
      <c r="D145" s="205">
        <f>+D55</f>
        <v>31291584</v>
      </c>
      <c r="E145" s="205">
        <f>+E55</f>
        <v>39143578</v>
      </c>
    </row>
    <row r="146" spans="1:7" ht="20.100000000000001" customHeight="1" x14ac:dyDescent="0.2">
      <c r="A146" s="202">
        <v>11</v>
      </c>
      <c r="B146" s="201" t="s">
        <v>392</v>
      </c>
      <c r="C146" s="204">
        <v>9832803</v>
      </c>
      <c r="D146" s="205">
        <v>6408291</v>
      </c>
      <c r="E146" s="205">
        <v>494058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4197446</v>
      </c>
      <c r="D147" s="205">
        <f>+D47</f>
        <v>4858520</v>
      </c>
      <c r="E147" s="205">
        <f>+E47</f>
        <v>4692749</v>
      </c>
    </row>
    <row r="148" spans="1:7" ht="20.100000000000001" customHeight="1" x14ac:dyDescent="0.2">
      <c r="A148" s="202">
        <v>13</v>
      </c>
      <c r="B148" s="201" t="s">
        <v>394</v>
      </c>
      <c r="C148" s="206">
        <v>588951</v>
      </c>
      <c r="D148" s="205">
        <v>609465</v>
      </c>
      <c r="E148" s="205">
        <v>555008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190183873</v>
      </c>
      <c r="D149" s="205">
        <f>SUM(D143:D148)</f>
        <v>193955564</v>
      </c>
      <c r="E149" s="205">
        <f>SUM(E143:E148)</f>
        <v>199383125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0.42703383827489616</v>
      </c>
      <c r="D152" s="203">
        <f>IF(D166=0,0,D160/D166)</f>
        <v>0.40857296365060902</v>
      </c>
      <c r="E152" s="203">
        <f>IF(E166=0,0,E160/E166)</f>
        <v>0.42813733750690819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0.42525117089999992</v>
      </c>
      <c r="D153" s="203">
        <f>IF(D166=0,0,D161/D166)</f>
        <v>0.43772150703931517</v>
      </c>
      <c r="E153" s="203">
        <f>IF(E166=0,0,E161/E166)</f>
        <v>0.43401277510286818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0.1209351289906581</v>
      </c>
      <c r="D154" s="203">
        <f>IF(D166=0,0,D162/D166)</f>
        <v>0.13077856461347312</v>
      </c>
      <c r="E154" s="203">
        <f>IF(E166=0,0,E162/E166)</f>
        <v>0.13174442095527211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2.0699139413921524E-2</v>
      </c>
      <c r="D155" s="203">
        <f>IF(D166=0,0,D163/D166)</f>
        <v>1.6499913860267813E-2</v>
      </c>
      <c r="E155" s="203">
        <f>IF(E166=0,0,E163/E166)</f>
        <v>1.7800176726724649E-3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3.1792199500911386E-3</v>
      </c>
      <c r="D156" s="203">
        <f>IF(D166=0,0,D164/D166)</f>
        <v>3.6677305094323523E-3</v>
      </c>
      <c r="E156" s="203">
        <f>IF(E166=0,0,E164/E166)</f>
        <v>2.050903628279214E-3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2.9015024704331749E-3</v>
      </c>
      <c r="D157" s="203">
        <f>IF(D166=0,0,D165/D166)</f>
        <v>2.7593203269025567E-3</v>
      </c>
      <c r="E157" s="203">
        <f>IF(E166=0,0,E165/E166)</f>
        <v>2.2745451339998284E-3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1.0000000000000002</v>
      </c>
      <c r="E158" s="203">
        <f>SUM(E152:E157)</f>
        <v>0.99999999999999989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33722325</v>
      </c>
      <c r="D160" s="208">
        <f>+D44-D164</f>
        <v>33702394</v>
      </c>
      <c r="E160" s="208">
        <f>+E44-E164</f>
        <v>35324347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33581550</v>
      </c>
      <c r="D161" s="208">
        <f>+D50</f>
        <v>36106801</v>
      </c>
      <c r="E161" s="208">
        <f>+E50</f>
        <v>35809112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9550095</v>
      </c>
      <c r="D162" s="208">
        <f>+D54</f>
        <v>10787671</v>
      </c>
      <c r="E162" s="208">
        <f>+E54</f>
        <v>10869843</v>
      </c>
    </row>
    <row r="163" spans="1:6" ht="20.100000000000001" customHeight="1" x14ac:dyDescent="0.2">
      <c r="A163" s="202">
        <v>11</v>
      </c>
      <c r="B163" s="201" t="s">
        <v>408</v>
      </c>
      <c r="C163" s="207">
        <v>1634585</v>
      </c>
      <c r="D163" s="208">
        <v>1361046</v>
      </c>
      <c r="E163" s="208">
        <v>146864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251059</v>
      </c>
      <c r="D164" s="208">
        <f>+D45</f>
        <v>302544</v>
      </c>
      <c r="E164" s="208">
        <f>+E45</f>
        <v>169214</v>
      </c>
    </row>
    <row r="165" spans="1:6" ht="20.100000000000001" customHeight="1" x14ac:dyDescent="0.2">
      <c r="A165" s="202">
        <v>13</v>
      </c>
      <c r="B165" s="201" t="s">
        <v>410</v>
      </c>
      <c r="C165" s="209">
        <v>229128</v>
      </c>
      <c r="D165" s="208">
        <v>227611</v>
      </c>
      <c r="E165" s="208">
        <v>187666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78968742</v>
      </c>
      <c r="D166" s="208">
        <f>SUM(D160:D165)</f>
        <v>82488067</v>
      </c>
      <c r="E166" s="208">
        <f>SUM(E160:E165)</f>
        <v>82507046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1601</v>
      </c>
      <c r="D169" s="198">
        <v>1381</v>
      </c>
      <c r="E169" s="198">
        <v>1256</v>
      </c>
    </row>
    <row r="170" spans="1:6" ht="20.100000000000001" customHeight="1" x14ac:dyDescent="0.2">
      <c r="A170" s="202">
        <v>2</v>
      </c>
      <c r="B170" s="201" t="s">
        <v>414</v>
      </c>
      <c r="C170" s="198">
        <v>2534</v>
      </c>
      <c r="D170" s="198">
        <v>2517</v>
      </c>
      <c r="E170" s="198">
        <v>2372</v>
      </c>
    </row>
    <row r="171" spans="1:6" ht="20.100000000000001" customHeight="1" x14ac:dyDescent="0.2">
      <c r="A171" s="202">
        <v>3</v>
      </c>
      <c r="B171" s="201" t="s">
        <v>415</v>
      </c>
      <c r="C171" s="198">
        <v>1195</v>
      </c>
      <c r="D171" s="198">
        <v>1188</v>
      </c>
      <c r="E171" s="198">
        <v>1055</v>
      </c>
    </row>
    <row r="172" spans="1:6" ht="20.100000000000001" customHeight="1" x14ac:dyDescent="0.2">
      <c r="A172" s="202">
        <v>4</v>
      </c>
      <c r="B172" s="201" t="s">
        <v>416</v>
      </c>
      <c r="C172" s="198">
        <v>961</v>
      </c>
      <c r="D172" s="198">
        <v>1061</v>
      </c>
      <c r="E172" s="198">
        <v>1035</v>
      </c>
    </row>
    <row r="173" spans="1:6" ht="20.100000000000001" customHeight="1" x14ac:dyDescent="0.2">
      <c r="A173" s="202">
        <v>5</v>
      </c>
      <c r="B173" s="201" t="s">
        <v>417</v>
      </c>
      <c r="C173" s="198">
        <v>234</v>
      </c>
      <c r="D173" s="198">
        <v>127</v>
      </c>
      <c r="E173" s="198">
        <v>20</v>
      </c>
    </row>
    <row r="174" spans="1:6" ht="20.100000000000001" customHeight="1" x14ac:dyDescent="0.2">
      <c r="A174" s="202">
        <v>6</v>
      </c>
      <c r="B174" s="201" t="s">
        <v>418</v>
      </c>
      <c r="C174" s="198">
        <v>13</v>
      </c>
      <c r="D174" s="198">
        <v>14</v>
      </c>
      <c r="E174" s="198">
        <v>18</v>
      </c>
    </row>
    <row r="175" spans="1:6" ht="20.100000000000001" customHeight="1" x14ac:dyDescent="0.2">
      <c r="A175" s="202">
        <v>7</v>
      </c>
      <c r="B175" s="201" t="s">
        <v>419</v>
      </c>
      <c r="C175" s="198">
        <v>87</v>
      </c>
      <c r="D175" s="198">
        <v>106</v>
      </c>
      <c r="E175" s="198">
        <v>66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5343</v>
      </c>
      <c r="D176" s="198">
        <f>+D169+D170+D171+D174</f>
        <v>5100</v>
      </c>
      <c r="E176" s="198">
        <f>+E169+E170+E171+E174</f>
        <v>4701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0.94199999999999995</v>
      </c>
      <c r="D179" s="210">
        <v>0.92630000000000001</v>
      </c>
      <c r="E179" s="210">
        <v>0.96199999999999997</v>
      </c>
    </row>
    <row r="180" spans="1:6" ht="20.100000000000001" customHeight="1" x14ac:dyDescent="0.2">
      <c r="A180" s="202">
        <v>2</v>
      </c>
      <c r="B180" s="201" t="s">
        <v>414</v>
      </c>
      <c r="C180" s="210">
        <v>1.1832</v>
      </c>
      <c r="D180" s="210">
        <v>1.1798999999999999</v>
      </c>
      <c r="E180" s="210">
        <v>1.2727999999999999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0.77951300000000001</v>
      </c>
      <c r="D181" s="210">
        <v>0.86209000000000002</v>
      </c>
      <c r="E181" s="210">
        <v>0.89271999999999996</v>
      </c>
    </row>
    <row r="182" spans="1:6" ht="20.100000000000001" customHeight="1" x14ac:dyDescent="0.2">
      <c r="A182" s="202">
        <v>4</v>
      </c>
      <c r="B182" s="201" t="s">
        <v>416</v>
      </c>
      <c r="C182" s="210">
        <v>0.74890000000000001</v>
      </c>
      <c r="D182" s="210">
        <v>0.81640000000000001</v>
      </c>
      <c r="E182" s="210">
        <v>0.89670000000000005</v>
      </c>
    </row>
    <row r="183" spans="1:6" ht="20.100000000000001" customHeight="1" x14ac:dyDescent="0.2">
      <c r="A183" s="202">
        <v>5</v>
      </c>
      <c r="B183" s="201" t="s">
        <v>417</v>
      </c>
      <c r="C183" s="210">
        <v>0.90524000000000004</v>
      </c>
      <c r="D183" s="210">
        <v>1.2438</v>
      </c>
      <c r="E183" s="210">
        <v>0.68676999999999999</v>
      </c>
    </row>
    <row r="184" spans="1:6" ht="20.100000000000001" customHeight="1" x14ac:dyDescent="0.2">
      <c r="A184" s="202">
        <v>6</v>
      </c>
      <c r="B184" s="201" t="s">
        <v>418</v>
      </c>
      <c r="C184" s="210">
        <v>0.95499999999999996</v>
      </c>
      <c r="D184" s="210">
        <v>0.99129999999999996</v>
      </c>
      <c r="E184" s="210">
        <v>0.58850000000000002</v>
      </c>
    </row>
    <row r="185" spans="1:6" ht="20.100000000000001" customHeight="1" x14ac:dyDescent="0.2">
      <c r="A185" s="202">
        <v>7</v>
      </c>
      <c r="B185" s="201" t="s">
        <v>419</v>
      </c>
      <c r="C185" s="210">
        <v>0.83599999999999997</v>
      </c>
      <c r="D185" s="210">
        <v>0.72699999999999998</v>
      </c>
      <c r="E185" s="210">
        <v>1.0567</v>
      </c>
    </row>
    <row r="186" spans="1:6" ht="20.100000000000001" customHeight="1" x14ac:dyDescent="0.2">
      <c r="A186" s="202">
        <v>8</v>
      </c>
      <c r="B186" s="201" t="s">
        <v>423</v>
      </c>
      <c r="C186" s="210">
        <v>1.0200830000000001</v>
      </c>
      <c r="D186" s="210">
        <v>1.03668</v>
      </c>
      <c r="E186" s="210">
        <v>1.1018429999999999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3721</v>
      </c>
      <c r="D189" s="198">
        <v>3665</v>
      </c>
      <c r="E189" s="198">
        <v>3378</v>
      </c>
    </row>
    <row r="190" spans="1:6" ht="20.100000000000001" customHeight="1" x14ac:dyDescent="0.2">
      <c r="A190" s="202">
        <v>2</v>
      </c>
      <c r="B190" s="201" t="s">
        <v>427</v>
      </c>
      <c r="C190" s="198">
        <v>26293</v>
      </c>
      <c r="D190" s="198">
        <v>28697</v>
      </c>
      <c r="E190" s="198">
        <v>30744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30014</v>
      </c>
      <c r="D191" s="198">
        <f>+D190+D189</f>
        <v>32362</v>
      </c>
      <c r="E191" s="198">
        <f>+E190+E189</f>
        <v>34122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FILING&amp;RWINDHAM COMMUNITY MEMORIAL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tabSelected="1" zoomScale="80" zoomScaleNormal="80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5" width="21.1406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429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76"/>
      <c r="D9" s="677"/>
      <c r="E9" s="677"/>
      <c r="F9" s="678"/>
      <c r="G9" s="212"/>
    </row>
    <row r="10" spans="1:7" ht="20.25" customHeight="1" x14ac:dyDescent="0.3">
      <c r="A10" s="679" t="s">
        <v>12</v>
      </c>
      <c r="B10" s="681" t="s">
        <v>113</v>
      </c>
      <c r="C10" s="683"/>
      <c r="D10" s="684"/>
      <c r="E10" s="684"/>
      <c r="F10" s="685"/>
    </row>
    <row r="11" spans="1:7" ht="20.25" customHeight="1" x14ac:dyDescent="0.3">
      <c r="A11" s="680"/>
      <c r="B11" s="682"/>
      <c r="C11" s="686"/>
      <c r="D11" s="687"/>
      <c r="E11" s="687"/>
      <c r="F11" s="688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242370</v>
      </c>
      <c r="D14" s="237">
        <v>75288</v>
      </c>
      <c r="E14" s="237">
        <f t="shared" ref="E14:E24" si="0">D14-C14</f>
        <v>-167082</v>
      </c>
      <c r="F14" s="238">
        <f t="shared" ref="F14:F24" si="1">IF(C14=0,0,E14/C14)</f>
        <v>-0.68936749597722491</v>
      </c>
    </row>
    <row r="15" spans="1:7" ht="20.25" customHeight="1" x14ac:dyDescent="0.3">
      <c r="A15" s="235">
        <v>2</v>
      </c>
      <c r="B15" s="236" t="s">
        <v>435</v>
      </c>
      <c r="C15" s="237">
        <v>162233</v>
      </c>
      <c r="D15" s="237">
        <v>46816</v>
      </c>
      <c r="E15" s="237">
        <f t="shared" si="0"/>
        <v>-115417</v>
      </c>
      <c r="F15" s="238">
        <f t="shared" si="1"/>
        <v>-0.71142739146782719</v>
      </c>
    </row>
    <row r="16" spans="1:7" ht="20.25" customHeight="1" x14ac:dyDescent="0.3">
      <c r="A16" s="235">
        <v>3</v>
      </c>
      <c r="B16" s="236" t="s">
        <v>436</v>
      </c>
      <c r="C16" s="237">
        <v>43570</v>
      </c>
      <c r="D16" s="237">
        <v>55779</v>
      </c>
      <c r="E16" s="237">
        <f t="shared" si="0"/>
        <v>12209</v>
      </c>
      <c r="F16" s="238">
        <f t="shared" si="1"/>
        <v>0.28021574477851735</v>
      </c>
    </row>
    <row r="17" spans="1:6" ht="20.25" customHeight="1" x14ac:dyDescent="0.3">
      <c r="A17" s="235">
        <v>4</v>
      </c>
      <c r="B17" s="236" t="s">
        <v>437</v>
      </c>
      <c r="C17" s="237">
        <v>10696</v>
      </c>
      <c r="D17" s="237">
        <v>16340</v>
      </c>
      <c r="E17" s="237">
        <f t="shared" si="0"/>
        <v>5644</v>
      </c>
      <c r="F17" s="238">
        <f t="shared" si="1"/>
        <v>0.52767389678384446</v>
      </c>
    </row>
    <row r="18" spans="1:6" ht="20.25" customHeight="1" x14ac:dyDescent="0.3">
      <c r="A18" s="235">
        <v>5</v>
      </c>
      <c r="B18" s="236" t="s">
        <v>373</v>
      </c>
      <c r="C18" s="239">
        <v>12</v>
      </c>
      <c r="D18" s="239">
        <v>5</v>
      </c>
      <c r="E18" s="239">
        <f t="shared" si="0"/>
        <v>-7</v>
      </c>
      <c r="F18" s="238">
        <f t="shared" si="1"/>
        <v>-0.58333333333333337</v>
      </c>
    </row>
    <row r="19" spans="1:6" ht="20.25" customHeight="1" x14ac:dyDescent="0.3">
      <c r="A19" s="235">
        <v>6</v>
      </c>
      <c r="B19" s="236" t="s">
        <v>372</v>
      </c>
      <c r="C19" s="239">
        <v>88</v>
      </c>
      <c r="D19" s="239">
        <v>34</v>
      </c>
      <c r="E19" s="239">
        <f t="shared" si="0"/>
        <v>-54</v>
      </c>
      <c r="F19" s="238">
        <f t="shared" si="1"/>
        <v>-0.61363636363636365</v>
      </c>
    </row>
    <row r="20" spans="1:6" ht="20.25" customHeight="1" x14ac:dyDescent="0.3">
      <c r="A20" s="235">
        <v>7</v>
      </c>
      <c r="B20" s="236" t="s">
        <v>438</v>
      </c>
      <c r="C20" s="239">
        <v>75</v>
      </c>
      <c r="D20" s="239">
        <v>96</v>
      </c>
      <c r="E20" s="239">
        <f t="shared" si="0"/>
        <v>21</v>
      </c>
      <c r="F20" s="238">
        <f t="shared" si="1"/>
        <v>0.28000000000000003</v>
      </c>
    </row>
    <row r="21" spans="1:6" ht="20.25" customHeight="1" x14ac:dyDescent="0.3">
      <c r="A21" s="235">
        <v>8</v>
      </c>
      <c r="B21" s="236" t="s">
        <v>439</v>
      </c>
      <c r="C21" s="239">
        <v>9</v>
      </c>
      <c r="D21" s="239">
        <v>1</v>
      </c>
      <c r="E21" s="239">
        <f t="shared" si="0"/>
        <v>-8</v>
      </c>
      <c r="F21" s="238">
        <f t="shared" si="1"/>
        <v>-0.88888888888888884</v>
      </c>
    </row>
    <row r="22" spans="1:6" ht="20.25" customHeight="1" x14ac:dyDescent="0.3">
      <c r="A22" s="235">
        <v>9</v>
      </c>
      <c r="B22" s="236" t="s">
        <v>440</v>
      </c>
      <c r="C22" s="239">
        <v>8</v>
      </c>
      <c r="D22" s="239">
        <v>4</v>
      </c>
      <c r="E22" s="239">
        <f t="shared" si="0"/>
        <v>-4</v>
      </c>
      <c r="F22" s="238">
        <f t="shared" si="1"/>
        <v>-0.5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285940</v>
      </c>
      <c r="D23" s="243">
        <f>+D14+D16</f>
        <v>131067</v>
      </c>
      <c r="E23" s="243">
        <f t="shared" si="0"/>
        <v>-154873</v>
      </c>
      <c r="F23" s="244">
        <f t="shared" si="1"/>
        <v>-0.54162761418479399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172929</v>
      </c>
      <c r="D24" s="243">
        <f>+D15+D17</f>
        <v>63156</v>
      </c>
      <c r="E24" s="243">
        <f t="shared" si="0"/>
        <v>-109773</v>
      </c>
      <c r="F24" s="244">
        <f t="shared" si="1"/>
        <v>-0.63478653088839931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730696</v>
      </c>
      <c r="D40" s="237">
        <v>1955197</v>
      </c>
      <c r="E40" s="237">
        <f t="shared" ref="E40:E50" si="4">D40-C40</f>
        <v>1224501</v>
      </c>
      <c r="F40" s="238">
        <f t="shared" ref="F40:F50" si="5">IF(C40=0,0,E40/C40)</f>
        <v>1.675800880256632</v>
      </c>
    </row>
    <row r="41" spans="1:6" ht="20.25" customHeight="1" x14ac:dyDescent="0.3">
      <c r="A41" s="235">
        <v>2</v>
      </c>
      <c r="B41" s="236" t="s">
        <v>435</v>
      </c>
      <c r="C41" s="237">
        <v>479117</v>
      </c>
      <c r="D41" s="237">
        <v>1201980</v>
      </c>
      <c r="E41" s="237">
        <f t="shared" si="4"/>
        <v>722863</v>
      </c>
      <c r="F41" s="238">
        <f t="shared" si="5"/>
        <v>1.5087400363585513</v>
      </c>
    </row>
    <row r="42" spans="1:6" ht="20.25" customHeight="1" x14ac:dyDescent="0.3">
      <c r="A42" s="235">
        <v>3</v>
      </c>
      <c r="B42" s="236" t="s">
        <v>436</v>
      </c>
      <c r="C42" s="237">
        <v>1279414</v>
      </c>
      <c r="D42" s="237">
        <v>2259415</v>
      </c>
      <c r="E42" s="237">
        <f t="shared" si="4"/>
        <v>980001</v>
      </c>
      <c r="F42" s="238">
        <f t="shared" si="5"/>
        <v>0.76597645484573407</v>
      </c>
    </row>
    <row r="43" spans="1:6" ht="20.25" customHeight="1" x14ac:dyDescent="0.3">
      <c r="A43" s="235">
        <v>4</v>
      </c>
      <c r="B43" s="236" t="s">
        <v>437</v>
      </c>
      <c r="C43" s="237">
        <v>336582</v>
      </c>
      <c r="D43" s="237">
        <v>552093</v>
      </c>
      <c r="E43" s="237">
        <f t="shared" si="4"/>
        <v>215511</v>
      </c>
      <c r="F43" s="238">
        <f t="shared" si="5"/>
        <v>0.64029270727489884</v>
      </c>
    </row>
    <row r="44" spans="1:6" ht="20.25" customHeight="1" x14ac:dyDescent="0.3">
      <c r="A44" s="235">
        <v>5</v>
      </c>
      <c r="B44" s="236" t="s">
        <v>373</v>
      </c>
      <c r="C44" s="239">
        <v>52</v>
      </c>
      <c r="D44" s="239">
        <v>123</v>
      </c>
      <c r="E44" s="239">
        <f t="shared" si="4"/>
        <v>71</v>
      </c>
      <c r="F44" s="238">
        <f t="shared" si="5"/>
        <v>1.3653846153846154</v>
      </c>
    </row>
    <row r="45" spans="1:6" ht="20.25" customHeight="1" x14ac:dyDescent="0.3">
      <c r="A45" s="235">
        <v>6</v>
      </c>
      <c r="B45" s="236" t="s">
        <v>372</v>
      </c>
      <c r="C45" s="239">
        <v>220</v>
      </c>
      <c r="D45" s="239">
        <v>540</v>
      </c>
      <c r="E45" s="239">
        <f t="shared" si="4"/>
        <v>320</v>
      </c>
      <c r="F45" s="238">
        <f t="shared" si="5"/>
        <v>1.4545454545454546</v>
      </c>
    </row>
    <row r="46" spans="1:6" ht="20.25" customHeight="1" x14ac:dyDescent="0.3">
      <c r="A46" s="235">
        <v>7</v>
      </c>
      <c r="B46" s="236" t="s">
        <v>438</v>
      </c>
      <c r="C46" s="239">
        <v>1636</v>
      </c>
      <c r="D46" s="239">
        <v>2404</v>
      </c>
      <c r="E46" s="239">
        <f t="shared" si="4"/>
        <v>768</v>
      </c>
      <c r="F46" s="238">
        <f t="shared" si="5"/>
        <v>0.46943765281173594</v>
      </c>
    </row>
    <row r="47" spans="1:6" ht="20.25" customHeight="1" x14ac:dyDescent="0.3">
      <c r="A47" s="235">
        <v>8</v>
      </c>
      <c r="B47" s="236" t="s">
        <v>439</v>
      </c>
      <c r="C47" s="239">
        <v>84</v>
      </c>
      <c r="D47" s="239">
        <v>179</v>
      </c>
      <c r="E47" s="239">
        <f t="shared" si="4"/>
        <v>95</v>
      </c>
      <c r="F47" s="238">
        <f t="shared" si="5"/>
        <v>1.1309523809523809</v>
      </c>
    </row>
    <row r="48" spans="1:6" ht="20.25" customHeight="1" x14ac:dyDescent="0.3">
      <c r="A48" s="235">
        <v>9</v>
      </c>
      <c r="B48" s="236" t="s">
        <v>440</v>
      </c>
      <c r="C48" s="239">
        <v>32</v>
      </c>
      <c r="D48" s="239">
        <v>104</v>
      </c>
      <c r="E48" s="239">
        <f t="shared" si="4"/>
        <v>72</v>
      </c>
      <c r="F48" s="238">
        <f t="shared" si="5"/>
        <v>2.25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2010110</v>
      </c>
      <c r="D49" s="243">
        <f>+D40+D42</f>
        <v>4214612</v>
      </c>
      <c r="E49" s="243">
        <f t="shared" si="4"/>
        <v>2204502</v>
      </c>
      <c r="F49" s="244">
        <f t="shared" si="5"/>
        <v>1.0967071453801036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815699</v>
      </c>
      <c r="D50" s="243">
        <f>+D41+D43</f>
        <v>1754073</v>
      </c>
      <c r="E50" s="243">
        <f t="shared" si="4"/>
        <v>938374</v>
      </c>
      <c r="F50" s="244">
        <f t="shared" si="5"/>
        <v>1.1503924854633878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2324660</v>
      </c>
      <c r="D53" s="237">
        <v>410618</v>
      </c>
      <c r="E53" s="237">
        <f t="shared" ref="E53:E63" si="6">D53-C53</f>
        <v>-1914042</v>
      </c>
      <c r="F53" s="238">
        <f t="shared" ref="F53:F63" si="7">IF(C53=0,0,E53/C53)</f>
        <v>-0.82336427692651826</v>
      </c>
    </row>
    <row r="54" spans="1:6" ht="20.25" customHeight="1" x14ac:dyDescent="0.3">
      <c r="A54" s="235">
        <v>2</v>
      </c>
      <c r="B54" s="236" t="s">
        <v>435</v>
      </c>
      <c r="C54" s="237">
        <v>1275079</v>
      </c>
      <c r="D54" s="237">
        <v>255659</v>
      </c>
      <c r="E54" s="237">
        <f t="shared" si="6"/>
        <v>-1019420</v>
      </c>
      <c r="F54" s="238">
        <f t="shared" si="7"/>
        <v>-0.79949556066722138</v>
      </c>
    </row>
    <row r="55" spans="1:6" ht="20.25" customHeight="1" x14ac:dyDescent="0.3">
      <c r="A55" s="235">
        <v>3</v>
      </c>
      <c r="B55" s="236" t="s">
        <v>436</v>
      </c>
      <c r="C55" s="237">
        <v>2142255</v>
      </c>
      <c r="D55" s="237">
        <v>469614</v>
      </c>
      <c r="E55" s="237">
        <f t="shared" si="6"/>
        <v>-1672641</v>
      </c>
      <c r="F55" s="238">
        <f t="shared" si="7"/>
        <v>-0.78078520064138024</v>
      </c>
    </row>
    <row r="56" spans="1:6" ht="20.25" customHeight="1" x14ac:dyDescent="0.3">
      <c r="A56" s="235">
        <v>4</v>
      </c>
      <c r="B56" s="236" t="s">
        <v>437</v>
      </c>
      <c r="C56" s="237">
        <v>619431</v>
      </c>
      <c r="D56" s="237">
        <v>109712</v>
      </c>
      <c r="E56" s="237">
        <f t="shared" si="6"/>
        <v>-509719</v>
      </c>
      <c r="F56" s="238">
        <f t="shared" si="7"/>
        <v>-0.82288261323698686</v>
      </c>
    </row>
    <row r="57" spans="1:6" ht="20.25" customHeight="1" x14ac:dyDescent="0.3">
      <c r="A57" s="235">
        <v>5</v>
      </c>
      <c r="B57" s="236" t="s">
        <v>373</v>
      </c>
      <c r="C57" s="239">
        <v>125</v>
      </c>
      <c r="D57" s="239">
        <v>28</v>
      </c>
      <c r="E57" s="239">
        <f t="shared" si="6"/>
        <v>-97</v>
      </c>
      <c r="F57" s="238">
        <f t="shared" si="7"/>
        <v>-0.77600000000000002</v>
      </c>
    </row>
    <row r="58" spans="1:6" ht="20.25" customHeight="1" x14ac:dyDescent="0.3">
      <c r="A58" s="235">
        <v>6</v>
      </c>
      <c r="B58" s="236" t="s">
        <v>372</v>
      </c>
      <c r="C58" s="239">
        <v>650</v>
      </c>
      <c r="D58" s="239">
        <v>144</v>
      </c>
      <c r="E58" s="239">
        <f t="shared" si="6"/>
        <v>-506</v>
      </c>
      <c r="F58" s="238">
        <f t="shared" si="7"/>
        <v>-0.77846153846153843</v>
      </c>
    </row>
    <row r="59" spans="1:6" ht="20.25" customHeight="1" x14ac:dyDescent="0.3">
      <c r="A59" s="235">
        <v>7</v>
      </c>
      <c r="B59" s="236" t="s">
        <v>438</v>
      </c>
      <c r="C59" s="239">
        <v>2405</v>
      </c>
      <c r="D59" s="239">
        <v>704</v>
      </c>
      <c r="E59" s="239">
        <f t="shared" si="6"/>
        <v>-1701</v>
      </c>
      <c r="F59" s="238">
        <f t="shared" si="7"/>
        <v>-0.70727650727650726</v>
      </c>
    </row>
    <row r="60" spans="1:6" ht="20.25" customHeight="1" x14ac:dyDescent="0.3">
      <c r="A60" s="235">
        <v>8</v>
      </c>
      <c r="B60" s="236" t="s">
        <v>439</v>
      </c>
      <c r="C60" s="239">
        <v>174</v>
      </c>
      <c r="D60" s="239">
        <v>38</v>
      </c>
      <c r="E60" s="239">
        <f t="shared" si="6"/>
        <v>-136</v>
      </c>
      <c r="F60" s="238">
        <f t="shared" si="7"/>
        <v>-0.7816091954022989</v>
      </c>
    </row>
    <row r="61" spans="1:6" ht="20.25" customHeight="1" x14ac:dyDescent="0.3">
      <c r="A61" s="235">
        <v>9</v>
      </c>
      <c r="B61" s="236" t="s">
        <v>440</v>
      </c>
      <c r="C61" s="239">
        <v>69</v>
      </c>
      <c r="D61" s="239">
        <v>22</v>
      </c>
      <c r="E61" s="239">
        <f t="shared" si="6"/>
        <v>-47</v>
      </c>
      <c r="F61" s="238">
        <f t="shared" si="7"/>
        <v>-0.6811594202898551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4466915</v>
      </c>
      <c r="D62" s="243">
        <f>+D53+D55</f>
        <v>880232</v>
      </c>
      <c r="E62" s="243">
        <f t="shared" si="6"/>
        <v>-3586683</v>
      </c>
      <c r="F62" s="244">
        <f t="shared" si="7"/>
        <v>-0.80294409004872491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1894510</v>
      </c>
      <c r="D63" s="243">
        <f>+D54+D56</f>
        <v>365371</v>
      </c>
      <c r="E63" s="243">
        <f t="shared" si="6"/>
        <v>-1529139</v>
      </c>
      <c r="F63" s="244">
        <f t="shared" si="7"/>
        <v>-0.80714221619310533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140508</v>
      </c>
      <c r="D66" s="237">
        <v>1126835</v>
      </c>
      <c r="E66" s="237">
        <f t="shared" ref="E66:E76" si="8">D66-C66</f>
        <v>986327</v>
      </c>
      <c r="F66" s="238">
        <f t="shared" ref="F66:F76" si="9">IF(C66=0,0,E66/C66)</f>
        <v>7.0197212970079992</v>
      </c>
    </row>
    <row r="67" spans="1:6" ht="20.25" customHeight="1" x14ac:dyDescent="0.3">
      <c r="A67" s="235">
        <v>2</v>
      </c>
      <c r="B67" s="236" t="s">
        <v>435</v>
      </c>
      <c r="C67" s="237">
        <v>84581</v>
      </c>
      <c r="D67" s="237">
        <v>511104</v>
      </c>
      <c r="E67" s="237">
        <f t="shared" si="8"/>
        <v>426523</v>
      </c>
      <c r="F67" s="238">
        <f t="shared" si="9"/>
        <v>5.0427755642520191</v>
      </c>
    </row>
    <row r="68" spans="1:6" ht="20.25" customHeight="1" x14ac:dyDescent="0.3">
      <c r="A68" s="235">
        <v>3</v>
      </c>
      <c r="B68" s="236" t="s">
        <v>436</v>
      </c>
      <c r="C68" s="237">
        <v>457540</v>
      </c>
      <c r="D68" s="237">
        <v>929579</v>
      </c>
      <c r="E68" s="237">
        <f t="shared" si="8"/>
        <v>472039</v>
      </c>
      <c r="F68" s="238">
        <f t="shared" si="9"/>
        <v>1.0316890326528827</v>
      </c>
    </row>
    <row r="69" spans="1:6" ht="20.25" customHeight="1" x14ac:dyDescent="0.3">
      <c r="A69" s="235">
        <v>4</v>
      </c>
      <c r="B69" s="236" t="s">
        <v>437</v>
      </c>
      <c r="C69" s="237">
        <v>121578</v>
      </c>
      <c r="D69" s="237">
        <v>217510</v>
      </c>
      <c r="E69" s="237">
        <f t="shared" si="8"/>
        <v>95932</v>
      </c>
      <c r="F69" s="238">
        <f t="shared" si="9"/>
        <v>0.78905723074898415</v>
      </c>
    </row>
    <row r="70" spans="1:6" ht="20.25" customHeight="1" x14ac:dyDescent="0.3">
      <c r="A70" s="235">
        <v>5</v>
      </c>
      <c r="B70" s="236" t="s">
        <v>373</v>
      </c>
      <c r="C70" s="239">
        <v>14</v>
      </c>
      <c r="D70" s="239">
        <v>58</v>
      </c>
      <c r="E70" s="239">
        <f t="shared" si="8"/>
        <v>44</v>
      </c>
      <c r="F70" s="238">
        <f t="shared" si="9"/>
        <v>3.1428571428571428</v>
      </c>
    </row>
    <row r="71" spans="1:6" ht="20.25" customHeight="1" x14ac:dyDescent="0.3">
      <c r="A71" s="235">
        <v>6</v>
      </c>
      <c r="B71" s="236" t="s">
        <v>372</v>
      </c>
      <c r="C71" s="239">
        <v>39</v>
      </c>
      <c r="D71" s="239">
        <v>330</v>
      </c>
      <c r="E71" s="239">
        <f t="shared" si="8"/>
        <v>291</v>
      </c>
      <c r="F71" s="238">
        <f t="shared" si="9"/>
        <v>7.4615384615384617</v>
      </c>
    </row>
    <row r="72" spans="1:6" ht="20.25" customHeight="1" x14ac:dyDescent="0.3">
      <c r="A72" s="235">
        <v>7</v>
      </c>
      <c r="B72" s="236" t="s">
        <v>438</v>
      </c>
      <c r="C72" s="239">
        <v>551</v>
      </c>
      <c r="D72" s="239">
        <v>931</v>
      </c>
      <c r="E72" s="239">
        <f t="shared" si="8"/>
        <v>380</v>
      </c>
      <c r="F72" s="238">
        <f t="shared" si="9"/>
        <v>0.68965517241379315</v>
      </c>
    </row>
    <row r="73" spans="1:6" ht="20.25" customHeight="1" x14ac:dyDescent="0.3">
      <c r="A73" s="235">
        <v>8</v>
      </c>
      <c r="B73" s="236" t="s">
        <v>439</v>
      </c>
      <c r="C73" s="239">
        <v>69</v>
      </c>
      <c r="D73" s="239">
        <v>99</v>
      </c>
      <c r="E73" s="239">
        <f t="shared" si="8"/>
        <v>30</v>
      </c>
      <c r="F73" s="238">
        <f t="shared" si="9"/>
        <v>0.43478260869565216</v>
      </c>
    </row>
    <row r="74" spans="1:6" ht="20.25" customHeight="1" x14ac:dyDescent="0.3">
      <c r="A74" s="235">
        <v>9</v>
      </c>
      <c r="B74" s="236" t="s">
        <v>440</v>
      </c>
      <c r="C74" s="239">
        <v>8</v>
      </c>
      <c r="D74" s="239">
        <v>48</v>
      </c>
      <c r="E74" s="239">
        <f t="shared" si="8"/>
        <v>40</v>
      </c>
      <c r="F74" s="238">
        <f t="shared" si="9"/>
        <v>5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598048</v>
      </c>
      <c r="D75" s="243">
        <f>+D66+D68</f>
        <v>2056414</v>
      </c>
      <c r="E75" s="243">
        <f t="shared" si="8"/>
        <v>1458366</v>
      </c>
      <c r="F75" s="244">
        <f t="shared" si="9"/>
        <v>2.4385433945101398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206159</v>
      </c>
      <c r="D76" s="243">
        <f>+D67+D69</f>
        <v>728614</v>
      </c>
      <c r="E76" s="243">
        <f t="shared" si="8"/>
        <v>522455</v>
      </c>
      <c r="F76" s="244">
        <f t="shared" si="9"/>
        <v>2.5342332859588956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435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436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437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373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372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438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439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440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0</v>
      </c>
      <c r="D107" s="237">
        <v>0</v>
      </c>
      <c r="E107" s="237">
        <f t="shared" si="14"/>
        <v>0</v>
      </c>
      <c r="F107" s="238">
        <f t="shared" si="15"/>
        <v>0</v>
      </c>
    </row>
    <row r="108" spans="1:6" ht="20.25" customHeight="1" x14ac:dyDescent="0.3">
      <c r="A108" s="235">
        <v>4</v>
      </c>
      <c r="B108" s="236" t="s">
        <v>437</v>
      </c>
      <c r="C108" s="237">
        <v>0</v>
      </c>
      <c r="D108" s="237">
        <v>0</v>
      </c>
      <c r="E108" s="237">
        <f t="shared" si="14"/>
        <v>0</v>
      </c>
      <c r="F108" s="238">
        <f t="shared" si="15"/>
        <v>0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0</v>
      </c>
      <c r="D111" s="239">
        <v>0</v>
      </c>
      <c r="E111" s="239">
        <f t="shared" si="14"/>
        <v>0</v>
      </c>
      <c r="F111" s="238">
        <f t="shared" si="15"/>
        <v>0</v>
      </c>
    </row>
    <row r="112" spans="1:6" ht="20.25" customHeight="1" x14ac:dyDescent="0.3">
      <c r="A112" s="235">
        <v>8</v>
      </c>
      <c r="B112" s="236" t="s">
        <v>439</v>
      </c>
      <c r="C112" s="239">
        <v>0</v>
      </c>
      <c r="D112" s="239">
        <v>0</v>
      </c>
      <c r="E112" s="239">
        <f t="shared" si="14"/>
        <v>0</v>
      </c>
      <c r="F112" s="238">
        <f t="shared" si="15"/>
        <v>0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0</v>
      </c>
      <c r="D114" s="243">
        <f>+D105+D107</f>
        <v>0</v>
      </c>
      <c r="E114" s="243">
        <f t="shared" si="14"/>
        <v>0</v>
      </c>
      <c r="F114" s="244">
        <f t="shared" si="15"/>
        <v>0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0</v>
      </c>
      <c r="D115" s="243">
        <f>+D106+D108</f>
        <v>0</v>
      </c>
      <c r="E115" s="243">
        <f t="shared" si="14"/>
        <v>0</v>
      </c>
      <c r="F115" s="244">
        <f t="shared" si="15"/>
        <v>0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75200</v>
      </c>
      <c r="D118" s="237">
        <v>74028</v>
      </c>
      <c r="E118" s="237">
        <f t="shared" ref="E118:E128" si="16">D118-C118</f>
        <v>-1172</v>
      </c>
      <c r="F118" s="238">
        <f t="shared" ref="F118:F128" si="17">IF(C118=0,0,E118/C118)</f>
        <v>-1.5585106382978723E-2</v>
      </c>
    </row>
    <row r="119" spans="1:6" ht="20.25" customHeight="1" x14ac:dyDescent="0.3">
      <c r="A119" s="235">
        <v>2</v>
      </c>
      <c r="B119" s="236" t="s">
        <v>435</v>
      </c>
      <c r="C119" s="237">
        <v>46233</v>
      </c>
      <c r="D119" s="237">
        <v>38648</v>
      </c>
      <c r="E119" s="237">
        <f t="shared" si="16"/>
        <v>-7585</v>
      </c>
      <c r="F119" s="238">
        <f t="shared" si="17"/>
        <v>-0.16406030324659876</v>
      </c>
    </row>
    <row r="120" spans="1:6" ht="20.25" customHeight="1" x14ac:dyDescent="0.3">
      <c r="A120" s="235">
        <v>3</v>
      </c>
      <c r="B120" s="236" t="s">
        <v>436</v>
      </c>
      <c r="C120" s="237">
        <v>95724</v>
      </c>
      <c r="D120" s="237">
        <v>155778</v>
      </c>
      <c r="E120" s="237">
        <f t="shared" si="16"/>
        <v>60054</v>
      </c>
      <c r="F120" s="238">
        <f t="shared" si="17"/>
        <v>0.62736617776106307</v>
      </c>
    </row>
    <row r="121" spans="1:6" ht="20.25" customHeight="1" x14ac:dyDescent="0.3">
      <c r="A121" s="235">
        <v>4</v>
      </c>
      <c r="B121" s="236" t="s">
        <v>437</v>
      </c>
      <c r="C121" s="237">
        <v>25025</v>
      </c>
      <c r="D121" s="237">
        <v>79040</v>
      </c>
      <c r="E121" s="237">
        <f t="shared" si="16"/>
        <v>54015</v>
      </c>
      <c r="F121" s="238">
        <f t="shared" si="17"/>
        <v>2.1584415584415586</v>
      </c>
    </row>
    <row r="122" spans="1:6" ht="20.25" customHeight="1" x14ac:dyDescent="0.3">
      <c r="A122" s="235">
        <v>5</v>
      </c>
      <c r="B122" s="236" t="s">
        <v>373</v>
      </c>
      <c r="C122" s="239">
        <v>4</v>
      </c>
      <c r="D122" s="239">
        <v>4</v>
      </c>
      <c r="E122" s="239">
        <f t="shared" si="16"/>
        <v>0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372</v>
      </c>
      <c r="C123" s="239">
        <v>23</v>
      </c>
      <c r="D123" s="239">
        <v>28</v>
      </c>
      <c r="E123" s="239">
        <f t="shared" si="16"/>
        <v>5</v>
      </c>
      <c r="F123" s="238">
        <f t="shared" si="17"/>
        <v>0.21739130434782608</v>
      </c>
    </row>
    <row r="124" spans="1:6" ht="20.25" customHeight="1" x14ac:dyDescent="0.3">
      <c r="A124" s="235">
        <v>7</v>
      </c>
      <c r="B124" s="236" t="s">
        <v>438</v>
      </c>
      <c r="C124" s="239">
        <v>181</v>
      </c>
      <c r="D124" s="239">
        <v>157</v>
      </c>
      <c r="E124" s="239">
        <f t="shared" si="16"/>
        <v>-24</v>
      </c>
      <c r="F124" s="238">
        <f t="shared" si="17"/>
        <v>-0.13259668508287292</v>
      </c>
    </row>
    <row r="125" spans="1:6" ht="20.25" customHeight="1" x14ac:dyDescent="0.3">
      <c r="A125" s="235">
        <v>8</v>
      </c>
      <c r="B125" s="236" t="s">
        <v>439</v>
      </c>
      <c r="C125" s="239">
        <v>10</v>
      </c>
      <c r="D125" s="239">
        <v>5</v>
      </c>
      <c r="E125" s="239">
        <f t="shared" si="16"/>
        <v>-5</v>
      </c>
      <c r="F125" s="238">
        <f t="shared" si="17"/>
        <v>-0.5</v>
      </c>
    </row>
    <row r="126" spans="1:6" ht="20.25" customHeight="1" x14ac:dyDescent="0.3">
      <c r="A126" s="235">
        <v>9</v>
      </c>
      <c r="B126" s="236" t="s">
        <v>440</v>
      </c>
      <c r="C126" s="239">
        <v>4</v>
      </c>
      <c r="D126" s="239">
        <v>3</v>
      </c>
      <c r="E126" s="239">
        <f t="shared" si="16"/>
        <v>-1</v>
      </c>
      <c r="F126" s="238">
        <f t="shared" si="17"/>
        <v>-0.25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170924</v>
      </c>
      <c r="D127" s="243">
        <f>+D118+D120</f>
        <v>229806</v>
      </c>
      <c r="E127" s="243">
        <f t="shared" si="16"/>
        <v>58882</v>
      </c>
      <c r="F127" s="244">
        <f t="shared" si="17"/>
        <v>0.34449228897053663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71258</v>
      </c>
      <c r="D128" s="243">
        <f>+D119+D121</f>
        <v>117688</v>
      </c>
      <c r="E128" s="243">
        <f t="shared" si="16"/>
        <v>46430</v>
      </c>
      <c r="F128" s="244">
        <f t="shared" si="17"/>
        <v>0.65157596340060064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19141</v>
      </c>
      <c r="D133" s="237">
        <v>6872</v>
      </c>
      <c r="E133" s="237">
        <f t="shared" si="18"/>
        <v>-12269</v>
      </c>
      <c r="F133" s="238">
        <f t="shared" si="19"/>
        <v>-0.64098009508385145</v>
      </c>
    </row>
    <row r="134" spans="1:6" ht="20.25" customHeight="1" x14ac:dyDescent="0.3">
      <c r="A134" s="235">
        <v>4</v>
      </c>
      <c r="B134" s="236" t="s">
        <v>437</v>
      </c>
      <c r="C134" s="237">
        <v>4252</v>
      </c>
      <c r="D134" s="237">
        <v>1684</v>
      </c>
      <c r="E134" s="237">
        <f t="shared" si="18"/>
        <v>-2568</v>
      </c>
      <c r="F134" s="238">
        <f t="shared" si="19"/>
        <v>-0.60395108184383817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19</v>
      </c>
      <c r="D137" s="239">
        <v>10</v>
      </c>
      <c r="E137" s="239">
        <f t="shared" si="18"/>
        <v>-9</v>
      </c>
      <c r="F137" s="238">
        <f t="shared" si="19"/>
        <v>-0.47368421052631576</v>
      </c>
    </row>
    <row r="138" spans="1:6" ht="20.25" customHeight="1" x14ac:dyDescent="0.3">
      <c r="A138" s="235">
        <v>8</v>
      </c>
      <c r="B138" s="236" t="s">
        <v>439</v>
      </c>
      <c r="C138" s="239">
        <v>4</v>
      </c>
      <c r="D138" s="239">
        <v>2</v>
      </c>
      <c r="E138" s="239">
        <f t="shared" si="18"/>
        <v>-2</v>
      </c>
      <c r="F138" s="238">
        <f t="shared" si="19"/>
        <v>-0.5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19141</v>
      </c>
      <c r="D140" s="243">
        <f>+D131+D133</f>
        <v>6872</v>
      </c>
      <c r="E140" s="243">
        <f t="shared" si="18"/>
        <v>-12269</v>
      </c>
      <c r="F140" s="244">
        <f t="shared" si="19"/>
        <v>-0.64098009508385145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4252</v>
      </c>
      <c r="D141" s="243">
        <f>+D132+D134</f>
        <v>1684</v>
      </c>
      <c r="E141" s="243">
        <f t="shared" si="18"/>
        <v>-2568</v>
      </c>
      <c r="F141" s="244">
        <f t="shared" si="19"/>
        <v>-0.60395108184383817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530558</v>
      </c>
      <c r="E144" s="237">
        <f t="shared" ref="E144:E154" si="20">D144-C144</f>
        <v>530558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241279</v>
      </c>
      <c r="E145" s="237">
        <f t="shared" si="20"/>
        <v>241279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415962</v>
      </c>
      <c r="E146" s="237">
        <f t="shared" si="20"/>
        <v>415962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111763</v>
      </c>
      <c r="E147" s="237">
        <f t="shared" si="20"/>
        <v>111763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25</v>
      </c>
      <c r="E148" s="239">
        <f t="shared" si="20"/>
        <v>25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132</v>
      </c>
      <c r="E149" s="239">
        <f t="shared" si="20"/>
        <v>132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376</v>
      </c>
      <c r="E150" s="239">
        <f t="shared" si="20"/>
        <v>376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36</v>
      </c>
      <c r="E151" s="239">
        <f t="shared" si="20"/>
        <v>36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23</v>
      </c>
      <c r="E152" s="239">
        <f t="shared" si="20"/>
        <v>23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946520</v>
      </c>
      <c r="E153" s="243">
        <f t="shared" si="20"/>
        <v>946520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353042</v>
      </c>
      <c r="E154" s="243">
        <f t="shared" si="20"/>
        <v>353042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1169285</v>
      </c>
      <c r="D183" s="237">
        <v>1295126</v>
      </c>
      <c r="E183" s="237">
        <f t="shared" ref="E183:E193" si="26">D183-C183</f>
        <v>125841</v>
      </c>
      <c r="F183" s="238">
        <f t="shared" ref="F183:F193" si="27">IF(C183=0,0,E183/C183)</f>
        <v>0.10762217936602282</v>
      </c>
    </row>
    <row r="184" spans="1:6" ht="20.25" customHeight="1" x14ac:dyDescent="0.3">
      <c r="A184" s="235">
        <v>2</v>
      </c>
      <c r="B184" s="236" t="s">
        <v>435</v>
      </c>
      <c r="C184" s="237">
        <v>484593</v>
      </c>
      <c r="D184" s="237">
        <v>636651</v>
      </c>
      <c r="E184" s="237">
        <f t="shared" si="26"/>
        <v>152058</v>
      </c>
      <c r="F184" s="238">
        <f t="shared" si="27"/>
        <v>0.31378497006766504</v>
      </c>
    </row>
    <row r="185" spans="1:6" ht="20.25" customHeight="1" x14ac:dyDescent="0.3">
      <c r="A185" s="235">
        <v>3</v>
      </c>
      <c r="B185" s="236" t="s">
        <v>436</v>
      </c>
      <c r="C185" s="237">
        <v>919397</v>
      </c>
      <c r="D185" s="237">
        <v>1594235</v>
      </c>
      <c r="E185" s="237">
        <f t="shared" si="26"/>
        <v>674838</v>
      </c>
      <c r="F185" s="238">
        <f t="shared" si="27"/>
        <v>0.73400065477698972</v>
      </c>
    </row>
    <row r="186" spans="1:6" ht="20.25" customHeight="1" x14ac:dyDescent="0.3">
      <c r="A186" s="235">
        <v>4</v>
      </c>
      <c r="B186" s="236" t="s">
        <v>437</v>
      </c>
      <c r="C186" s="237">
        <v>223500</v>
      </c>
      <c r="D186" s="237">
        <v>378586</v>
      </c>
      <c r="E186" s="237">
        <f t="shared" si="26"/>
        <v>155086</v>
      </c>
      <c r="F186" s="238">
        <f t="shared" si="27"/>
        <v>0.69389709172259506</v>
      </c>
    </row>
    <row r="187" spans="1:6" ht="20.25" customHeight="1" x14ac:dyDescent="0.3">
      <c r="A187" s="235">
        <v>5</v>
      </c>
      <c r="B187" s="236" t="s">
        <v>373</v>
      </c>
      <c r="C187" s="239">
        <v>54</v>
      </c>
      <c r="D187" s="239">
        <v>72</v>
      </c>
      <c r="E187" s="239">
        <f t="shared" si="26"/>
        <v>18</v>
      </c>
      <c r="F187" s="238">
        <f t="shared" si="27"/>
        <v>0.33333333333333331</v>
      </c>
    </row>
    <row r="188" spans="1:6" ht="20.25" customHeight="1" x14ac:dyDescent="0.3">
      <c r="A188" s="235">
        <v>6</v>
      </c>
      <c r="B188" s="236" t="s">
        <v>372</v>
      </c>
      <c r="C188" s="239">
        <v>280</v>
      </c>
      <c r="D188" s="239">
        <v>417</v>
      </c>
      <c r="E188" s="239">
        <f t="shared" si="26"/>
        <v>137</v>
      </c>
      <c r="F188" s="238">
        <f t="shared" si="27"/>
        <v>0.48928571428571427</v>
      </c>
    </row>
    <row r="189" spans="1:6" ht="20.25" customHeight="1" x14ac:dyDescent="0.3">
      <c r="A189" s="235">
        <v>7</v>
      </c>
      <c r="B189" s="236" t="s">
        <v>438</v>
      </c>
      <c r="C189" s="239">
        <v>1148</v>
      </c>
      <c r="D189" s="239">
        <v>2366</v>
      </c>
      <c r="E189" s="239">
        <f t="shared" si="26"/>
        <v>1218</v>
      </c>
      <c r="F189" s="238">
        <f t="shared" si="27"/>
        <v>1.0609756097560976</v>
      </c>
    </row>
    <row r="190" spans="1:6" ht="20.25" customHeight="1" x14ac:dyDescent="0.3">
      <c r="A190" s="235">
        <v>8</v>
      </c>
      <c r="B190" s="236" t="s">
        <v>439</v>
      </c>
      <c r="C190" s="239">
        <v>154</v>
      </c>
      <c r="D190" s="239">
        <v>183</v>
      </c>
      <c r="E190" s="239">
        <f t="shared" si="26"/>
        <v>29</v>
      </c>
      <c r="F190" s="238">
        <f t="shared" si="27"/>
        <v>0.18831168831168832</v>
      </c>
    </row>
    <row r="191" spans="1:6" ht="20.25" customHeight="1" x14ac:dyDescent="0.3">
      <c r="A191" s="235">
        <v>9</v>
      </c>
      <c r="B191" s="236" t="s">
        <v>440</v>
      </c>
      <c r="C191" s="239">
        <v>33</v>
      </c>
      <c r="D191" s="239">
        <v>69</v>
      </c>
      <c r="E191" s="239">
        <f t="shared" si="26"/>
        <v>36</v>
      </c>
      <c r="F191" s="238">
        <f t="shared" si="27"/>
        <v>1.0909090909090908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2088682</v>
      </c>
      <c r="D192" s="243">
        <f>+D183+D185</f>
        <v>2889361</v>
      </c>
      <c r="E192" s="243">
        <f t="shared" si="26"/>
        <v>800679</v>
      </c>
      <c r="F192" s="244">
        <f t="shared" si="27"/>
        <v>0.38334174374078966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708093</v>
      </c>
      <c r="D193" s="243">
        <f>+D184+D186</f>
        <v>1015237</v>
      </c>
      <c r="E193" s="243">
        <f t="shared" si="26"/>
        <v>307144</v>
      </c>
      <c r="F193" s="244">
        <f t="shared" si="27"/>
        <v>0.43376223179723566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9" t="s">
        <v>44</v>
      </c>
      <c r="B195" s="690" t="s">
        <v>459</v>
      </c>
      <c r="C195" s="692"/>
      <c r="D195" s="693"/>
      <c r="E195" s="693"/>
      <c r="F195" s="694"/>
      <c r="G195" s="674"/>
      <c r="H195" s="674"/>
      <c r="I195" s="674"/>
    </row>
    <row r="196" spans="1:9" ht="20.25" customHeight="1" x14ac:dyDescent="0.3">
      <c r="A196" s="680"/>
      <c r="B196" s="691"/>
      <c r="C196" s="686"/>
      <c r="D196" s="687"/>
      <c r="E196" s="687"/>
      <c r="F196" s="688"/>
      <c r="G196" s="674"/>
      <c r="H196" s="674"/>
      <c r="I196" s="67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4682719</v>
      </c>
      <c r="D198" s="243">
        <f t="shared" si="28"/>
        <v>5467650</v>
      </c>
      <c r="E198" s="243">
        <f t="shared" ref="E198:E208" si="29">D198-C198</f>
        <v>784931</v>
      </c>
      <c r="F198" s="251">
        <f t="shared" ref="F198:F208" si="30">IF(C198=0,0,E198/C198)</f>
        <v>0.16762291309813807</v>
      </c>
    </row>
    <row r="199" spans="1:9" ht="20.25" customHeight="1" x14ac:dyDescent="0.3">
      <c r="A199" s="249"/>
      <c r="B199" s="250" t="s">
        <v>461</v>
      </c>
      <c r="C199" s="243">
        <f t="shared" si="28"/>
        <v>2531836</v>
      </c>
      <c r="D199" s="243">
        <f t="shared" si="28"/>
        <v>2932137</v>
      </c>
      <c r="E199" s="243">
        <f t="shared" si="29"/>
        <v>400301</v>
      </c>
      <c r="F199" s="251">
        <f t="shared" si="30"/>
        <v>0.15810700219129517</v>
      </c>
    </row>
    <row r="200" spans="1:9" ht="20.25" customHeight="1" x14ac:dyDescent="0.3">
      <c r="A200" s="249"/>
      <c r="B200" s="250" t="s">
        <v>462</v>
      </c>
      <c r="C200" s="243">
        <f t="shared" si="28"/>
        <v>4957041</v>
      </c>
      <c r="D200" s="243">
        <f t="shared" si="28"/>
        <v>5887234</v>
      </c>
      <c r="E200" s="243">
        <f t="shared" si="29"/>
        <v>930193</v>
      </c>
      <c r="F200" s="251">
        <f t="shared" si="30"/>
        <v>0.18765085864732609</v>
      </c>
    </row>
    <row r="201" spans="1:9" ht="20.25" customHeight="1" x14ac:dyDescent="0.3">
      <c r="A201" s="249"/>
      <c r="B201" s="250" t="s">
        <v>463</v>
      </c>
      <c r="C201" s="243">
        <f t="shared" si="28"/>
        <v>1341064</v>
      </c>
      <c r="D201" s="243">
        <f t="shared" si="28"/>
        <v>1466728</v>
      </c>
      <c r="E201" s="243">
        <f t="shared" si="29"/>
        <v>125664</v>
      </c>
      <c r="F201" s="251">
        <f t="shared" si="30"/>
        <v>9.3704700148538767E-2</v>
      </c>
    </row>
    <row r="202" spans="1:9" ht="20.25" customHeight="1" x14ac:dyDescent="0.3">
      <c r="A202" s="249"/>
      <c r="B202" s="250" t="s">
        <v>464</v>
      </c>
      <c r="C202" s="252">
        <f t="shared" si="28"/>
        <v>261</v>
      </c>
      <c r="D202" s="252">
        <f t="shared" si="28"/>
        <v>315</v>
      </c>
      <c r="E202" s="252">
        <f t="shared" si="29"/>
        <v>54</v>
      </c>
      <c r="F202" s="251">
        <f t="shared" si="30"/>
        <v>0.20689655172413793</v>
      </c>
    </row>
    <row r="203" spans="1:9" ht="20.25" customHeight="1" x14ac:dyDescent="0.3">
      <c r="A203" s="249"/>
      <c r="B203" s="250" t="s">
        <v>465</v>
      </c>
      <c r="C203" s="252">
        <f t="shared" si="28"/>
        <v>1300</v>
      </c>
      <c r="D203" s="252">
        <f t="shared" si="28"/>
        <v>1625</v>
      </c>
      <c r="E203" s="252">
        <f t="shared" si="29"/>
        <v>325</v>
      </c>
      <c r="F203" s="251">
        <f t="shared" si="30"/>
        <v>0.25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6015</v>
      </c>
      <c r="D204" s="252">
        <f t="shared" si="28"/>
        <v>7044</v>
      </c>
      <c r="E204" s="252">
        <f t="shared" si="29"/>
        <v>1029</v>
      </c>
      <c r="F204" s="251">
        <f t="shared" si="30"/>
        <v>0.171072319201995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504</v>
      </c>
      <c r="D205" s="252">
        <f t="shared" si="28"/>
        <v>543</v>
      </c>
      <c r="E205" s="252">
        <f t="shared" si="29"/>
        <v>39</v>
      </c>
      <c r="F205" s="251">
        <f t="shared" si="30"/>
        <v>7.7380952380952384E-2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154</v>
      </c>
      <c r="D206" s="252">
        <f t="shared" si="28"/>
        <v>273</v>
      </c>
      <c r="E206" s="252">
        <f t="shared" si="29"/>
        <v>119</v>
      </c>
      <c r="F206" s="251">
        <f t="shared" si="30"/>
        <v>0.77272727272727271</v>
      </c>
    </row>
    <row r="207" spans="1:9" ht="20.25" customHeight="1" x14ac:dyDescent="0.3">
      <c r="A207" s="249"/>
      <c r="B207" s="242" t="s">
        <v>469</v>
      </c>
      <c r="C207" s="243">
        <f>+C198+C200</f>
        <v>9639760</v>
      </c>
      <c r="D207" s="243">
        <f>+D198+D200</f>
        <v>11354884</v>
      </c>
      <c r="E207" s="243">
        <f t="shared" si="29"/>
        <v>1715124</v>
      </c>
      <c r="F207" s="251">
        <f t="shared" si="30"/>
        <v>0.17792185697569235</v>
      </c>
    </row>
    <row r="208" spans="1:9" ht="20.25" customHeight="1" x14ac:dyDescent="0.3">
      <c r="A208" s="249"/>
      <c r="B208" s="242" t="s">
        <v>470</v>
      </c>
      <c r="C208" s="243">
        <f>+C199+C201</f>
        <v>3872900</v>
      </c>
      <c r="D208" s="243">
        <f>+D199+D201</f>
        <v>4398865</v>
      </c>
      <c r="E208" s="243">
        <f t="shared" si="29"/>
        <v>525965</v>
      </c>
      <c r="F208" s="251">
        <f t="shared" si="30"/>
        <v>0.13580650158795735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FILING&amp;RWINDHAM COMMUNITY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zoomScale="80" zoomScaleNormal="8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471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9" t="s">
        <v>12</v>
      </c>
      <c r="B10" s="690" t="s">
        <v>115</v>
      </c>
      <c r="C10" s="692"/>
      <c r="D10" s="693"/>
      <c r="E10" s="693"/>
      <c r="F10" s="694"/>
    </row>
    <row r="11" spans="1:7" ht="20.25" customHeight="1" x14ac:dyDescent="0.3">
      <c r="A11" s="680"/>
      <c r="B11" s="691"/>
      <c r="C11" s="686"/>
      <c r="D11" s="687"/>
      <c r="E11" s="687"/>
      <c r="F11" s="688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1203</v>
      </c>
      <c r="D16" s="237">
        <v>0</v>
      </c>
      <c r="E16" s="237">
        <f t="shared" si="0"/>
        <v>-1203</v>
      </c>
      <c r="F16" s="238">
        <f t="shared" si="1"/>
        <v>-1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1</v>
      </c>
      <c r="D21" s="239">
        <v>0</v>
      </c>
      <c r="E21" s="239">
        <f t="shared" si="0"/>
        <v>-1</v>
      </c>
      <c r="F21" s="238">
        <f t="shared" si="1"/>
        <v>-1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1203</v>
      </c>
      <c r="D23" s="243">
        <f>+D14+D16</f>
        <v>0</v>
      </c>
      <c r="E23" s="243">
        <f t="shared" si="0"/>
        <v>-1203</v>
      </c>
      <c r="F23" s="244">
        <f t="shared" si="1"/>
        <v>-1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2824552</v>
      </c>
      <c r="D26" s="237">
        <v>2429181</v>
      </c>
      <c r="E26" s="237">
        <f t="shared" ref="E26:E36" si="2">D26-C26</f>
        <v>-395371</v>
      </c>
      <c r="F26" s="238">
        <f t="shared" ref="F26:F36" si="3">IF(C26=0,0,E26/C26)</f>
        <v>-0.13997653433181617</v>
      </c>
    </row>
    <row r="27" spans="1:6" ht="20.25" customHeight="1" x14ac:dyDescent="0.3">
      <c r="A27" s="235">
        <v>2</v>
      </c>
      <c r="B27" s="236" t="s">
        <v>435</v>
      </c>
      <c r="C27" s="237">
        <v>1472503</v>
      </c>
      <c r="D27" s="237">
        <v>1047461</v>
      </c>
      <c r="E27" s="237">
        <f t="shared" si="2"/>
        <v>-425042</v>
      </c>
      <c r="F27" s="238">
        <f t="shared" si="3"/>
        <v>-0.28865272260905411</v>
      </c>
    </row>
    <row r="28" spans="1:6" ht="20.25" customHeight="1" x14ac:dyDescent="0.3">
      <c r="A28" s="235">
        <v>3</v>
      </c>
      <c r="B28" s="236" t="s">
        <v>436</v>
      </c>
      <c r="C28" s="237">
        <v>9145109</v>
      </c>
      <c r="D28" s="237">
        <v>8808475</v>
      </c>
      <c r="E28" s="237">
        <f t="shared" si="2"/>
        <v>-336634</v>
      </c>
      <c r="F28" s="238">
        <f t="shared" si="3"/>
        <v>-3.6810277493685421E-2</v>
      </c>
    </row>
    <row r="29" spans="1:6" ht="20.25" customHeight="1" x14ac:dyDescent="0.3">
      <c r="A29" s="235">
        <v>4</v>
      </c>
      <c r="B29" s="236" t="s">
        <v>437</v>
      </c>
      <c r="C29" s="237">
        <v>2833589</v>
      </c>
      <c r="D29" s="237">
        <v>2412472</v>
      </c>
      <c r="E29" s="237">
        <f t="shared" si="2"/>
        <v>-421117</v>
      </c>
      <c r="F29" s="238">
        <f t="shared" si="3"/>
        <v>-0.14861611899255678</v>
      </c>
    </row>
    <row r="30" spans="1:6" ht="20.25" customHeight="1" x14ac:dyDescent="0.3">
      <c r="A30" s="235">
        <v>5</v>
      </c>
      <c r="B30" s="236" t="s">
        <v>373</v>
      </c>
      <c r="C30" s="239">
        <v>402</v>
      </c>
      <c r="D30" s="239">
        <v>323</v>
      </c>
      <c r="E30" s="239">
        <f t="shared" si="2"/>
        <v>-79</v>
      </c>
      <c r="F30" s="238">
        <f t="shared" si="3"/>
        <v>-0.19651741293532338</v>
      </c>
    </row>
    <row r="31" spans="1:6" ht="20.25" customHeight="1" x14ac:dyDescent="0.3">
      <c r="A31" s="235">
        <v>6</v>
      </c>
      <c r="B31" s="236" t="s">
        <v>372</v>
      </c>
      <c r="C31" s="239">
        <v>1000</v>
      </c>
      <c r="D31" s="239">
        <v>803</v>
      </c>
      <c r="E31" s="239">
        <f t="shared" si="2"/>
        <v>-197</v>
      </c>
      <c r="F31" s="238">
        <f t="shared" si="3"/>
        <v>-0.19700000000000001</v>
      </c>
    </row>
    <row r="32" spans="1:6" ht="20.25" customHeight="1" x14ac:dyDescent="0.3">
      <c r="A32" s="235">
        <v>7</v>
      </c>
      <c r="B32" s="236" t="s">
        <v>438</v>
      </c>
      <c r="C32" s="239">
        <v>7595</v>
      </c>
      <c r="D32" s="239">
        <v>6917</v>
      </c>
      <c r="E32" s="239">
        <f t="shared" si="2"/>
        <v>-678</v>
      </c>
      <c r="F32" s="238">
        <f t="shared" si="3"/>
        <v>-8.9269256089532581E-2</v>
      </c>
    </row>
    <row r="33" spans="1:6" ht="20.25" customHeight="1" x14ac:dyDescent="0.3">
      <c r="A33" s="235">
        <v>8</v>
      </c>
      <c r="B33" s="236" t="s">
        <v>439</v>
      </c>
      <c r="C33" s="239">
        <v>4902</v>
      </c>
      <c r="D33" s="239">
        <v>5246</v>
      </c>
      <c r="E33" s="239">
        <f t="shared" si="2"/>
        <v>344</v>
      </c>
      <c r="F33" s="238">
        <f t="shared" si="3"/>
        <v>7.0175438596491224E-2</v>
      </c>
    </row>
    <row r="34" spans="1:6" ht="20.25" customHeight="1" x14ac:dyDescent="0.3">
      <c r="A34" s="235">
        <v>9</v>
      </c>
      <c r="B34" s="236" t="s">
        <v>440</v>
      </c>
      <c r="C34" s="239">
        <v>113</v>
      </c>
      <c r="D34" s="239">
        <v>100</v>
      </c>
      <c r="E34" s="239">
        <f t="shared" si="2"/>
        <v>-13</v>
      </c>
      <c r="F34" s="238">
        <f t="shared" si="3"/>
        <v>-0.11504424778761062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11969661</v>
      </c>
      <c r="D35" s="243">
        <f>+D26+D28</f>
        <v>11237656</v>
      </c>
      <c r="E35" s="243">
        <f t="shared" si="2"/>
        <v>-732005</v>
      </c>
      <c r="F35" s="244">
        <f t="shared" si="3"/>
        <v>-6.1155031876007182E-2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4306092</v>
      </c>
      <c r="D36" s="243">
        <f>+D27+D29</f>
        <v>3459933</v>
      </c>
      <c r="E36" s="243">
        <f t="shared" si="2"/>
        <v>-846159</v>
      </c>
      <c r="F36" s="244">
        <f t="shared" si="3"/>
        <v>-0.19650276863569102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443</v>
      </c>
      <c r="D40" s="237">
        <v>0</v>
      </c>
      <c r="E40" s="237">
        <f t="shared" si="4"/>
        <v>-443</v>
      </c>
      <c r="F40" s="238">
        <f t="shared" si="5"/>
        <v>-1</v>
      </c>
    </row>
    <row r="41" spans="1:6" ht="20.25" customHeight="1" x14ac:dyDescent="0.3">
      <c r="A41" s="235">
        <v>4</v>
      </c>
      <c r="B41" s="236" t="s">
        <v>437</v>
      </c>
      <c r="C41" s="237">
        <v>69</v>
      </c>
      <c r="D41" s="237">
        <v>0</v>
      </c>
      <c r="E41" s="237">
        <f t="shared" si="4"/>
        <v>-69</v>
      </c>
      <c r="F41" s="238">
        <f t="shared" si="5"/>
        <v>-1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2</v>
      </c>
      <c r="D44" s="239">
        <v>0</v>
      </c>
      <c r="E44" s="239">
        <f t="shared" si="4"/>
        <v>-2</v>
      </c>
      <c r="F44" s="238">
        <f t="shared" si="5"/>
        <v>-1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443</v>
      </c>
      <c r="D47" s="243">
        <f>+D38+D40</f>
        <v>0</v>
      </c>
      <c r="E47" s="243">
        <f t="shared" si="4"/>
        <v>-443</v>
      </c>
      <c r="F47" s="244">
        <f t="shared" si="5"/>
        <v>-1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69</v>
      </c>
      <c r="D48" s="243">
        <f>+D39+D41</f>
        <v>0</v>
      </c>
      <c r="E48" s="243">
        <f t="shared" si="4"/>
        <v>-69</v>
      </c>
      <c r="F48" s="244">
        <f t="shared" si="5"/>
        <v>-1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435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436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437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373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372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438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439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744455</v>
      </c>
      <c r="D86" s="237">
        <v>506145</v>
      </c>
      <c r="E86" s="237">
        <f t="shared" ref="E86:E96" si="12">D86-C86</f>
        <v>-238310</v>
      </c>
      <c r="F86" s="238">
        <f t="shared" ref="F86:F96" si="13">IF(C86=0,0,E86/C86)</f>
        <v>-0.32011337152682162</v>
      </c>
    </row>
    <row r="87" spans="1:6" ht="20.25" customHeight="1" x14ac:dyDescent="0.3">
      <c r="A87" s="235">
        <v>2</v>
      </c>
      <c r="B87" s="236" t="s">
        <v>435</v>
      </c>
      <c r="C87" s="237">
        <v>384941</v>
      </c>
      <c r="D87" s="237">
        <v>256744</v>
      </c>
      <c r="E87" s="237">
        <f t="shared" si="12"/>
        <v>-128197</v>
      </c>
      <c r="F87" s="238">
        <f t="shared" si="13"/>
        <v>-0.33303025658477531</v>
      </c>
    </row>
    <row r="88" spans="1:6" ht="20.25" customHeight="1" x14ac:dyDescent="0.3">
      <c r="A88" s="235">
        <v>3</v>
      </c>
      <c r="B88" s="236" t="s">
        <v>436</v>
      </c>
      <c r="C88" s="237">
        <v>1545435</v>
      </c>
      <c r="D88" s="237">
        <v>1577030</v>
      </c>
      <c r="E88" s="237">
        <f t="shared" si="12"/>
        <v>31595</v>
      </c>
      <c r="F88" s="238">
        <f t="shared" si="13"/>
        <v>2.0444082086920511E-2</v>
      </c>
    </row>
    <row r="89" spans="1:6" ht="20.25" customHeight="1" x14ac:dyDescent="0.3">
      <c r="A89" s="235">
        <v>4</v>
      </c>
      <c r="B89" s="236" t="s">
        <v>437</v>
      </c>
      <c r="C89" s="237">
        <v>452294</v>
      </c>
      <c r="D89" s="237">
        <v>406627</v>
      </c>
      <c r="E89" s="237">
        <f t="shared" si="12"/>
        <v>-45667</v>
      </c>
      <c r="F89" s="238">
        <f t="shared" si="13"/>
        <v>-0.10096751228183438</v>
      </c>
    </row>
    <row r="90" spans="1:6" ht="20.25" customHeight="1" x14ac:dyDescent="0.3">
      <c r="A90" s="235">
        <v>5</v>
      </c>
      <c r="B90" s="236" t="s">
        <v>373</v>
      </c>
      <c r="C90" s="239">
        <v>110</v>
      </c>
      <c r="D90" s="239">
        <v>77</v>
      </c>
      <c r="E90" s="239">
        <f t="shared" si="12"/>
        <v>-33</v>
      </c>
      <c r="F90" s="238">
        <f t="shared" si="13"/>
        <v>-0.3</v>
      </c>
    </row>
    <row r="91" spans="1:6" ht="20.25" customHeight="1" x14ac:dyDescent="0.3">
      <c r="A91" s="235">
        <v>6</v>
      </c>
      <c r="B91" s="236" t="s">
        <v>372</v>
      </c>
      <c r="C91" s="239">
        <v>264</v>
      </c>
      <c r="D91" s="239">
        <v>197</v>
      </c>
      <c r="E91" s="239">
        <f t="shared" si="12"/>
        <v>-67</v>
      </c>
      <c r="F91" s="238">
        <f t="shared" si="13"/>
        <v>-0.25378787878787878</v>
      </c>
    </row>
    <row r="92" spans="1:6" ht="20.25" customHeight="1" x14ac:dyDescent="0.3">
      <c r="A92" s="235">
        <v>7</v>
      </c>
      <c r="B92" s="236" t="s">
        <v>438</v>
      </c>
      <c r="C92" s="239">
        <v>1298</v>
      </c>
      <c r="D92" s="239">
        <v>1490</v>
      </c>
      <c r="E92" s="239">
        <f t="shared" si="12"/>
        <v>192</v>
      </c>
      <c r="F92" s="238">
        <f t="shared" si="13"/>
        <v>0.14791987673343607</v>
      </c>
    </row>
    <row r="93" spans="1:6" ht="20.25" customHeight="1" x14ac:dyDescent="0.3">
      <c r="A93" s="235">
        <v>8</v>
      </c>
      <c r="B93" s="236" t="s">
        <v>439</v>
      </c>
      <c r="C93" s="239">
        <v>1050</v>
      </c>
      <c r="D93" s="239">
        <v>1001</v>
      </c>
      <c r="E93" s="239">
        <f t="shared" si="12"/>
        <v>-49</v>
      </c>
      <c r="F93" s="238">
        <f t="shared" si="13"/>
        <v>-4.6666666666666669E-2</v>
      </c>
    </row>
    <row r="94" spans="1:6" ht="20.25" customHeight="1" x14ac:dyDescent="0.3">
      <c r="A94" s="235">
        <v>9</v>
      </c>
      <c r="B94" s="236" t="s">
        <v>440</v>
      </c>
      <c r="C94" s="239">
        <v>18</v>
      </c>
      <c r="D94" s="239">
        <v>17</v>
      </c>
      <c r="E94" s="239">
        <f t="shared" si="12"/>
        <v>-1</v>
      </c>
      <c r="F94" s="238">
        <f t="shared" si="13"/>
        <v>-5.5555555555555552E-2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2289890</v>
      </c>
      <c r="D95" s="243">
        <f>+D86+D88</f>
        <v>2083175</v>
      </c>
      <c r="E95" s="243">
        <f t="shared" si="12"/>
        <v>-206715</v>
      </c>
      <c r="F95" s="244">
        <f t="shared" si="13"/>
        <v>-9.0272895204573142E-2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837235</v>
      </c>
      <c r="D96" s="243">
        <f>+D87+D89</f>
        <v>663371</v>
      </c>
      <c r="E96" s="243">
        <f t="shared" si="12"/>
        <v>-173864</v>
      </c>
      <c r="F96" s="244">
        <f t="shared" si="13"/>
        <v>-0.20766451474197806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1049845</v>
      </c>
      <c r="D98" s="237">
        <v>743713</v>
      </c>
      <c r="E98" s="237">
        <f t="shared" ref="E98:E108" si="14">D98-C98</f>
        <v>-306132</v>
      </c>
      <c r="F98" s="238">
        <f t="shared" ref="F98:F108" si="15">IF(C98=0,0,E98/C98)</f>
        <v>-0.2915973310345813</v>
      </c>
    </row>
    <row r="99" spans="1:7" ht="20.25" customHeight="1" x14ac:dyDescent="0.3">
      <c r="A99" s="235">
        <v>2</v>
      </c>
      <c r="B99" s="236" t="s">
        <v>435</v>
      </c>
      <c r="C99" s="237">
        <v>494475</v>
      </c>
      <c r="D99" s="237">
        <v>349159</v>
      </c>
      <c r="E99" s="237">
        <f t="shared" si="14"/>
        <v>-145316</v>
      </c>
      <c r="F99" s="238">
        <f t="shared" si="15"/>
        <v>-0.29387936700540979</v>
      </c>
    </row>
    <row r="100" spans="1:7" ht="20.25" customHeight="1" x14ac:dyDescent="0.3">
      <c r="A100" s="235">
        <v>3</v>
      </c>
      <c r="B100" s="236" t="s">
        <v>436</v>
      </c>
      <c r="C100" s="237">
        <v>2169479</v>
      </c>
      <c r="D100" s="237">
        <v>2213411</v>
      </c>
      <c r="E100" s="237">
        <f t="shared" si="14"/>
        <v>43932</v>
      </c>
      <c r="F100" s="238">
        <f t="shared" si="15"/>
        <v>2.02500231622431E-2</v>
      </c>
    </row>
    <row r="101" spans="1:7" ht="20.25" customHeight="1" x14ac:dyDescent="0.3">
      <c r="A101" s="235">
        <v>4</v>
      </c>
      <c r="B101" s="236" t="s">
        <v>437</v>
      </c>
      <c r="C101" s="237">
        <v>584069</v>
      </c>
      <c r="D101" s="237">
        <v>496880</v>
      </c>
      <c r="E101" s="237">
        <f t="shared" si="14"/>
        <v>-87189</v>
      </c>
      <c r="F101" s="238">
        <f t="shared" si="15"/>
        <v>-0.14927859550840739</v>
      </c>
    </row>
    <row r="102" spans="1:7" ht="20.25" customHeight="1" x14ac:dyDescent="0.3">
      <c r="A102" s="235">
        <v>5</v>
      </c>
      <c r="B102" s="236" t="s">
        <v>373</v>
      </c>
      <c r="C102" s="239">
        <v>121</v>
      </c>
      <c r="D102" s="239">
        <v>106</v>
      </c>
      <c r="E102" s="239">
        <f t="shared" si="14"/>
        <v>-15</v>
      </c>
      <c r="F102" s="238">
        <f t="shared" si="15"/>
        <v>-0.12396694214876033</v>
      </c>
    </row>
    <row r="103" spans="1:7" ht="20.25" customHeight="1" x14ac:dyDescent="0.3">
      <c r="A103" s="235">
        <v>6</v>
      </c>
      <c r="B103" s="236" t="s">
        <v>372</v>
      </c>
      <c r="C103" s="239">
        <v>362</v>
      </c>
      <c r="D103" s="239">
        <v>274</v>
      </c>
      <c r="E103" s="239">
        <f t="shared" si="14"/>
        <v>-88</v>
      </c>
      <c r="F103" s="238">
        <f t="shared" si="15"/>
        <v>-0.24309392265193369</v>
      </c>
    </row>
    <row r="104" spans="1:7" ht="20.25" customHeight="1" x14ac:dyDescent="0.3">
      <c r="A104" s="235">
        <v>7</v>
      </c>
      <c r="B104" s="236" t="s">
        <v>438</v>
      </c>
      <c r="C104" s="239">
        <v>1593</v>
      </c>
      <c r="D104" s="239">
        <v>1733</v>
      </c>
      <c r="E104" s="239">
        <f t="shared" si="14"/>
        <v>140</v>
      </c>
      <c r="F104" s="238">
        <f t="shared" si="15"/>
        <v>8.7884494664155682E-2</v>
      </c>
    </row>
    <row r="105" spans="1:7" ht="20.25" customHeight="1" x14ac:dyDescent="0.3">
      <c r="A105" s="235">
        <v>8</v>
      </c>
      <c r="B105" s="236" t="s">
        <v>439</v>
      </c>
      <c r="C105" s="239">
        <v>1232</v>
      </c>
      <c r="D105" s="239">
        <v>1356</v>
      </c>
      <c r="E105" s="239">
        <f t="shared" si="14"/>
        <v>124</v>
      </c>
      <c r="F105" s="238">
        <f t="shared" si="15"/>
        <v>0.10064935064935066</v>
      </c>
    </row>
    <row r="106" spans="1:7" ht="20.25" customHeight="1" x14ac:dyDescent="0.3">
      <c r="A106" s="235">
        <v>9</v>
      </c>
      <c r="B106" s="236" t="s">
        <v>440</v>
      </c>
      <c r="C106" s="239">
        <v>30</v>
      </c>
      <c r="D106" s="239">
        <v>22</v>
      </c>
      <c r="E106" s="239">
        <f t="shared" si="14"/>
        <v>-8</v>
      </c>
      <c r="F106" s="238">
        <f t="shared" si="15"/>
        <v>-0.26666666666666666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3219324</v>
      </c>
      <c r="D107" s="243">
        <f>+D98+D100</f>
        <v>2957124</v>
      </c>
      <c r="E107" s="243">
        <f t="shared" si="14"/>
        <v>-262200</v>
      </c>
      <c r="F107" s="244">
        <f t="shared" si="15"/>
        <v>-8.1445669960525879E-2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1078544</v>
      </c>
      <c r="D108" s="243">
        <f>+D99+D101</f>
        <v>846039</v>
      </c>
      <c r="E108" s="243">
        <f t="shared" si="14"/>
        <v>-232505</v>
      </c>
      <c r="F108" s="244">
        <f t="shared" si="15"/>
        <v>-0.21557303179100715</v>
      </c>
    </row>
    <row r="109" spans="1:7" s="240" customFormat="1" ht="20.25" customHeight="1" x14ac:dyDescent="0.3">
      <c r="A109" s="689" t="s">
        <v>44</v>
      </c>
      <c r="B109" s="690" t="s">
        <v>478</v>
      </c>
      <c r="C109" s="692"/>
      <c r="D109" s="693"/>
      <c r="E109" s="693"/>
      <c r="F109" s="694"/>
      <c r="G109" s="212"/>
    </row>
    <row r="110" spans="1:7" ht="20.25" customHeight="1" x14ac:dyDescent="0.3">
      <c r="A110" s="680"/>
      <c r="B110" s="691"/>
      <c r="C110" s="686"/>
      <c r="D110" s="687"/>
      <c r="E110" s="687"/>
      <c r="F110" s="688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4618852</v>
      </c>
      <c r="D112" s="243">
        <f t="shared" si="16"/>
        <v>3679039</v>
      </c>
      <c r="E112" s="243">
        <f t="shared" ref="E112:E122" si="17">D112-C112</f>
        <v>-939813</v>
      </c>
      <c r="F112" s="244">
        <f t="shared" ref="F112:F122" si="18">IF(C112=0,0,E112/C112)</f>
        <v>-0.20347328730169315</v>
      </c>
    </row>
    <row r="113" spans="1:6" ht="20.25" customHeight="1" x14ac:dyDescent="0.3">
      <c r="A113" s="249"/>
      <c r="B113" s="250" t="s">
        <v>461</v>
      </c>
      <c r="C113" s="243">
        <f t="shared" si="16"/>
        <v>2351919</v>
      </c>
      <c r="D113" s="243">
        <f t="shared" si="16"/>
        <v>1653364</v>
      </c>
      <c r="E113" s="243">
        <f t="shared" si="17"/>
        <v>-698555</v>
      </c>
      <c r="F113" s="244">
        <f t="shared" si="18"/>
        <v>-0.29701490570040889</v>
      </c>
    </row>
    <row r="114" spans="1:6" ht="20.25" customHeight="1" x14ac:dyDescent="0.3">
      <c r="A114" s="249"/>
      <c r="B114" s="250" t="s">
        <v>462</v>
      </c>
      <c r="C114" s="243">
        <f t="shared" si="16"/>
        <v>12861669</v>
      </c>
      <c r="D114" s="243">
        <f t="shared" si="16"/>
        <v>12598916</v>
      </c>
      <c r="E114" s="243">
        <f t="shared" si="17"/>
        <v>-262753</v>
      </c>
      <c r="F114" s="244">
        <f t="shared" si="18"/>
        <v>-2.0429152701721683E-2</v>
      </c>
    </row>
    <row r="115" spans="1:6" ht="20.25" customHeight="1" x14ac:dyDescent="0.3">
      <c r="A115" s="249"/>
      <c r="B115" s="250" t="s">
        <v>463</v>
      </c>
      <c r="C115" s="243">
        <f t="shared" si="16"/>
        <v>3870021</v>
      </c>
      <c r="D115" s="243">
        <f t="shared" si="16"/>
        <v>3315979</v>
      </c>
      <c r="E115" s="243">
        <f t="shared" si="17"/>
        <v>-554042</v>
      </c>
      <c r="F115" s="244">
        <f t="shared" si="18"/>
        <v>-0.14316253064259857</v>
      </c>
    </row>
    <row r="116" spans="1:6" ht="20.25" customHeight="1" x14ac:dyDescent="0.3">
      <c r="A116" s="249"/>
      <c r="B116" s="250" t="s">
        <v>464</v>
      </c>
      <c r="C116" s="252">
        <f t="shared" si="16"/>
        <v>633</v>
      </c>
      <c r="D116" s="252">
        <f t="shared" si="16"/>
        <v>506</v>
      </c>
      <c r="E116" s="252">
        <f t="shared" si="17"/>
        <v>-127</v>
      </c>
      <c r="F116" s="244">
        <f t="shared" si="18"/>
        <v>-0.20063191153238547</v>
      </c>
    </row>
    <row r="117" spans="1:6" ht="20.25" customHeight="1" x14ac:dyDescent="0.3">
      <c r="A117" s="249"/>
      <c r="B117" s="250" t="s">
        <v>465</v>
      </c>
      <c r="C117" s="252">
        <f t="shared" si="16"/>
        <v>1626</v>
      </c>
      <c r="D117" s="252">
        <f t="shared" si="16"/>
        <v>1274</v>
      </c>
      <c r="E117" s="252">
        <f t="shared" si="17"/>
        <v>-352</v>
      </c>
      <c r="F117" s="244">
        <f t="shared" si="18"/>
        <v>-0.21648216482164823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10488</v>
      </c>
      <c r="D118" s="252">
        <f t="shared" si="16"/>
        <v>10140</v>
      </c>
      <c r="E118" s="252">
        <f t="shared" si="17"/>
        <v>-348</v>
      </c>
      <c r="F118" s="244">
        <f t="shared" si="18"/>
        <v>-3.3180778032036611E-2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7185</v>
      </c>
      <c r="D119" s="252">
        <f t="shared" si="16"/>
        <v>7603</v>
      </c>
      <c r="E119" s="252">
        <f t="shared" si="17"/>
        <v>418</v>
      </c>
      <c r="F119" s="244">
        <f t="shared" si="18"/>
        <v>5.8176757132915799E-2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161</v>
      </c>
      <c r="D120" s="252">
        <f t="shared" si="16"/>
        <v>139</v>
      </c>
      <c r="E120" s="252">
        <f t="shared" si="17"/>
        <v>-22</v>
      </c>
      <c r="F120" s="244">
        <f t="shared" si="18"/>
        <v>-0.13664596273291926</v>
      </c>
    </row>
    <row r="121" spans="1:6" ht="39.950000000000003" customHeight="1" x14ac:dyDescent="0.3">
      <c r="A121" s="249"/>
      <c r="B121" s="242" t="s">
        <v>441</v>
      </c>
      <c r="C121" s="243">
        <f>+C112+C114</f>
        <v>17480521</v>
      </c>
      <c r="D121" s="243">
        <f>+D112+D114</f>
        <v>16277955</v>
      </c>
      <c r="E121" s="243">
        <f t="shared" si="17"/>
        <v>-1202566</v>
      </c>
      <c r="F121" s="244">
        <f t="shared" si="18"/>
        <v>-6.8794631464359671E-2</v>
      </c>
    </row>
    <row r="122" spans="1:6" ht="39.950000000000003" customHeight="1" x14ac:dyDescent="0.3">
      <c r="A122" s="249"/>
      <c r="B122" s="242" t="s">
        <v>470</v>
      </c>
      <c r="C122" s="243">
        <f>+C113+C115</f>
        <v>6221940</v>
      </c>
      <c r="D122" s="243">
        <f>+D113+D115</f>
        <v>4969343</v>
      </c>
      <c r="E122" s="243">
        <f t="shared" si="17"/>
        <v>-1252597</v>
      </c>
      <c r="F122" s="244">
        <f t="shared" si="18"/>
        <v>-0.20131936341398343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FILING&amp;RWINDHAM COMMUNITY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80" zoomScaleNormal="80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479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3314081</v>
      </c>
      <c r="D13" s="23">
        <v>2502682</v>
      </c>
      <c r="E13" s="23">
        <f t="shared" ref="E13:E22" si="0">D13-C13</f>
        <v>-811399</v>
      </c>
      <c r="F13" s="24">
        <f t="shared" ref="F13:F22" si="1">IF(C13=0,0,E13/C13)</f>
        <v>-0.24483378650069204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14090656</v>
      </c>
      <c r="D15" s="23">
        <v>14881466</v>
      </c>
      <c r="E15" s="23">
        <f t="shared" si="0"/>
        <v>790810</v>
      </c>
      <c r="F15" s="24">
        <f t="shared" si="1"/>
        <v>5.6123008041641213E-2</v>
      </c>
    </row>
    <row r="16" spans="1:8" ht="35.1" customHeight="1" x14ac:dyDescent="0.2">
      <c r="A16" s="21">
        <v>4</v>
      </c>
      <c r="B16" s="22" t="s">
        <v>19</v>
      </c>
      <c r="C16" s="23">
        <v>677311</v>
      </c>
      <c r="D16" s="23">
        <v>762364</v>
      </c>
      <c r="E16" s="23">
        <f t="shared" si="0"/>
        <v>85053</v>
      </c>
      <c r="F16" s="24">
        <f t="shared" si="1"/>
        <v>0.12557451451401203</v>
      </c>
    </row>
    <row r="17" spans="1:11" ht="24" customHeight="1" x14ac:dyDescent="0.2">
      <c r="A17" s="21">
        <v>5</v>
      </c>
      <c r="B17" s="22" t="s">
        <v>20</v>
      </c>
      <c r="C17" s="23">
        <v>105104</v>
      </c>
      <c r="D17" s="23">
        <v>170422</v>
      </c>
      <c r="E17" s="23">
        <f t="shared" si="0"/>
        <v>65318</v>
      </c>
      <c r="F17" s="24">
        <f t="shared" si="1"/>
        <v>0.62146064850053284</v>
      </c>
    </row>
    <row r="18" spans="1:11" ht="24" customHeight="1" x14ac:dyDescent="0.2">
      <c r="A18" s="21">
        <v>6</v>
      </c>
      <c r="B18" s="22" t="s">
        <v>21</v>
      </c>
      <c r="C18" s="23">
        <v>1585717</v>
      </c>
      <c r="D18" s="23">
        <v>0</v>
      </c>
      <c r="E18" s="23">
        <f t="shared" si="0"/>
        <v>-1585717</v>
      </c>
      <c r="F18" s="24">
        <f t="shared" si="1"/>
        <v>-1</v>
      </c>
    </row>
    <row r="19" spans="1:11" ht="24" customHeight="1" x14ac:dyDescent="0.2">
      <c r="A19" s="21">
        <v>7</v>
      </c>
      <c r="B19" s="22" t="s">
        <v>22</v>
      </c>
      <c r="C19" s="23">
        <v>1175285</v>
      </c>
      <c r="D19" s="23">
        <v>1113332</v>
      </c>
      <c r="E19" s="23">
        <f t="shared" si="0"/>
        <v>-61953</v>
      </c>
      <c r="F19" s="24">
        <f t="shared" si="1"/>
        <v>-5.2713171698779447E-2</v>
      </c>
    </row>
    <row r="20" spans="1:11" ht="24" customHeight="1" x14ac:dyDescent="0.2">
      <c r="A20" s="21">
        <v>8</v>
      </c>
      <c r="B20" s="22" t="s">
        <v>23</v>
      </c>
      <c r="C20" s="23">
        <v>280392</v>
      </c>
      <c r="D20" s="23">
        <v>839664</v>
      </c>
      <c r="E20" s="23">
        <f t="shared" si="0"/>
        <v>559272</v>
      </c>
      <c r="F20" s="24">
        <f t="shared" si="1"/>
        <v>1.9946075494307969</v>
      </c>
    </row>
    <row r="21" spans="1:11" ht="24" customHeight="1" x14ac:dyDescent="0.2">
      <c r="A21" s="21">
        <v>9</v>
      </c>
      <c r="B21" s="22" t="s">
        <v>24</v>
      </c>
      <c r="C21" s="23">
        <v>1524302</v>
      </c>
      <c r="D21" s="23">
        <v>1506027</v>
      </c>
      <c r="E21" s="23">
        <f t="shared" si="0"/>
        <v>-18275</v>
      </c>
      <c r="F21" s="24">
        <f t="shared" si="1"/>
        <v>-1.19890940246749E-2</v>
      </c>
    </row>
    <row r="22" spans="1:11" ht="24" customHeight="1" x14ac:dyDescent="0.25">
      <c r="A22" s="25"/>
      <c r="B22" s="26" t="s">
        <v>25</v>
      </c>
      <c r="C22" s="27">
        <f>SUM(C13:C21)</f>
        <v>22752848</v>
      </c>
      <c r="D22" s="27">
        <f>SUM(D13:D21)</f>
        <v>21775957</v>
      </c>
      <c r="E22" s="27">
        <f t="shared" si="0"/>
        <v>-976891</v>
      </c>
      <c r="F22" s="28">
        <f t="shared" si="1"/>
        <v>-4.293488885435353E-2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2607805</v>
      </c>
      <c r="D25" s="23">
        <v>2505394</v>
      </c>
      <c r="E25" s="23">
        <f>D25-C25</f>
        <v>-102411</v>
      </c>
      <c r="F25" s="24">
        <f>IF(C25=0,0,E25/C25)</f>
        <v>-3.9270957759495052E-2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1673374</v>
      </c>
      <c r="D27" s="23">
        <v>1439934</v>
      </c>
      <c r="E27" s="23">
        <f>D27-C27</f>
        <v>-233440</v>
      </c>
      <c r="F27" s="24">
        <f>IF(C27=0,0,E27/C27)</f>
        <v>-0.1395025857937317</v>
      </c>
    </row>
    <row r="28" spans="1:11" ht="35.1" customHeight="1" x14ac:dyDescent="0.2">
      <c r="A28" s="21">
        <v>4</v>
      </c>
      <c r="B28" s="22" t="s">
        <v>31</v>
      </c>
      <c r="C28" s="23">
        <v>1885179</v>
      </c>
      <c r="D28" s="23">
        <v>1477742</v>
      </c>
      <c r="E28" s="23">
        <f>D28-C28</f>
        <v>-407437</v>
      </c>
      <c r="F28" s="24">
        <f>IF(C28=0,0,E28/C28)</f>
        <v>-0.21612642619082856</v>
      </c>
    </row>
    <row r="29" spans="1:11" ht="35.1" customHeight="1" x14ac:dyDescent="0.25">
      <c r="A29" s="25"/>
      <c r="B29" s="26" t="s">
        <v>32</v>
      </c>
      <c r="C29" s="27">
        <f>SUM(C25:C28)</f>
        <v>6166358</v>
      </c>
      <c r="D29" s="27">
        <f>SUM(D25:D28)</f>
        <v>5423070</v>
      </c>
      <c r="E29" s="27">
        <f>D29-C29</f>
        <v>-743288</v>
      </c>
      <c r="F29" s="28">
        <f>IF(C29=0,0,E29/C29)</f>
        <v>-0.12053922266595614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347049</v>
      </c>
      <c r="D32" s="23">
        <v>325966</v>
      </c>
      <c r="E32" s="23">
        <f>D32-C32</f>
        <v>-21083</v>
      </c>
      <c r="F32" s="24">
        <f>IF(C32=0,0,E32/C32)</f>
        <v>-6.0749346634048795E-2</v>
      </c>
    </row>
    <row r="33" spans="1:8" ht="24" customHeight="1" x14ac:dyDescent="0.2">
      <c r="A33" s="21">
        <v>7</v>
      </c>
      <c r="B33" s="22" t="s">
        <v>35</v>
      </c>
      <c r="C33" s="23">
        <v>2339911</v>
      </c>
      <c r="D33" s="23">
        <v>2036739</v>
      </c>
      <c r="E33" s="23">
        <f>D33-C33</f>
        <v>-303172</v>
      </c>
      <c r="F33" s="24">
        <f>IF(C33=0,0,E33/C33)</f>
        <v>-0.12956561168352129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98445867</v>
      </c>
      <c r="D36" s="23">
        <v>101775114</v>
      </c>
      <c r="E36" s="23">
        <f>D36-C36</f>
        <v>3329247</v>
      </c>
      <c r="F36" s="24">
        <f>IF(C36=0,0,E36/C36)</f>
        <v>3.3818047435145243E-2</v>
      </c>
    </row>
    <row r="37" spans="1:8" ht="24" customHeight="1" x14ac:dyDescent="0.2">
      <c r="A37" s="21">
        <v>2</v>
      </c>
      <c r="B37" s="22" t="s">
        <v>39</v>
      </c>
      <c r="C37" s="23">
        <v>62488848</v>
      </c>
      <c r="D37" s="23">
        <v>66982063</v>
      </c>
      <c r="E37" s="23">
        <f>D37-C37</f>
        <v>4493215</v>
      </c>
      <c r="F37" s="23">
        <f>IF(C37=0,0,E37/C37)</f>
        <v>7.1904270022708688E-2</v>
      </c>
    </row>
    <row r="38" spans="1:8" ht="24" customHeight="1" x14ac:dyDescent="0.25">
      <c r="A38" s="25"/>
      <c r="B38" s="26" t="s">
        <v>40</v>
      </c>
      <c r="C38" s="27">
        <f>C36-C37</f>
        <v>35957019</v>
      </c>
      <c r="D38" s="27">
        <f>D36-D37</f>
        <v>34793051</v>
      </c>
      <c r="E38" s="27">
        <f>D38-C38</f>
        <v>-1163968</v>
      </c>
      <c r="F38" s="28">
        <f>IF(C38=0,0,E38/C38)</f>
        <v>-3.2371092831694419E-2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270392</v>
      </c>
      <c r="D40" s="23">
        <v>2014711</v>
      </c>
      <c r="E40" s="23">
        <f>D40-C40</f>
        <v>1744319</v>
      </c>
      <c r="F40" s="24">
        <f>IF(C40=0,0,E40/C40)</f>
        <v>6.4510747359389331</v>
      </c>
    </row>
    <row r="41" spans="1:8" ht="24" customHeight="1" x14ac:dyDescent="0.25">
      <c r="A41" s="25"/>
      <c r="B41" s="26" t="s">
        <v>42</v>
      </c>
      <c r="C41" s="27">
        <f>+C38+C40</f>
        <v>36227411</v>
      </c>
      <c r="D41" s="27">
        <f>+D38+D40</f>
        <v>36807762</v>
      </c>
      <c r="E41" s="27">
        <f>D41-C41</f>
        <v>580351</v>
      </c>
      <c r="F41" s="28">
        <f>IF(C41=0,0,E41/C41)</f>
        <v>1.6019665330210871E-2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67833577</v>
      </c>
      <c r="D43" s="27">
        <f>D22+D29+D31+D32+D33+D41</f>
        <v>66369494</v>
      </c>
      <c r="E43" s="27">
        <f>D43-C43</f>
        <v>-1464083</v>
      </c>
      <c r="F43" s="28">
        <f>IF(C43=0,0,E43/C43)</f>
        <v>-2.1583455638790803E-2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3465207</v>
      </c>
      <c r="D49" s="23">
        <v>5823590</v>
      </c>
      <c r="E49" s="23">
        <f t="shared" ref="E49:E56" si="2">D49-C49</f>
        <v>2358383</v>
      </c>
      <c r="F49" s="24">
        <f t="shared" ref="F49:F56" si="3">IF(C49=0,0,E49/C49)</f>
        <v>0.68058935584511981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840849</v>
      </c>
      <c r="D50" s="23">
        <v>813367</v>
      </c>
      <c r="E50" s="23">
        <f t="shared" si="2"/>
        <v>-27482</v>
      </c>
      <c r="F50" s="24">
        <f t="shared" si="3"/>
        <v>-3.2683632852034072E-2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71283</v>
      </c>
      <c r="E51" s="23">
        <f t="shared" si="2"/>
        <v>71283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263466</v>
      </c>
      <c r="D53" s="23">
        <v>3406605</v>
      </c>
      <c r="E53" s="23">
        <f t="shared" si="2"/>
        <v>3143139</v>
      </c>
      <c r="F53" s="24">
        <f t="shared" si="3"/>
        <v>11.92996060212703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440019</v>
      </c>
      <c r="D54" s="23">
        <v>367375</v>
      </c>
      <c r="E54" s="23">
        <f t="shared" si="2"/>
        <v>-72644</v>
      </c>
      <c r="F54" s="24">
        <f t="shared" si="3"/>
        <v>-0.1650928709896618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5800501</v>
      </c>
      <c r="D55" s="23">
        <v>6135012</v>
      </c>
      <c r="E55" s="23">
        <f t="shared" si="2"/>
        <v>334511</v>
      </c>
      <c r="F55" s="24">
        <f t="shared" si="3"/>
        <v>5.766932890796847E-2</v>
      </c>
    </row>
    <row r="56" spans="1:6" ht="24" customHeight="1" x14ac:dyDescent="0.25">
      <c r="A56" s="25"/>
      <c r="B56" s="26" t="s">
        <v>54</v>
      </c>
      <c r="C56" s="27">
        <f>SUM(C49:C55)</f>
        <v>10810042</v>
      </c>
      <c r="D56" s="27">
        <f>SUM(D49:D55)</f>
        <v>16617232</v>
      </c>
      <c r="E56" s="27">
        <f t="shared" si="2"/>
        <v>5807190</v>
      </c>
      <c r="F56" s="28">
        <f t="shared" si="3"/>
        <v>0.53720327821113001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19435038</v>
      </c>
      <c r="D59" s="23">
        <v>19388119</v>
      </c>
      <c r="E59" s="23">
        <f>D59-C59</f>
        <v>-46919</v>
      </c>
      <c r="F59" s="24">
        <f>IF(C59=0,0,E59/C59)</f>
        <v>-2.4141450096470097E-3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19435038</v>
      </c>
      <c r="D61" s="27">
        <f>SUM(D59:D60)</f>
        <v>19388119</v>
      </c>
      <c r="E61" s="27">
        <f>D61-C61</f>
        <v>-46919</v>
      </c>
      <c r="F61" s="28">
        <f>IF(C61=0,0,E61/C61)</f>
        <v>-2.4141450096470097E-3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53726319</v>
      </c>
      <c r="D63" s="23">
        <v>56931181</v>
      </c>
      <c r="E63" s="23">
        <f>D63-C63</f>
        <v>3204862</v>
      </c>
      <c r="F63" s="24">
        <f>IF(C63=0,0,E63/C63)</f>
        <v>5.9651620651695866E-2</v>
      </c>
    </row>
    <row r="64" spans="1:6" ht="24" customHeight="1" x14ac:dyDescent="0.2">
      <c r="A64" s="21">
        <v>4</v>
      </c>
      <c r="B64" s="22" t="s">
        <v>60</v>
      </c>
      <c r="C64" s="23">
        <v>3797901</v>
      </c>
      <c r="D64" s="23">
        <v>4482535</v>
      </c>
      <c r="E64" s="23">
        <f>D64-C64</f>
        <v>684634</v>
      </c>
      <c r="F64" s="24">
        <f>IF(C64=0,0,E64/C64)</f>
        <v>0.18026641558060624</v>
      </c>
    </row>
    <row r="65" spans="1:6" ht="24" customHeight="1" x14ac:dyDescent="0.25">
      <c r="A65" s="25"/>
      <c r="B65" s="26" t="s">
        <v>61</v>
      </c>
      <c r="C65" s="27">
        <f>SUM(C61:C64)</f>
        <v>76959258</v>
      </c>
      <c r="D65" s="27">
        <f>SUM(D61:D64)</f>
        <v>80801835</v>
      </c>
      <c r="E65" s="27">
        <f>D65-C65</f>
        <v>3842577</v>
      </c>
      <c r="F65" s="28">
        <f>IF(C65=0,0,E65/C65)</f>
        <v>4.99300162171522E-2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-25203815</v>
      </c>
      <c r="D70" s="23">
        <v>-35978450</v>
      </c>
      <c r="E70" s="23">
        <f>D70-C70</f>
        <v>-10774635</v>
      </c>
      <c r="F70" s="24">
        <f>IF(C70=0,0,E70/C70)</f>
        <v>0.42750016217782905</v>
      </c>
    </row>
    <row r="71" spans="1:6" ht="24" customHeight="1" x14ac:dyDescent="0.2">
      <c r="A71" s="21">
        <v>2</v>
      </c>
      <c r="B71" s="22" t="s">
        <v>65</v>
      </c>
      <c r="C71" s="23">
        <v>1538289</v>
      </c>
      <c r="D71" s="23">
        <v>1318536</v>
      </c>
      <c r="E71" s="23">
        <f>D71-C71</f>
        <v>-219753</v>
      </c>
      <c r="F71" s="24">
        <f>IF(C71=0,0,E71/C71)</f>
        <v>-0.14285547124109968</v>
      </c>
    </row>
    <row r="72" spans="1:6" ht="24" customHeight="1" x14ac:dyDescent="0.2">
      <c r="A72" s="21">
        <v>3</v>
      </c>
      <c r="B72" s="22" t="s">
        <v>66</v>
      </c>
      <c r="C72" s="23">
        <v>3729803</v>
      </c>
      <c r="D72" s="23">
        <v>3610341</v>
      </c>
      <c r="E72" s="23">
        <f>D72-C72</f>
        <v>-119462</v>
      </c>
      <c r="F72" s="24">
        <f>IF(C72=0,0,E72/C72)</f>
        <v>-3.2029037458546739E-2</v>
      </c>
    </row>
    <row r="73" spans="1:6" ht="24" customHeight="1" x14ac:dyDescent="0.25">
      <c r="A73" s="21"/>
      <c r="B73" s="26" t="s">
        <v>67</v>
      </c>
      <c r="C73" s="27">
        <f>SUM(C70:C72)</f>
        <v>-19935723</v>
      </c>
      <c r="D73" s="27">
        <f>SUM(D70:D72)</f>
        <v>-31049573</v>
      </c>
      <c r="E73" s="27">
        <f>D73-C73</f>
        <v>-11113850</v>
      </c>
      <c r="F73" s="28">
        <f>IF(C73=0,0,E73/C73)</f>
        <v>0.55748417050136578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67833577</v>
      </c>
      <c r="D75" s="27">
        <f>D56+D65+D67+D73</f>
        <v>66369494</v>
      </c>
      <c r="E75" s="27">
        <f>D75-C75</f>
        <v>-1464083</v>
      </c>
      <c r="F75" s="28">
        <f>IF(C75=0,0,E75/C75)</f>
        <v>-2.1583455638790803E-2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FILING&amp;RWINDHAM COMMUNITY MEMORIAL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="75" zoomScaleSheetLayoutView="75" workbookViewId="0"/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0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480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193955564</v>
      </c>
      <c r="D12" s="51">
        <v>199383125</v>
      </c>
      <c r="E12" s="51">
        <f t="shared" ref="E12:E19" si="0">D12-C12</f>
        <v>5427561</v>
      </c>
      <c r="F12" s="70">
        <f t="shared" ref="F12:F19" si="1">IF(C12=0,0,E12/C12)</f>
        <v>2.7983528227114949E-2</v>
      </c>
    </row>
    <row r="13" spans="1:8" ht="23.1" customHeight="1" x14ac:dyDescent="0.2">
      <c r="A13" s="25">
        <v>2</v>
      </c>
      <c r="B13" s="48" t="s">
        <v>72</v>
      </c>
      <c r="C13" s="51">
        <v>104466765</v>
      </c>
      <c r="D13" s="51">
        <v>110493786</v>
      </c>
      <c r="E13" s="51">
        <f t="shared" si="0"/>
        <v>6027021</v>
      </c>
      <c r="F13" s="70">
        <f t="shared" si="1"/>
        <v>5.7693190748272907E-2</v>
      </c>
    </row>
    <row r="14" spans="1:8" ht="23.1" customHeight="1" x14ac:dyDescent="0.2">
      <c r="A14" s="25">
        <v>3</v>
      </c>
      <c r="B14" s="48" t="s">
        <v>73</v>
      </c>
      <c r="C14" s="51">
        <v>2546093</v>
      </c>
      <c r="D14" s="51">
        <v>3033891</v>
      </c>
      <c r="E14" s="51">
        <f t="shared" si="0"/>
        <v>487798</v>
      </c>
      <c r="F14" s="70">
        <f t="shared" si="1"/>
        <v>0.19158687447787651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86942706</v>
      </c>
      <c r="D16" s="27">
        <f>D12-D13-D14-D15</f>
        <v>85855448</v>
      </c>
      <c r="E16" s="27">
        <f t="shared" si="0"/>
        <v>-1087258</v>
      </c>
      <c r="F16" s="28">
        <f t="shared" si="1"/>
        <v>-1.2505453879017752E-2</v>
      </c>
    </row>
    <row r="17" spans="1:7" ht="23.1" customHeight="1" x14ac:dyDescent="0.2">
      <c r="A17" s="25">
        <v>5</v>
      </c>
      <c r="B17" s="48" t="s">
        <v>76</v>
      </c>
      <c r="C17" s="51">
        <v>2622664</v>
      </c>
      <c r="D17" s="51">
        <v>3044239</v>
      </c>
      <c r="E17" s="51">
        <f t="shared" si="0"/>
        <v>421575</v>
      </c>
      <c r="F17" s="70">
        <f t="shared" si="1"/>
        <v>0.16074304600208034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89565370</v>
      </c>
      <c r="D19" s="27">
        <f>SUM(D16:D18)</f>
        <v>88899687</v>
      </c>
      <c r="E19" s="27">
        <f t="shared" si="0"/>
        <v>-665683</v>
      </c>
      <c r="F19" s="28">
        <f t="shared" si="1"/>
        <v>-7.4323703458155756E-3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39301133</v>
      </c>
      <c r="D22" s="51">
        <v>41345796</v>
      </c>
      <c r="E22" s="51">
        <f t="shared" ref="E22:E31" si="2">D22-C22</f>
        <v>2044663</v>
      </c>
      <c r="F22" s="70">
        <f t="shared" ref="F22:F31" si="3">IF(C22=0,0,E22/C22)</f>
        <v>5.2025548474645758E-2</v>
      </c>
    </row>
    <row r="23" spans="1:7" ht="23.1" customHeight="1" x14ac:dyDescent="0.2">
      <c r="A23" s="25">
        <v>2</v>
      </c>
      <c r="B23" s="48" t="s">
        <v>81</v>
      </c>
      <c r="C23" s="51">
        <v>14575223</v>
      </c>
      <c r="D23" s="51">
        <v>16084939</v>
      </c>
      <c r="E23" s="51">
        <f t="shared" si="2"/>
        <v>1509716</v>
      </c>
      <c r="F23" s="70">
        <f t="shared" si="3"/>
        <v>0.10358098809191461</v>
      </c>
    </row>
    <row r="24" spans="1:7" ht="23.1" customHeight="1" x14ac:dyDescent="0.2">
      <c r="A24" s="25">
        <v>3</v>
      </c>
      <c r="B24" s="48" t="s">
        <v>82</v>
      </c>
      <c r="C24" s="51">
        <v>932425</v>
      </c>
      <c r="D24" s="51">
        <v>693799</v>
      </c>
      <c r="E24" s="51">
        <f t="shared" si="2"/>
        <v>-238626</v>
      </c>
      <c r="F24" s="70">
        <f t="shared" si="3"/>
        <v>-0.25591977907070274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7995028</v>
      </c>
      <c r="D25" s="51">
        <v>7777841</v>
      </c>
      <c r="E25" s="51">
        <f t="shared" si="2"/>
        <v>-217187</v>
      </c>
      <c r="F25" s="70">
        <f t="shared" si="3"/>
        <v>-2.7165258207976259E-2</v>
      </c>
    </row>
    <row r="26" spans="1:7" ht="23.1" customHeight="1" x14ac:dyDescent="0.2">
      <c r="A26" s="25">
        <v>5</v>
      </c>
      <c r="B26" s="48" t="s">
        <v>84</v>
      </c>
      <c r="C26" s="51">
        <v>4522902</v>
      </c>
      <c r="D26" s="51">
        <v>4545850</v>
      </c>
      <c r="E26" s="51">
        <f t="shared" si="2"/>
        <v>22948</v>
      </c>
      <c r="F26" s="70">
        <f t="shared" si="3"/>
        <v>5.073733633848357E-3</v>
      </c>
    </row>
    <row r="27" spans="1:7" ht="23.1" customHeight="1" x14ac:dyDescent="0.2">
      <c r="A27" s="25">
        <v>6</v>
      </c>
      <c r="B27" s="48" t="s">
        <v>85</v>
      </c>
      <c r="C27" s="51">
        <v>5459445</v>
      </c>
      <c r="D27" s="51">
        <v>3365182</v>
      </c>
      <c r="E27" s="51">
        <f t="shared" si="2"/>
        <v>-2094263</v>
      </c>
      <c r="F27" s="70">
        <f t="shared" si="3"/>
        <v>-0.38360364469282132</v>
      </c>
    </row>
    <row r="28" spans="1:7" ht="23.1" customHeight="1" x14ac:dyDescent="0.2">
      <c r="A28" s="25">
        <v>7</v>
      </c>
      <c r="B28" s="48" t="s">
        <v>86</v>
      </c>
      <c r="C28" s="51">
        <v>1557105</v>
      </c>
      <c r="D28" s="51">
        <v>1476666</v>
      </c>
      <c r="E28" s="51">
        <f t="shared" si="2"/>
        <v>-80439</v>
      </c>
      <c r="F28" s="70">
        <f t="shared" si="3"/>
        <v>-5.1659329332318628E-2</v>
      </c>
    </row>
    <row r="29" spans="1:7" ht="23.1" customHeight="1" x14ac:dyDescent="0.2">
      <c r="A29" s="25">
        <v>8</v>
      </c>
      <c r="B29" s="48" t="s">
        <v>87</v>
      </c>
      <c r="C29" s="51">
        <v>635157</v>
      </c>
      <c r="D29" s="51">
        <v>609350</v>
      </c>
      <c r="E29" s="51">
        <f t="shared" si="2"/>
        <v>-25807</v>
      </c>
      <c r="F29" s="70">
        <f t="shared" si="3"/>
        <v>-4.0630899132025625E-2</v>
      </c>
    </row>
    <row r="30" spans="1:7" ht="23.1" customHeight="1" x14ac:dyDescent="0.2">
      <c r="A30" s="25">
        <v>9</v>
      </c>
      <c r="B30" s="48" t="s">
        <v>88</v>
      </c>
      <c r="C30" s="51">
        <v>16523400</v>
      </c>
      <c r="D30" s="51">
        <v>16740066</v>
      </c>
      <c r="E30" s="51">
        <f t="shared" si="2"/>
        <v>216666</v>
      </c>
      <c r="F30" s="70">
        <f t="shared" si="3"/>
        <v>1.3112676567776607E-2</v>
      </c>
    </row>
    <row r="31" spans="1:7" ht="23.1" customHeight="1" x14ac:dyDescent="0.25">
      <c r="A31" s="29"/>
      <c r="B31" s="71" t="s">
        <v>89</v>
      </c>
      <c r="C31" s="27">
        <f>SUM(C22:C30)</f>
        <v>91501818</v>
      </c>
      <c r="D31" s="27">
        <f>SUM(D22:D30)</f>
        <v>92639489</v>
      </c>
      <c r="E31" s="27">
        <f t="shared" si="2"/>
        <v>1137671</v>
      </c>
      <c r="F31" s="28">
        <f t="shared" si="3"/>
        <v>1.2433315805812733E-2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-1936448</v>
      </c>
      <c r="D33" s="27">
        <f>+D19-D31</f>
        <v>-3739802</v>
      </c>
      <c r="E33" s="27">
        <f>D33-C33</f>
        <v>-1803354</v>
      </c>
      <c r="F33" s="28">
        <f>IF(C33=0,0,E33/C33)</f>
        <v>0.93126900386687383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96303</v>
      </c>
      <c r="D36" s="51">
        <v>-16806</v>
      </c>
      <c r="E36" s="51">
        <f>D36-C36</f>
        <v>-113109</v>
      </c>
      <c r="F36" s="70">
        <f>IF(C36=0,0,E36/C36)</f>
        <v>-1.1745116974549079</v>
      </c>
    </row>
    <row r="37" spans="1:6" ht="23.1" customHeight="1" x14ac:dyDescent="0.2">
      <c r="A37" s="44">
        <v>2</v>
      </c>
      <c r="B37" s="48" t="s">
        <v>93</v>
      </c>
      <c r="C37" s="51">
        <v>252482</v>
      </c>
      <c r="D37" s="51">
        <v>265347</v>
      </c>
      <c r="E37" s="51">
        <f>D37-C37</f>
        <v>12865</v>
      </c>
      <c r="F37" s="70">
        <f>IF(C37=0,0,E37/C37)</f>
        <v>5.0954127422945E-2</v>
      </c>
    </row>
    <row r="38" spans="1:6" ht="23.1" customHeight="1" x14ac:dyDescent="0.2">
      <c r="A38" s="44">
        <v>3</v>
      </c>
      <c r="B38" s="48" t="s">
        <v>94</v>
      </c>
      <c r="C38" s="51">
        <v>-95417</v>
      </c>
      <c r="D38" s="51">
        <v>-561377</v>
      </c>
      <c r="E38" s="51">
        <f>D38-C38</f>
        <v>-465960</v>
      </c>
      <c r="F38" s="70">
        <f>IF(C38=0,0,E38/C38)</f>
        <v>4.8834065208505821</v>
      </c>
    </row>
    <row r="39" spans="1:6" ht="23.1" customHeight="1" x14ac:dyDescent="0.25">
      <c r="A39" s="20"/>
      <c r="B39" s="71" t="s">
        <v>95</v>
      </c>
      <c r="C39" s="27">
        <f>SUM(C36:C38)</f>
        <v>253368</v>
      </c>
      <c r="D39" s="27">
        <f>SUM(D36:D38)</f>
        <v>-312836</v>
      </c>
      <c r="E39" s="27">
        <f>D39-C39</f>
        <v>-566204</v>
      </c>
      <c r="F39" s="28">
        <f>IF(C39=0,0,E39/C39)</f>
        <v>-2.2347099870544032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-1683080</v>
      </c>
      <c r="D41" s="27">
        <f>D33+D39</f>
        <v>-4052638</v>
      </c>
      <c r="E41" s="27">
        <f>D41-C41</f>
        <v>-2369558</v>
      </c>
      <c r="F41" s="28">
        <f>IF(C41=0,0,E41/C41)</f>
        <v>1.4078700953014711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20260</v>
      </c>
      <c r="D44" s="51">
        <v>-10172</v>
      </c>
      <c r="E44" s="51">
        <f>D44-C44</f>
        <v>-30432</v>
      </c>
      <c r="F44" s="70">
        <f>IF(C44=0,0,E44/C44)</f>
        <v>-1.5020730503455084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20260</v>
      </c>
      <c r="D46" s="27">
        <f>SUM(D44:D45)</f>
        <v>-10172</v>
      </c>
      <c r="E46" s="27">
        <f>D46-C46</f>
        <v>-30432</v>
      </c>
      <c r="F46" s="28">
        <f>IF(C46=0,0,E46/C46)</f>
        <v>-1.5020730503455084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-1662820</v>
      </c>
      <c r="D48" s="27">
        <f>D41+D46</f>
        <v>-4062810</v>
      </c>
      <c r="E48" s="27">
        <f>D48-C48</f>
        <v>-2399990</v>
      </c>
      <c r="F48" s="28">
        <f>IF(C48=0,0,E48/C48)</f>
        <v>1.4433251945490191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FILING&amp;R&amp;8WINDHAM COMMUNITY MEMORIAL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2012-06-29T19:57:25Z</cp:lastPrinted>
  <dcterms:created xsi:type="dcterms:W3CDTF">2006-08-03T13:49:12Z</dcterms:created>
  <dcterms:modified xsi:type="dcterms:W3CDTF">2012-06-29T19:57:37Z</dcterms:modified>
</cp:coreProperties>
</file>