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Report_400!$A$10:$G$45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4525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80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207" i="14"/>
  <c r="D208" i="14"/>
  <c r="D135" i="14"/>
  <c r="D130" i="14"/>
  <c r="D129" i="14"/>
  <c r="D124" i="14"/>
  <c r="D123" i="14"/>
  <c r="D120" i="14"/>
  <c r="D110" i="14"/>
  <c r="D111" i="14"/>
  <c r="D109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90" i="14"/>
  <c r="D44" i="14"/>
  <c r="D36" i="14"/>
  <c r="D35" i="14"/>
  <c r="D37" i="14"/>
  <c r="D30" i="14"/>
  <c r="D31" i="14"/>
  <c r="D32" i="14"/>
  <c r="D29" i="14"/>
  <c r="D24" i="14"/>
  <c r="D23" i="14"/>
  <c r="D20" i="14"/>
  <c r="D21" i="14"/>
  <c r="D126" i="14"/>
  <c r="D127" i="14"/>
  <c r="D17" i="14"/>
  <c r="E97" i="19"/>
  <c r="D97" i="19"/>
  <c r="C97" i="19"/>
  <c r="E96" i="19"/>
  <c r="E98" i="19"/>
  <c r="D96" i="19"/>
  <c r="D98" i="19"/>
  <c r="C96" i="19"/>
  <c r="C98" i="19"/>
  <c r="E92" i="19"/>
  <c r="D92" i="19"/>
  <c r="C92" i="19"/>
  <c r="E91" i="19"/>
  <c r="E93" i="19"/>
  <c r="D91" i="19"/>
  <c r="D93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E102" i="19"/>
  <c r="D83" i="19"/>
  <c r="C83" i="19"/>
  <c r="C102" i="19"/>
  <c r="E76" i="19"/>
  <c r="D76" i="19"/>
  <c r="C76" i="19"/>
  <c r="E75" i="19"/>
  <c r="E77" i="19"/>
  <c r="D75" i="19"/>
  <c r="D101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/>
  <c r="E33" i="19"/>
  <c r="D12" i="19"/>
  <c r="D33" i="19"/>
  <c r="C12" i="19"/>
  <c r="C34" i="19"/>
  <c r="C22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C46" i="17"/>
  <c r="D36" i="17"/>
  <c r="D40" i="17"/>
  <c r="C36" i="17"/>
  <c r="C40" i="17"/>
  <c r="F35" i="17"/>
  <c r="E35" i="17"/>
  <c r="F34" i="17"/>
  <c r="E34" i="17"/>
  <c r="F33" i="17"/>
  <c r="E33" i="17"/>
  <c r="E36" i="17"/>
  <c r="F36" i="17"/>
  <c r="F30" i="17"/>
  <c r="E30" i="17"/>
  <c r="F29" i="17"/>
  <c r="E29" i="17"/>
  <c r="F28" i="17"/>
  <c r="E28" i="17"/>
  <c r="F27" i="17"/>
  <c r="E27" i="17"/>
  <c r="D25" i="17"/>
  <c r="D39" i="17"/>
  <c r="C25" i="17"/>
  <c r="C39" i="17"/>
  <c r="F24" i="17"/>
  <c r="E24" i="17"/>
  <c r="F23" i="17"/>
  <c r="E23" i="17"/>
  <c r="F22" i="17"/>
  <c r="E22" i="17"/>
  <c r="E25" i="17"/>
  <c r="F25" i="17"/>
  <c r="D19" i="17"/>
  <c r="D20" i="17"/>
  <c r="C19" i="17"/>
  <c r="C20" i="17"/>
  <c r="F18" i="17"/>
  <c r="E18" i="17"/>
  <c r="D16" i="17"/>
  <c r="E16" i="17"/>
  <c r="F16" i="17"/>
  <c r="C16" i="17"/>
  <c r="F15" i="17"/>
  <c r="E15" i="17"/>
  <c r="F13" i="17"/>
  <c r="E13" i="17"/>
  <c r="F12" i="17"/>
  <c r="E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36" i="16"/>
  <c r="C32" i="16"/>
  <c r="C33" i="16"/>
  <c r="C21" i="16"/>
  <c r="E328" i="15"/>
  <c r="D326" i="15"/>
  <c r="E326" i="15"/>
  <c r="E325" i="15"/>
  <c r="D324" i="15"/>
  <c r="E324" i="15"/>
  <c r="C324" i="15"/>
  <c r="C326" i="15"/>
  <c r="C330" i="15"/>
  <c r="E318" i="15"/>
  <c r="E315" i="15"/>
  <c r="D314" i="15"/>
  <c r="D316" i="15"/>
  <c r="D320" i="15"/>
  <c r="C314" i="15"/>
  <c r="E314" i="15"/>
  <c r="E308" i="15"/>
  <c r="E305" i="15"/>
  <c r="D301" i="15"/>
  <c r="E301" i="15"/>
  <c r="C301" i="15"/>
  <c r="D293" i="15"/>
  <c r="C293" i="15"/>
  <c r="E293" i="15"/>
  <c r="D292" i="15"/>
  <c r="E292" i="15"/>
  <c r="C292" i="15"/>
  <c r="D291" i="15"/>
  <c r="C291" i="15"/>
  <c r="E291" i="15"/>
  <c r="D290" i="15"/>
  <c r="E290" i="15"/>
  <c r="C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E279" i="15"/>
  <c r="C279" i="15"/>
  <c r="D278" i="15"/>
  <c r="E278" i="15"/>
  <c r="C278" i="15"/>
  <c r="D277" i="15"/>
  <c r="C277" i="15"/>
  <c r="E277" i="15"/>
  <c r="D276" i="15"/>
  <c r="E276" i="15"/>
  <c r="C276" i="15"/>
  <c r="E270" i="15"/>
  <c r="D265" i="15"/>
  <c r="D302" i="15"/>
  <c r="C265" i="15"/>
  <c r="E265" i="15"/>
  <c r="D262" i="15"/>
  <c r="E262" i="15"/>
  <c r="C262" i="15"/>
  <c r="D251" i="15"/>
  <c r="C251" i="15"/>
  <c r="D233" i="15"/>
  <c r="E233" i="15"/>
  <c r="C233" i="15"/>
  <c r="D232" i="15"/>
  <c r="C232" i="15"/>
  <c r="E232" i="15"/>
  <c r="D231" i="15"/>
  <c r="C231" i="15"/>
  <c r="D230" i="15"/>
  <c r="C230" i="15"/>
  <c r="E230" i="15"/>
  <c r="D228" i="15"/>
  <c r="C228" i="15"/>
  <c r="E228" i="15"/>
  <c r="D227" i="15"/>
  <c r="E227" i="15"/>
  <c r="C227" i="15"/>
  <c r="D221" i="15"/>
  <c r="D245" i="15"/>
  <c r="E245" i="15"/>
  <c r="C221" i="15"/>
  <c r="C245" i="15"/>
  <c r="D220" i="15"/>
  <c r="E220" i="15"/>
  <c r="C220" i="15"/>
  <c r="C244" i="15"/>
  <c r="D219" i="15"/>
  <c r="D243" i="15"/>
  <c r="C219" i="15"/>
  <c r="C243" i="15"/>
  <c r="D218" i="15"/>
  <c r="C218" i="15"/>
  <c r="C242" i="15"/>
  <c r="C217" i="15"/>
  <c r="C241" i="15"/>
  <c r="D216" i="15"/>
  <c r="E216" i="15"/>
  <c r="C216" i="15"/>
  <c r="C240" i="15"/>
  <c r="D215" i="15"/>
  <c r="D239" i="15"/>
  <c r="C215" i="15"/>
  <c r="C239" i="15"/>
  <c r="C210" i="15"/>
  <c r="C211" i="15"/>
  <c r="E209" i="15"/>
  <c r="E208" i="15"/>
  <c r="E207" i="15"/>
  <c r="E206" i="15"/>
  <c r="D205" i="15"/>
  <c r="D229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261" i="15"/>
  <c r="E186" i="15"/>
  <c r="E185" i="15"/>
  <c r="D179" i="15"/>
  <c r="C179" i="15"/>
  <c r="E179" i="15"/>
  <c r="D178" i="15"/>
  <c r="E178" i="15"/>
  <c r="C178" i="15"/>
  <c r="D177" i="15"/>
  <c r="C177" i="15"/>
  <c r="E177" i="15"/>
  <c r="D176" i="15"/>
  <c r="E176" i="15"/>
  <c r="C176" i="15"/>
  <c r="D174" i="15"/>
  <c r="E174" i="15"/>
  <c r="C174" i="15"/>
  <c r="D173" i="15"/>
  <c r="C173" i="15"/>
  <c r="E173" i="15"/>
  <c r="D167" i="15"/>
  <c r="E167" i="15"/>
  <c r="C167" i="15"/>
  <c r="D166" i="15"/>
  <c r="C166" i="15"/>
  <c r="E166" i="15"/>
  <c r="D165" i="15"/>
  <c r="E165" i="15"/>
  <c r="C165" i="15"/>
  <c r="D164" i="15"/>
  <c r="C164" i="15"/>
  <c r="E164" i="15"/>
  <c r="D162" i="15"/>
  <c r="C162" i="15"/>
  <c r="E162" i="15"/>
  <c r="D161" i="15"/>
  <c r="E161" i="15"/>
  <c r="C161" i="15"/>
  <c r="D156" i="15"/>
  <c r="E155" i="15"/>
  <c r="E154" i="15"/>
  <c r="E153" i="15"/>
  <c r="E152" i="15"/>
  <c r="D151" i="15"/>
  <c r="C151" i="15"/>
  <c r="E150" i="15"/>
  <c r="E149" i="15"/>
  <c r="E143" i="15"/>
  <c r="E142" i="15"/>
  <c r="E141" i="15"/>
  <c r="E140" i="15"/>
  <c r="D139" i="15"/>
  <c r="D163" i="15"/>
  <c r="C139" i="15"/>
  <c r="C175" i="15"/>
  <c r="E138" i="15"/>
  <c r="E137" i="15"/>
  <c r="D75" i="15"/>
  <c r="C75" i="15"/>
  <c r="E75" i="15"/>
  <c r="D74" i="15"/>
  <c r="E74" i="15"/>
  <c r="C74" i="15"/>
  <c r="D73" i="15"/>
  <c r="C73" i="15"/>
  <c r="E73" i="15"/>
  <c r="D72" i="15"/>
  <c r="E72" i="15"/>
  <c r="C72" i="15"/>
  <c r="D70" i="15"/>
  <c r="E70" i="15"/>
  <c r="C70" i="15"/>
  <c r="D69" i="15"/>
  <c r="C69" i="15"/>
  <c r="E64" i="15"/>
  <c r="E63" i="15"/>
  <c r="E62" i="15"/>
  <c r="E61" i="15"/>
  <c r="D60" i="15"/>
  <c r="C60" i="15"/>
  <c r="C71" i="15"/>
  <c r="E59" i="15"/>
  <c r="E58" i="15"/>
  <c r="D54" i="15"/>
  <c r="C54" i="15"/>
  <c r="C55" i="15"/>
  <c r="E53" i="15"/>
  <c r="E52" i="15"/>
  <c r="E51" i="15"/>
  <c r="E50" i="15"/>
  <c r="E49" i="15"/>
  <c r="E48" i="15"/>
  <c r="E47" i="15"/>
  <c r="D42" i="15"/>
  <c r="E42" i="15"/>
  <c r="C42" i="15"/>
  <c r="D41" i="15"/>
  <c r="C41" i="15"/>
  <c r="E41" i="15"/>
  <c r="D40" i="15"/>
  <c r="E40" i="15"/>
  <c r="C40" i="15"/>
  <c r="D39" i="15"/>
  <c r="C39" i="15"/>
  <c r="E39" i="15"/>
  <c r="D38" i="15"/>
  <c r="E38" i="15"/>
  <c r="C38" i="15"/>
  <c r="D37" i="15"/>
  <c r="E37" i="15"/>
  <c r="C37" i="15"/>
  <c r="C43" i="15"/>
  <c r="D36" i="15"/>
  <c r="E36" i="15"/>
  <c r="C36" i="15"/>
  <c r="C33" i="15"/>
  <c r="D32" i="15"/>
  <c r="C32" i="15"/>
  <c r="E31" i="15"/>
  <c r="E30" i="15"/>
  <c r="E29" i="15"/>
  <c r="E28" i="15"/>
  <c r="E27" i="15"/>
  <c r="E26" i="15"/>
  <c r="E25" i="15"/>
  <c r="D21" i="15"/>
  <c r="D22" i="15"/>
  <c r="C21" i="15"/>
  <c r="C22" i="15"/>
  <c r="C284" i="15"/>
  <c r="E20" i="15"/>
  <c r="E19" i="15"/>
  <c r="E18" i="15"/>
  <c r="E17" i="15"/>
  <c r="E16" i="15"/>
  <c r="E15" i="15"/>
  <c r="E14" i="15"/>
  <c r="E335" i="14"/>
  <c r="F335" i="14"/>
  <c r="E334" i="14"/>
  <c r="F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F311" i="14"/>
  <c r="E311" i="14"/>
  <c r="E308" i="14"/>
  <c r="F308" i="14"/>
  <c r="C307" i="14"/>
  <c r="E307" i="14"/>
  <c r="C299" i="14"/>
  <c r="C298" i="14"/>
  <c r="E298" i="14"/>
  <c r="C297" i="14"/>
  <c r="E297" i="14"/>
  <c r="C296" i="14"/>
  <c r="C295" i="14"/>
  <c r="C294" i="14"/>
  <c r="E294" i="14"/>
  <c r="C250" i="14"/>
  <c r="E250" i="14"/>
  <c r="E249" i="14"/>
  <c r="F249" i="14"/>
  <c r="F248" i="14"/>
  <c r="E248" i="14"/>
  <c r="E245" i="14"/>
  <c r="F245" i="14"/>
  <c r="F244" i="14"/>
  <c r="E244" i="14"/>
  <c r="F243" i="14"/>
  <c r="E243" i="14"/>
  <c r="C238" i="14"/>
  <c r="E238" i="14"/>
  <c r="C237" i="14"/>
  <c r="C239" i="14"/>
  <c r="E234" i="14"/>
  <c r="F234" i="14"/>
  <c r="E233" i="14"/>
  <c r="F233" i="14"/>
  <c r="C230" i="14"/>
  <c r="E230" i="14"/>
  <c r="C229" i="14"/>
  <c r="F228" i="14"/>
  <c r="E228" i="14"/>
  <c r="C226" i="14"/>
  <c r="C227" i="14"/>
  <c r="E227" i="14"/>
  <c r="E226" i="14"/>
  <c r="F226" i="14"/>
  <c r="E225" i="14"/>
  <c r="F225" i="14"/>
  <c r="E224" i="14"/>
  <c r="F224" i="14"/>
  <c r="C223" i="14"/>
  <c r="E223" i="14"/>
  <c r="F223" i="14"/>
  <c r="E222" i="14"/>
  <c r="F222" i="14"/>
  <c r="E221" i="14"/>
  <c r="F221" i="14"/>
  <c r="C205" i="14"/>
  <c r="C204" i="14"/>
  <c r="C203" i="14"/>
  <c r="C283" i="14"/>
  <c r="E283" i="14"/>
  <c r="C267" i="14"/>
  <c r="C198" i="14"/>
  <c r="E198" i="14"/>
  <c r="C191" i="14"/>
  <c r="C264" i="14"/>
  <c r="C189" i="14"/>
  <c r="C278" i="14"/>
  <c r="C188" i="14"/>
  <c r="C277" i="14"/>
  <c r="C287" i="14"/>
  <c r="C180" i="14"/>
  <c r="E180" i="14"/>
  <c r="F180" i="14"/>
  <c r="C179" i="14"/>
  <c r="C181" i="14"/>
  <c r="C171" i="14"/>
  <c r="C172" i="14"/>
  <c r="E172" i="14"/>
  <c r="C170" i="14"/>
  <c r="E170" i="14"/>
  <c r="F170" i="14"/>
  <c r="E169" i="14"/>
  <c r="F169" i="14"/>
  <c r="E168" i="14"/>
  <c r="F168" i="14"/>
  <c r="E165" i="14"/>
  <c r="C165" i="14"/>
  <c r="F165" i="14"/>
  <c r="C164" i="14"/>
  <c r="E164" i="14"/>
  <c r="E163" i="14"/>
  <c r="F163" i="14"/>
  <c r="E158" i="14"/>
  <c r="C158" i="14"/>
  <c r="C159" i="14"/>
  <c r="E159" i="14"/>
  <c r="E157" i="14"/>
  <c r="F157" i="14"/>
  <c r="E156" i="14"/>
  <c r="F156" i="14"/>
  <c r="C155" i="14"/>
  <c r="E155" i="14"/>
  <c r="E154" i="14"/>
  <c r="F154" i="14"/>
  <c r="E153" i="14"/>
  <c r="F153" i="14"/>
  <c r="E145" i="14"/>
  <c r="C145" i="14"/>
  <c r="E144" i="14"/>
  <c r="C144" i="14"/>
  <c r="C137" i="14"/>
  <c r="C136" i="14"/>
  <c r="E136" i="14"/>
  <c r="F136" i="14"/>
  <c r="C135" i="14"/>
  <c r="E135" i="14"/>
  <c r="E134" i="14"/>
  <c r="F134" i="14"/>
  <c r="E133" i="14"/>
  <c r="F133" i="14"/>
  <c r="E130" i="14"/>
  <c r="C130" i="14"/>
  <c r="C129" i="14"/>
  <c r="E129" i="14"/>
  <c r="F129" i="14"/>
  <c r="E128" i="14"/>
  <c r="F128" i="14"/>
  <c r="C123" i="14"/>
  <c r="C193" i="14"/>
  <c r="E122" i="14"/>
  <c r="F122" i="14"/>
  <c r="E121" i="14"/>
  <c r="F121" i="14"/>
  <c r="C120" i="14"/>
  <c r="E120" i="14"/>
  <c r="F120" i="14"/>
  <c r="F119" i="14"/>
  <c r="E119" i="14"/>
  <c r="F118" i="14"/>
  <c r="E118" i="14"/>
  <c r="C110" i="14"/>
  <c r="E110" i="14"/>
  <c r="C109" i="14"/>
  <c r="E109" i="14"/>
  <c r="E101" i="14"/>
  <c r="C101" i="14"/>
  <c r="C102" i="14"/>
  <c r="C100" i="14"/>
  <c r="E100" i="14"/>
  <c r="E99" i="14"/>
  <c r="F99" i="14"/>
  <c r="E98" i="14"/>
  <c r="F98" i="14"/>
  <c r="C95" i="14"/>
  <c r="E95" i="14"/>
  <c r="C94" i="14"/>
  <c r="E93" i="14"/>
  <c r="F93" i="14"/>
  <c r="C88" i="14"/>
  <c r="C89" i="14"/>
  <c r="E89" i="14"/>
  <c r="E87" i="14"/>
  <c r="F87" i="14"/>
  <c r="E86" i="14"/>
  <c r="F86" i="14"/>
  <c r="C85" i="14"/>
  <c r="E85" i="14"/>
  <c r="F85" i="14"/>
  <c r="E84" i="14"/>
  <c r="F84" i="14"/>
  <c r="E83" i="14"/>
  <c r="F83" i="14"/>
  <c r="C76" i="14"/>
  <c r="C77" i="14"/>
  <c r="E77" i="14"/>
  <c r="E74" i="14"/>
  <c r="F74" i="14"/>
  <c r="E73" i="14"/>
  <c r="F73" i="14"/>
  <c r="C67" i="14"/>
  <c r="E67" i="14"/>
  <c r="C66" i="14"/>
  <c r="E66" i="14"/>
  <c r="F66" i="14"/>
  <c r="C59" i="14"/>
  <c r="C58" i="14"/>
  <c r="E58" i="14"/>
  <c r="E57" i="14"/>
  <c r="F57" i="14"/>
  <c r="E56" i="14"/>
  <c r="F56" i="14"/>
  <c r="C53" i="14"/>
  <c r="E53" i="14"/>
  <c r="C52" i="14"/>
  <c r="E52" i="14"/>
  <c r="F52" i="14"/>
  <c r="E51" i="14"/>
  <c r="F51" i="14"/>
  <c r="C48" i="14"/>
  <c r="C160" i="14"/>
  <c r="E47" i="14"/>
  <c r="C47" i="14"/>
  <c r="F46" i="14"/>
  <c r="E46" i="14"/>
  <c r="F45" i="14"/>
  <c r="E45" i="14"/>
  <c r="C44" i="14"/>
  <c r="E44" i="14"/>
  <c r="E43" i="14"/>
  <c r="F43" i="14"/>
  <c r="E42" i="14"/>
  <c r="F42" i="14"/>
  <c r="C36" i="14"/>
  <c r="C35" i="14"/>
  <c r="E35" i="14"/>
  <c r="C30" i="14"/>
  <c r="E29" i="14"/>
  <c r="C29" i="14"/>
  <c r="F29" i="14"/>
  <c r="E28" i="14"/>
  <c r="F28" i="14"/>
  <c r="E27" i="14"/>
  <c r="F27" i="14"/>
  <c r="C24" i="14"/>
  <c r="E24" i="14"/>
  <c r="C23" i="14"/>
  <c r="E23" i="14"/>
  <c r="F23" i="14"/>
  <c r="F22" i="14"/>
  <c r="E22" i="14"/>
  <c r="C21" i="14"/>
  <c r="C20" i="14"/>
  <c r="E20" i="14"/>
  <c r="F20" i="14"/>
  <c r="C282" i="14"/>
  <c r="E19" i="14"/>
  <c r="F19" i="14"/>
  <c r="E18" i="14"/>
  <c r="F18" i="14"/>
  <c r="C17" i="14"/>
  <c r="E17" i="14"/>
  <c r="F17" i="14"/>
  <c r="E16" i="14"/>
  <c r="F16" i="14"/>
  <c r="E15" i="14"/>
  <c r="F15" i="14"/>
  <c r="D21" i="13"/>
  <c r="C21" i="13"/>
  <c r="E20" i="13"/>
  <c r="F20" i="13"/>
  <c r="D17" i="13"/>
  <c r="C17" i="13"/>
  <c r="E16" i="13"/>
  <c r="F16" i="13"/>
  <c r="D13" i="13"/>
  <c r="C13" i="13"/>
  <c r="E12" i="13"/>
  <c r="F12" i="13"/>
  <c r="D99" i="12"/>
  <c r="C99" i="12"/>
  <c r="E98" i="12"/>
  <c r="F98" i="12"/>
  <c r="E97" i="12"/>
  <c r="F97" i="12"/>
  <c r="E96" i="12"/>
  <c r="F96" i="12"/>
  <c r="D92" i="12"/>
  <c r="C92" i="12"/>
  <c r="E92" i="12"/>
  <c r="E91" i="12"/>
  <c r="F91" i="12"/>
  <c r="F90" i="12"/>
  <c r="E90" i="12"/>
  <c r="E89" i="12"/>
  <c r="F89" i="12"/>
  <c r="E88" i="12"/>
  <c r="F88" i="12"/>
  <c r="E87" i="12"/>
  <c r="F87" i="12"/>
  <c r="D84" i="12"/>
  <c r="C84" i="12"/>
  <c r="E83" i="12"/>
  <c r="F83" i="12"/>
  <c r="F82" i="12"/>
  <c r="E82" i="12"/>
  <c r="F81" i="12"/>
  <c r="E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69" i="12"/>
  <c r="F69" i="12"/>
  <c r="E68" i="12"/>
  <c r="F68" i="12"/>
  <c r="D65" i="12"/>
  <c r="E65" i="12"/>
  <c r="C65" i="12"/>
  <c r="E64" i="12"/>
  <c r="F64" i="12"/>
  <c r="E63" i="12"/>
  <c r="F63" i="12"/>
  <c r="D60" i="12"/>
  <c r="C60" i="12"/>
  <c r="F60" i="12"/>
  <c r="F59" i="12"/>
  <c r="E59" i="12"/>
  <c r="F58" i="12"/>
  <c r="E58" i="12"/>
  <c r="E60" i="12"/>
  <c r="D55" i="12"/>
  <c r="C55" i="12"/>
  <c r="E55" i="12"/>
  <c r="F54" i="12"/>
  <c r="E54" i="12"/>
  <c r="F53" i="12"/>
  <c r="E53" i="12"/>
  <c r="D50" i="12"/>
  <c r="C50" i="12"/>
  <c r="F50" i="12"/>
  <c r="F49" i="12"/>
  <c r="E49" i="12"/>
  <c r="F48" i="12"/>
  <c r="E48" i="12"/>
  <c r="D45" i="12"/>
  <c r="C45" i="12"/>
  <c r="F45" i="12"/>
  <c r="F44" i="12"/>
  <c r="E44" i="12"/>
  <c r="F43" i="12"/>
  <c r="E43" i="12"/>
  <c r="D37" i="12"/>
  <c r="E37" i="12"/>
  <c r="C37" i="12"/>
  <c r="F36" i="12"/>
  <c r="E36" i="12"/>
  <c r="F35" i="12"/>
  <c r="E35" i="12"/>
  <c r="E34" i="12"/>
  <c r="F34" i="12"/>
  <c r="E33" i="12"/>
  <c r="F33" i="12"/>
  <c r="D30" i="12"/>
  <c r="C30" i="12"/>
  <c r="F30" i="12"/>
  <c r="F29" i="12"/>
  <c r="E29" i="12"/>
  <c r="F28" i="12"/>
  <c r="E28" i="12"/>
  <c r="F27" i="12"/>
  <c r="E27" i="12"/>
  <c r="F26" i="12"/>
  <c r="E26" i="12"/>
  <c r="D23" i="12"/>
  <c r="C23" i="12"/>
  <c r="E23" i="12"/>
  <c r="F22" i="12"/>
  <c r="E22" i="12"/>
  <c r="E21" i="12"/>
  <c r="F21" i="12"/>
  <c r="E20" i="12"/>
  <c r="F20" i="12"/>
  <c r="E19" i="12"/>
  <c r="F19" i="12"/>
  <c r="D16" i="12"/>
  <c r="C16" i="12"/>
  <c r="E16" i="12"/>
  <c r="F15" i="12"/>
  <c r="E15" i="12"/>
  <c r="E14" i="12"/>
  <c r="F14" i="12"/>
  <c r="E13" i="12"/>
  <c r="F13" i="12"/>
  <c r="E12" i="12"/>
  <c r="F12" i="12"/>
  <c r="G37" i="11"/>
  <c r="F37" i="11"/>
  <c r="G29" i="11"/>
  <c r="F29" i="11"/>
  <c r="G27" i="11"/>
  <c r="F27" i="11"/>
  <c r="G25" i="11"/>
  <c r="F25" i="11"/>
  <c r="G23" i="11"/>
  <c r="F23" i="11"/>
  <c r="G21" i="11"/>
  <c r="F21" i="11"/>
  <c r="G19" i="11"/>
  <c r="F19" i="11"/>
  <c r="G17" i="11"/>
  <c r="E17" i="11"/>
  <c r="E33" i="11"/>
  <c r="E36" i="11"/>
  <c r="E38" i="11"/>
  <c r="E40" i="11"/>
  <c r="E31" i="11"/>
  <c r="G31" i="11"/>
  <c r="D17" i="11"/>
  <c r="D31" i="11"/>
  <c r="F31" i="11"/>
  <c r="C17" i="11"/>
  <c r="C33" i="11"/>
  <c r="C36" i="11"/>
  <c r="C38" i="11"/>
  <c r="C40" i="11"/>
  <c r="C31" i="11"/>
  <c r="G16" i="11"/>
  <c r="F16" i="11"/>
  <c r="G15" i="11"/>
  <c r="F15" i="11"/>
  <c r="G13" i="11"/>
  <c r="F13" i="11"/>
  <c r="G11" i="11"/>
  <c r="F11" i="11"/>
  <c r="E79" i="10"/>
  <c r="D79" i="10"/>
  <c r="C79" i="10"/>
  <c r="C80" i="10"/>
  <c r="E78" i="10"/>
  <c r="E80" i="10"/>
  <c r="E77" i="10"/>
  <c r="D78" i="10"/>
  <c r="D80" i="10"/>
  <c r="D77" i="10"/>
  <c r="C78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D65" i="10"/>
  <c r="C66" i="10"/>
  <c r="E65" i="10"/>
  <c r="C65" i="10"/>
  <c r="E60" i="10"/>
  <c r="D60" i="10"/>
  <c r="C60" i="10"/>
  <c r="E58" i="10"/>
  <c r="D58" i="10"/>
  <c r="C58" i="10"/>
  <c r="E55" i="10"/>
  <c r="D55" i="10"/>
  <c r="D50" i="10"/>
  <c r="C55" i="10"/>
  <c r="E54" i="10"/>
  <c r="D54" i="10"/>
  <c r="C54" i="10"/>
  <c r="C50" i="10"/>
  <c r="E50" i="10"/>
  <c r="D48" i="10"/>
  <c r="D42" i="10"/>
  <c r="E46" i="10"/>
  <c r="D46" i="10"/>
  <c r="D59" i="10"/>
  <c r="D61" i="10"/>
  <c r="D57" i="10"/>
  <c r="C46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25" i="10"/>
  <c r="D27" i="10"/>
  <c r="C13" i="10"/>
  <c r="D46" i="9"/>
  <c r="C46" i="9"/>
  <c r="F46" i="9"/>
  <c r="F45" i="9"/>
  <c r="E45" i="9"/>
  <c r="F44" i="9"/>
  <c r="E44" i="9"/>
  <c r="D39" i="9"/>
  <c r="C39" i="9"/>
  <c r="E38" i="9"/>
  <c r="F38" i="9"/>
  <c r="E37" i="9"/>
  <c r="F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E17" i="9"/>
  <c r="F17" i="9"/>
  <c r="D16" i="9"/>
  <c r="D19" i="9"/>
  <c r="D33" i="9"/>
  <c r="D41" i="9"/>
  <c r="D48" i="9"/>
  <c r="C16" i="9"/>
  <c r="F15" i="9"/>
  <c r="E15" i="9"/>
  <c r="E14" i="9"/>
  <c r="F14" i="9"/>
  <c r="E13" i="9"/>
  <c r="F13" i="9"/>
  <c r="E12" i="9"/>
  <c r="F12" i="9"/>
  <c r="D73" i="8"/>
  <c r="C73" i="8"/>
  <c r="E73" i="8"/>
  <c r="E72" i="8"/>
  <c r="F72" i="8"/>
  <c r="E71" i="8"/>
  <c r="F71" i="8"/>
  <c r="E70" i="8"/>
  <c r="F70" i="8"/>
  <c r="F67" i="8"/>
  <c r="E67" i="8"/>
  <c r="E64" i="8"/>
  <c r="F64" i="8"/>
  <c r="E63" i="8"/>
  <c r="F63" i="8"/>
  <c r="D61" i="8"/>
  <c r="D65" i="8"/>
  <c r="C61" i="8"/>
  <c r="C65" i="8"/>
  <c r="F60" i="8"/>
  <c r="E60" i="8"/>
  <c r="E59" i="8"/>
  <c r="F59" i="8"/>
  <c r="D56" i="8"/>
  <c r="C56" i="8"/>
  <c r="C75" i="8"/>
  <c r="E55" i="8"/>
  <c r="F55" i="8"/>
  <c r="F54" i="8"/>
  <c r="E54" i="8"/>
  <c r="E53" i="8"/>
  <c r="F53" i="8"/>
  <c r="F52" i="8"/>
  <c r="E52" i="8"/>
  <c r="F51" i="8"/>
  <c r="E51" i="8"/>
  <c r="F50" i="8"/>
  <c r="E50" i="8"/>
  <c r="A50" i="8"/>
  <c r="A51" i="8"/>
  <c r="A52" i="8"/>
  <c r="A53" i="8"/>
  <c r="A54" i="8"/>
  <c r="A55" i="8"/>
  <c r="E49" i="8"/>
  <c r="F49" i="8"/>
  <c r="E40" i="8"/>
  <c r="F40" i="8"/>
  <c r="D38" i="8"/>
  <c r="D41" i="8"/>
  <c r="D43" i="8"/>
  <c r="C38" i="8"/>
  <c r="E37" i="8"/>
  <c r="F37" i="8"/>
  <c r="E36" i="8"/>
  <c r="F36" i="8"/>
  <c r="E33" i="8"/>
  <c r="F33" i="8"/>
  <c r="E32" i="8"/>
  <c r="F32" i="8"/>
  <c r="F31" i="8"/>
  <c r="E31" i="8"/>
  <c r="D29" i="8"/>
  <c r="C29" i="8"/>
  <c r="E28" i="8"/>
  <c r="F28" i="8"/>
  <c r="E27" i="8"/>
  <c r="F27" i="8"/>
  <c r="F26" i="8"/>
  <c r="E26" i="8"/>
  <c r="E25" i="8"/>
  <c r="F25" i="8"/>
  <c r="D22" i="8"/>
  <c r="C22" i="8"/>
  <c r="E21" i="8"/>
  <c r="F21" i="8"/>
  <c r="E20" i="8"/>
  <c r="F20" i="8"/>
  <c r="E19" i="8"/>
  <c r="F19" i="8"/>
  <c r="E18" i="8"/>
  <c r="F18" i="8"/>
  <c r="F17" i="8"/>
  <c r="E17" i="8"/>
  <c r="E16" i="8"/>
  <c r="F16" i="8"/>
  <c r="E15" i="8"/>
  <c r="F15" i="8"/>
  <c r="F14" i="8"/>
  <c r="E14" i="8"/>
  <c r="E13" i="8"/>
  <c r="F13" i="8"/>
  <c r="D120" i="7"/>
  <c r="C120" i="7"/>
  <c r="E120" i="7"/>
  <c r="D119" i="7"/>
  <c r="E119" i="7"/>
  <c r="C119" i="7"/>
  <c r="D118" i="7"/>
  <c r="E118" i="7"/>
  <c r="C118" i="7"/>
  <c r="D117" i="7"/>
  <c r="C117" i="7"/>
  <c r="D116" i="7"/>
  <c r="C116" i="7"/>
  <c r="E116" i="7"/>
  <c r="D115" i="7"/>
  <c r="E115" i="7"/>
  <c r="C115" i="7"/>
  <c r="D114" i="7"/>
  <c r="E114" i="7"/>
  <c r="C114" i="7"/>
  <c r="D113" i="7"/>
  <c r="D122" i="7"/>
  <c r="C113" i="7"/>
  <c r="D112" i="7"/>
  <c r="D121" i="7"/>
  <c r="C112" i="7"/>
  <c r="E112" i="7"/>
  <c r="D108" i="7"/>
  <c r="E108" i="7"/>
  <c r="C108" i="7"/>
  <c r="D107" i="7"/>
  <c r="E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D95" i="7"/>
  <c r="C95" i="7"/>
  <c r="E94" i="7"/>
  <c r="F94" i="7"/>
  <c r="E93" i="7"/>
  <c r="F93" i="7"/>
  <c r="E92" i="7"/>
  <c r="F92" i="7"/>
  <c r="E91" i="7"/>
  <c r="F91" i="7"/>
  <c r="E90" i="7"/>
  <c r="F90" i="7"/>
  <c r="E89" i="7"/>
  <c r="F89" i="7"/>
  <c r="E88" i="7"/>
  <c r="F88" i="7"/>
  <c r="E87" i="7"/>
  <c r="F87" i="7"/>
  <c r="E86" i="7"/>
  <c r="F86" i="7"/>
  <c r="D84" i="7"/>
  <c r="C84" i="7"/>
  <c r="F84" i="7"/>
  <c r="D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F60" i="7"/>
  <c r="D59" i="7"/>
  <c r="C59" i="7"/>
  <c r="E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D48" i="7"/>
  <c r="C48" i="7"/>
  <c r="F48" i="7"/>
  <c r="D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C35" i="7"/>
  <c r="E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E24" i="7"/>
  <c r="D23" i="7"/>
  <c r="C23" i="7"/>
  <c r="E23" i="7"/>
  <c r="E22" i="7"/>
  <c r="F22" i="7"/>
  <c r="E21" i="7"/>
  <c r="F21" i="7"/>
  <c r="E20" i="7"/>
  <c r="F20" i="7"/>
  <c r="E19" i="7"/>
  <c r="F19" i="7"/>
  <c r="E18" i="7"/>
  <c r="F18" i="7"/>
  <c r="E17" i="7"/>
  <c r="F17" i="7"/>
  <c r="E16" i="7"/>
  <c r="F16" i="7"/>
  <c r="E15" i="7"/>
  <c r="F15" i="7"/>
  <c r="E14" i="7"/>
  <c r="F14" i="7"/>
  <c r="D206" i="6"/>
  <c r="E206" i="6"/>
  <c r="C206" i="6"/>
  <c r="D205" i="6"/>
  <c r="C205" i="6"/>
  <c r="D204" i="6"/>
  <c r="C204" i="6"/>
  <c r="D203" i="6"/>
  <c r="C203" i="6"/>
  <c r="E203" i="6"/>
  <c r="F203" i="6"/>
  <c r="D202" i="6"/>
  <c r="C202" i="6"/>
  <c r="E202" i="6"/>
  <c r="F202" i="6"/>
  <c r="D201" i="6"/>
  <c r="C201" i="6"/>
  <c r="E201" i="6"/>
  <c r="F201" i="6"/>
  <c r="D200" i="6"/>
  <c r="C200" i="6"/>
  <c r="E200" i="6"/>
  <c r="F200" i="6"/>
  <c r="D199" i="6"/>
  <c r="D208" i="6"/>
  <c r="C199" i="6"/>
  <c r="C208" i="6"/>
  <c r="E199" i="6"/>
  <c r="F199" i="6"/>
  <c r="D198" i="6"/>
  <c r="D207" i="6"/>
  <c r="E207" i="6"/>
  <c r="C198" i="6"/>
  <c r="C207" i="6"/>
  <c r="D193" i="6"/>
  <c r="E193" i="6"/>
  <c r="C193" i="6"/>
  <c r="D192" i="6"/>
  <c r="C192" i="6"/>
  <c r="E191" i="6"/>
  <c r="F191" i="6"/>
  <c r="E190" i="6"/>
  <c r="F190" i="6"/>
  <c r="E189" i="6"/>
  <c r="F189" i="6"/>
  <c r="E188" i="6"/>
  <c r="F188" i="6"/>
  <c r="E187" i="6"/>
  <c r="F187" i="6"/>
  <c r="E186" i="6"/>
  <c r="F186" i="6"/>
  <c r="E185" i="6"/>
  <c r="F185" i="6"/>
  <c r="E184" i="6"/>
  <c r="F184" i="6"/>
  <c r="E183" i="6"/>
  <c r="F183" i="6"/>
  <c r="D180" i="6"/>
  <c r="E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E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D153" i="6"/>
  <c r="C153" i="6"/>
  <c r="F152" i="6"/>
  <c r="E152" i="6"/>
  <c r="F151" i="6"/>
  <c r="E151" i="6"/>
  <c r="E150" i="6"/>
  <c r="F150" i="6"/>
  <c r="F149" i="6"/>
  <c r="E149" i="6"/>
  <c r="F148" i="6"/>
  <c r="E148" i="6"/>
  <c r="E147" i="6"/>
  <c r="F147" i="6"/>
  <c r="E146" i="6"/>
  <c r="F146" i="6"/>
  <c r="F145" i="6"/>
  <c r="E145" i="6"/>
  <c r="F144" i="6"/>
  <c r="E144" i="6"/>
  <c r="D141" i="6"/>
  <c r="C141" i="6"/>
  <c r="D140" i="6"/>
  <c r="C140" i="6"/>
  <c r="F139" i="6"/>
  <c r="E139" i="6"/>
  <c r="E138" i="6"/>
  <c r="F138" i="6"/>
  <c r="E137" i="6"/>
  <c r="F137" i="6"/>
  <c r="F136" i="6"/>
  <c r="E136" i="6"/>
  <c r="F135" i="6"/>
  <c r="E135" i="6"/>
  <c r="E134" i="6"/>
  <c r="F134" i="6"/>
  <c r="E133" i="6"/>
  <c r="F133" i="6"/>
  <c r="F132" i="6"/>
  <c r="E132" i="6"/>
  <c r="F131" i="6"/>
  <c r="E131" i="6"/>
  <c r="D128" i="6"/>
  <c r="C128" i="6"/>
  <c r="D127" i="6"/>
  <c r="C127" i="6"/>
  <c r="E126" i="6"/>
  <c r="F126" i="6"/>
  <c r="E125" i="6"/>
  <c r="F125" i="6"/>
  <c r="E124" i="6"/>
  <c r="F124" i="6"/>
  <c r="E123" i="6"/>
  <c r="F123" i="6"/>
  <c r="E122" i="6"/>
  <c r="F122" i="6"/>
  <c r="E121" i="6"/>
  <c r="F121" i="6"/>
  <c r="E120" i="6"/>
  <c r="F120" i="6"/>
  <c r="E119" i="6"/>
  <c r="F119" i="6"/>
  <c r="E118" i="6"/>
  <c r="F118" i="6"/>
  <c r="D115" i="6"/>
  <c r="C115" i="6"/>
  <c r="D114" i="6"/>
  <c r="C114" i="6"/>
  <c r="F113" i="6"/>
  <c r="E113" i="6"/>
  <c r="E112" i="6"/>
  <c r="F112" i="6"/>
  <c r="E111" i="6"/>
  <c r="F111" i="6"/>
  <c r="F110" i="6"/>
  <c r="E110" i="6"/>
  <c r="F109" i="6"/>
  <c r="E109" i="6"/>
  <c r="E108" i="6"/>
  <c r="F108" i="6"/>
  <c r="E107" i="6"/>
  <c r="F107" i="6"/>
  <c r="F106" i="6"/>
  <c r="E106" i="6"/>
  <c r="F105" i="6"/>
  <c r="E105" i="6"/>
  <c r="D102" i="6"/>
  <c r="C102" i="6"/>
  <c r="D101" i="6"/>
  <c r="C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E89" i="6"/>
  <c r="C89" i="6"/>
  <c r="F89" i="6"/>
  <c r="D88" i="6"/>
  <c r="E88" i="6"/>
  <c r="C88" i="6"/>
  <c r="F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D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C50" i="6"/>
  <c r="E50" i="6"/>
  <c r="D49" i="6"/>
  <c r="C49" i="6"/>
  <c r="E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C37" i="6"/>
  <c r="E37" i="6"/>
  <c r="D36" i="6"/>
  <c r="C36" i="6"/>
  <c r="E36" i="6"/>
  <c r="F35" i="6"/>
  <c r="E35" i="6"/>
  <c r="E34" i="6"/>
  <c r="F34" i="6"/>
  <c r="F33" i="6"/>
  <c r="E33" i="6"/>
  <c r="F32" i="6"/>
  <c r="E32" i="6"/>
  <c r="F31" i="6"/>
  <c r="E31" i="6"/>
  <c r="E30" i="6"/>
  <c r="F30" i="6"/>
  <c r="E29" i="6"/>
  <c r="F29" i="6"/>
  <c r="F28" i="6"/>
  <c r="E28" i="6"/>
  <c r="F27" i="6"/>
  <c r="E27" i="6"/>
  <c r="D24" i="6"/>
  <c r="C24" i="6"/>
  <c r="E24" i="6"/>
  <c r="D23" i="6"/>
  <c r="C23" i="6"/>
  <c r="E23" i="6"/>
  <c r="E22" i="6"/>
  <c r="F22" i="6"/>
  <c r="E21" i="6"/>
  <c r="F21" i="6"/>
  <c r="E20" i="6"/>
  <c r="F20" i="6"/>
  <c r="E19" i="6"/>
  <c r="F19" i="6"/>
  <c r="E18" i="6"/>
  <c r="F18" i="6"/>
  <c r="E17" i="6"/>
  <c r="F17" i="6"/>
  <c r="E16" i="6"/>
  <c r="F16" i="6"/>
  <c r="E15" i="6"/>
  <c r="F15" i="6"/>
  <c r="E14" i="6"/>
  <c r="F14" i="6"/>
  <c r="E191" i="5"/>
  <c r="D191" i="5"/>
  <c r="C191" i="5"/>
  <c r="E176" i="5"/>
  <c r="D176" i="5"/>
  <c r="C176" i="5"/>
  <c r="E164" i="5"/>
  <c r="D164" i="5"/>
  <c r="D160" i="5"/>
  <c r="D166" i="5"/>
  <c r="C164" i="5"/>
  <c r="E162" i="5"/>
  <c r="D162" i="5"/>
  <c r="C162" i="5"/>
  <c r="E161" i="5"/>
  <c r="D161" i="5"/>
  <c r="C161" i="5"/>
  <c r="E160" i="5"/>
  <c r="E166" i="5"/>
  <c r="C160" i="5"/>
  <c r="C166" i="5"/>
  <c r="E147" i="5"/>
  <c r="D147" i="5"/>
  <c r="D143" i="5"/>
  <c r="C147" i="5"/>
  <c r="E145" i="5"/>
  <c r="D145" i="5"/>
  <c r="C145" i="5"/>
  <c r="E144" i="5"/>
  <c r="D144" i="5"/>
  <c r="D149" i="5"/>
  <c r="C144" i="5"/>
  <c r="E143" i="5"/>
  <c r="E149" i="5"/>
  <c r="C143" i="5"/>
  <c r="C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E94" i="5"/>
  <c r="D95" i="5"/>
  <c r="C95" i="5"/>
  <c r="C94" i="5"/>
  <c r="D94" i="5"/>
  <c r="E89" i="5"/>
  <c r="D89" i="5"/>
  <c r="C89" i="5"/>
  <c r="E87" i="5"/>
  <c r="D87" i="5"/>
  <c r="C87" i="5"/>
  <c r="E84" i="5"/>
  <c r="D84" i="5"/>
  <c r="D79" i="5"/>
  <c r="C84" i="5"/>
  <c r="C79" i="5"/>
  <c r="E83" i="5"/>
  <c r="E79" i="5"/>
  <c r="D83" i="5"/>
  <c r="C83" i="5"/>
  <c r="E75" i="5"/>
  <c r="E88" i="5"/>
  <c r="E90" i="5"/>
  <c r="E86" i="5"/>
  <c r="D75" i="5"/>
  <c r="D88" i="5"/>
  <c r="D90" i="5"/>
  <c r="D86" i="5"/>
  <c r="C75" i="5"/>
  <c r="C88" i="5"/>
  <c r="C90" i="5"/>
  <c r="C86" i="5"/>
  <c r="E74" i="5"/>
  <c r="D74" i="5"/>
  <c r="C74" i="5"/>
  <c r="E67" i="5"/>
  <c r="D67" i="5"/>
  <c r="C67" i="5"/>
  <c r="E38" i="5"/>
  <c r="E49" i="5"/>
  <c r="D38" i="5"/>
  <c r="D43" i="5"/>
  <c r="C38" i="5"/>
  <c r="C57" i="5"/>
  <c r="C62" i="5"/>
  <c r="E34" i="5"/>
  <c r="E33" i="5"/>
  <c r="D33" i="5"/>
  <c r="D34" i="5"/>
  <c r="E26" i="5"/>
  <c r="D26" i="5"/>
  <c r="C26" i="5"/>
  <c r="E13" i="5"/>
  <c r="E25" i="5"/>
  <c r="E27" i="5"/>
  <c r="D13" i="5"/>
  <c r="D25" i="5"/>
  <c r="D27" i="5"/>
  <c r="D21" i="5"/>
  <c r="C13" i="5"/>
  <c r="C25" i="5"/>
  <c r="C27" i="5"/>
  <c r="E174" i="4"/>
  <c r="F174" i="4"/>
  <c r="D171" i="4"/>
  <c r="E171" i="4"/>
  <c r="F171" i="4"/>
  <c r="C171" i="4"/>
  <c r="F170" i="4"/>
  <c r="E170" i="4"/>
  <c r="F169" i="4"/>
  <c r="E169" i="4"/>
  <c r="F168" i="4"/>
  <c r="E168" i="4"/>
  <c r="F167" i="4"/>
  <c r="E167" i="4"/>
  <c r="F166" i="4"/>
  <c r="E166" i="4"/>
  <c r="F165" i="4"/>
  <c r="E165" i="4"/>
  <c r="F164" i="4"/>
  <c r="E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D155" i="4"/>
  <c r="E155" i="4"/>
  <c r="F155" i="4"/>
  <c r="C155" i="4"/>
  <c r="E154" i="4"/>
  <c r="F154" i="4"/>
  <c r="F153" i="4"/>
  <c r="E153" i="4"/>
  <c r="E152" i="4"/>
  <c r="F152" i="4"/>
  <c r="F151" i="4"/>
  <c r="E151" i="4"/>
  <c r="F150" i="4"/>
  <c r="E150" i="4"/>
  <c r="E149" i="4"/>
  <c r="F149" i="4"/>
  <c r="F148" i="4"/>
  <c r="E148" i="4"/>
  <c r="F147" i="4"/>
  <c r="E147" i="4"/>
  <c r="F146" i="4"/>
  <c r="E146" i="4"/>
  <c r="E145" i="4"/>
  <c r="F145" i="4"/>
  <c r="E144" i="4"/>
  <c r="F144" i="4"/>
  <c r="F143" i="4"/>
  <c r="E143" i="4"/>
  <c r="F142" i="4"/>
  <c r="E142" i="4"/>
  <c r="F141" i="4"/>
  <c r="E141" i="4"/>
  <c r="F140" i="4"/>
  <c r="E140" i="4"/>
  <c r="F139" i="4"/>
  <c r="E139" i="4"/>
  <c r="E138" i="4"/>
  <c r="F138" i="4"/>
  <c r="F137" i="4"/>
  <c r="E137" i="4"/>
  <c r="F136" i="4"/>
  <c r="E136" i="4"/>
  <c r="F135" i="4"/>
  <c r="E135" i="4"/>
  <c r="E134" i="4"/>
  <c r="F134" i="4"/>
  <c r="E133" i="4"/>
  <c r="F133" i="4"/>
  <c r="E132" i="4"/>
  <c r="F132" i="4"/>
  <c r="F131" i="4"/>
  <c r="E131" i="4"/>
  <c r="E130" i="4"/>
  <c r="F130" i="4"/>
  <c r="E129" i="4"/>
  <c r="F129" i="4"/>
  <c r="E128" i="4"/>
  <c r="F128" i="4"/>
  <c r="F127" i="4"/>
  <c r="E127" i="4"/>
  <c r="E126" i="4"/>
  <c r="F126" i="4"/>
  <c r="E125" i="4"/>
  <c r="F125" i="4"/>
  <c r="E124" i="4"/>
  <c r="F124" i="4"/>
  <c r="F123" i="4"/>
  <c r="E123" i="4"/>
  <c r="E122" i="4"/>
  <c r="F122" i="4"/>
  <c r="E121" i="4"/>
  <c r="F121" i="4"/>
  <c r="D118" i="4"/>
  <c r="E118" i="4"/>
  <c r="C118" i="4"/>
  <c r="C176" i="4"/>
  <c r="F117" i="4"/>
  <c r="E117" i="4"/>
  <c r="E116" i="4"/>
  <c r="F116" i="4"/>
  <c r="E115" i="4"/>
  <c r="F115" i="4"/>
  <c r="E114" i="4"/>
  <c r="F114" i="4"/>
  <c r="F113" i="4"/>
  <c r="E113" i="4"/>
  <c r="F112" i="4"/>
  <c r="E112" i="4"/>
  <c r="D109" i="4"/>
  <c r="E109" i="4"/>
  <c r="F109" i="4"/>
  <c r="C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F102" i="4"/>
  <c r="E102" i="4"/>
  <c r="F101" i="4"/>
  <c r="E101" i="4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F81" i="4"/>
  <c r="E81" i="4"/>
  <c r="D78" i="4"/>
  <c r="E78" i="4"/>
  <c r="F78" i="4"/>
  <c r="C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D59" i="4"/>
  <c r="E59" i="4"/>
  <c r="F59" i="4"/>
  <c r="C59" i="4"/>
  <c r="F58" i="4"/>
  <c r="E58" i="4"/>
  <c r="F57" i="4"/>
  <c r="E57" i="4"/>
  <c r="F56" i="4"/>
  <c r="E56" i="4"/>
  <c r="F55" i="4"/>
  <c r="E55" i="4"/>
  <c r="F54" i="4"/>
  <c r="E54" i="4"/>
  <c r="F53" i="4"/>
  <c r="E53" i="4"/>
  <c r="F50" i="4"/>
  <c r="E50" i="4"/>
  <c r="F47" i="4"/>
  <c r="E47" i="4"/>
  <c r="F44" i="4"/>
  <c r="E44" i="4"/>
  <c r="D41" i="4"/>
  <c r="D83" i="4"/>
  <c r="C41" i="4"/>
  <c r="F40" i="4"/>
  <c r="E40" i="4"/>
  <c r="E39" i="4"/>
  <c r="F39" i="4"/>
  <c r="E38" i="4"/>
  <c r="F38" i="4"/>
  <c r="D35" i="4"/>
  <c r="C35" i="4"/>
  <c r="E34" i="4"/>
  <c r="F34" i="4"/>
  <c r="E33" i="4"/>
  <c r="F33" i="4"/>
  <c r="D30" i="4"/>
  <c r="C30" i="4"/>
  <c r="E29" i="4"/>
  <c r="F29" i="4"/>
  <c r="E28" i="4"/>
  <c r="F28" i="4"/>
  <c r="E27" i="4"/>
  <c r="F27" i="4"/>
  <c r="D24" i="4"/>
  <c r="C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C179" i="3"/>
  <c r="E178" i="3"/>
  <c r="F178" i="3"/>
  <c r="E177" i="3"/>
  <c r="F177" i="3"/>
  <c r="E176" i="3"/>
  <c r="F176" i="3"/>
  <c r="E175" i="3"/>
  <c r="F175" i="3"/>
  <c r="F174" i="3"/>
  <c r="E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5" i="3"/>
  <c r="F165" i="3"/>
  <c r="E164" i="3"/>
  <c r="F164" i="3"/>
  <c r="E163" i="3"/>
  <c r="F163" i="3"/>
  <c r="E162" i="3"/>
  <c r="F162" i="3"/>
  <c r="F161" i="3"/>
  <c r="E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E152" i="3"/>
  <c r="F152" i="3"/>
  <c r="E151" i="3"/>
  <c r="F151" i="3"/>
  <c r="E150" i="3"/>
  <c r="F150" i="3"/>
  <c r="E149" i="3"/>
  <c r="F149" i="3"/>
  <c r="F148" i="3"/>
  <c r="E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C137" i="3"/>
  <c r="F137" i="3"/>
  <c r="E136" i="3"/>
  <c r="F136" i="3"/>
  <c r="E135" i="3"/>
  <c r="F135" i="3"/>
  <c r="E134" i="3"/>
  <c r="F134" i="3"/>
  <c r="E133" i="3"/>
  <c r="F133" i="3"/>
  <c r="F132" i="3"/>
  <c r="E132" i="3"/>
  <c r="E131" i="3"/>
  <c r="F131" i="3"/>
  <c r="E130" i="3"/>
  <c r="F130" i="3"/>
  <c r="E129" i="3"/>
  <c r="F129" i="3"/>
  <c r="E128" i="3"/>
  <c r="F128" i="3"/>
  <c r="F127" i="3"/>
  <c r="E127" i="3"/>
  <c r="F126" i="3"/>
  <c r="E126" i="3"/>
  <c r="D124" i="3"/>
  <c r="E124" i="3"/>
  <c r="F124" i="3"/>
  <c r="C124" i="3"/>
  <c r="F123" i="3"/>
  <c r="E123" i="3"/>
  <c r="F122" i="3"/>
  <c r="E122" i="3"/>
  <c r="F121" i="3"/>
  <c r="E121" i="3"/>
  <c r="F120" i="3"/>
  <c r="E120" i="3"/>
  <c r="F119" i="3"/>
  <c r="E119" i="3"/>
  <c r="F118" i="3"/>
  <c r="E118" i="3"/>
  <c r="F117" i="3"/>
  <c r="E117" i="3"/>
  <c r="F116" i="3"/>
  <c r="E116" i="3"/>
  <c r="F115" i="3"/>
  <c r="E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/>
  <c r="F94" i="3"/>
  <c r="C94" i="3"/>
  <c r="D93" i="3"/>
  <c r="E93" i="3"/>
  <c r="F93" i="3"/>
  <c r="C93" i="3"/>
  <c r="D92" i="3"/>
  <c r="E92" i="3"/>
  <c r="F92" i="3"/>
  <c r="C92" i="3"/>
  <c r="D91" i="3"/>
  <c r="E91" i="3"/>
  <c r="F91" i="3"/>
  <c r="C91" i="3"/>
  <c r="F90" i="3"/>
  <c r="D90" i="3"/>
  <c r="E90" i="3"/>
  <c r="C90" i="3"/>
  <c r="D89" i="3"/>
  <c r="E89" i="3"/>
  <c r="F89" i="3"/>
  <c r="C89" i="3"/>
  <c r="D88" i="3"/>
  <c r="E88" i="3"/>
  <c r="F88" i="3"/>
  <c r="C88" i="3"/>
  <c r="D87" i="3"/>
  <c r="E87" i="3"/>
  <c r="F87" i="3"/>
  <c r="C87" i="3"/>
  <c r="D86" i="3"/>
  <c r="E86" i="3"/>
  <c r="F86" i="3"/>
  <c r="C86" i="3"/>
  <c r="D85" i="3"/>
  <c r="E85" i="3"/>
  <c r="F85" i="3"/>
  <c r="C85" i="3"/>
  <c r="D84" i="3"/>
  <c r="D95" i="3"/>
  <c r="E95" i="3"/>
  <c r="F95" i="3"/>
  <c r="C84" i="3"/>
  <c r="C95" i="3"/>
  <c r="D81" i="3"/>
  <c r="C81" i="3"/>
  <c r="E81" i="3"/>
  <c r="E80" i="3"/>
  <c r="F80" i="3"/>
  <c r="E79" i="3"/>
  <c r="F79" i="3"/>
  <c r="E78" i="3"/>
  <c r="F78" i="3"/>
  <c r="E77" i="3"/>
  <c r="F77" i="3"/>
  <c r="F76" i="3"/>
  <c r="E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E68" i="3"/>
  <c r="E67" i="3"/>
  <c r="F67" i="3"/>
  <c r="E66" i="3"/>
  <c r="F66" i="3"/>
  <c r="E65" i="3"/>
  <c r="F65" i="3"/>
  <c r="E64" i="3"/>
  <c r="F64" i="3"/>
  <c r="F63" i="3"/>
  <c r="E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E51" i="3"/>
  <c r="D50" i="3"/>
  <c r="C50" i="3"/>
  <c r="E50" i="3"/>
  <c r="D49" i="3"/>
  <c r="C49" i="3"/>
  <c r="E49" i="3"/>
  <c r="D48" i="3"/>
  <c r="C48" i="3"/>
  <c r="E48" i="3"/>
  <c r="D47" i="3"/>
  <c r="E47" i="3"/>
  <c r="C47" i="3"/>
  <c r="F47" i="3"/>
  <c r="D46" i="3"/>
  <c r="C46" i="3"/>
  <c r="E46" i="3"/>
  <c r="D45" i="3"/>
  <c r="C45" i="3"/>
  <c r="E45" i="3"/>
  <c r="D44" i="3"/>
  <c r="C44" i="3"/>
  <c r="E44" i="3"/>
  <c r="D43" i="3"/>
  <c r="C43" i="3"/>
  <c r="E43" i="3"/>
  <c r="D42" i="3"/>
  <c r="C42" i="3"/>
  <c r="E42" i="3"/>
  <c r="D41" i="3"/>
  <c r="D52" i="3"/>
  <c r="C41" i="3"/>
  <c r="C52" i="3"/>
  <c r="D38" i="3"/>
  <c r="C38" i="3"/>
  <c r="E38" i="3"/>
  <c r="E37" i="3"/>
  <c r="F37" i="3"/>
  <c r="E36" i="3"/>
  <c r="F36" i="3"/>
  <c r="E35" i="3"/>
  <c r="F35" i="3"/>
  <c r="E34" i="3"/>
  <c r="F34" i="3"/>
  <c r="F33" i="3"/>
  <c r="E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E25" i="3"/>
  <c r="E24" i="3"/>
  <c r="F24" i="3"/>
  <c r="E23" i="3"/>
  <c r="F23" i="3"/>
  <c r="E22" i="3"/>
  <c r="F22" i="3"/>
  <c r="E21" i="3"/>
  <c r="F21" i="3"/>
  <c r="F20" i="3"/>
  <c r="E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E46" i="2"/>
  <c r="F45" i="2"/>
  <c r="E45" i="2"/>
  <c r="E44" i="2"/>
  <c r="F44" i="2"/>
  <c r="D39" i="2"/>
  <c r="C39" i="2"/>
  <c r="E39" i="2"/>
  <c r="E38" i="2"/>
  <c r="F38" i="2"/>
  <c r="E37" i="2"/>
  <c r="F37" i="2"/>
  <c r="E36" i="2"/>
  <c r="F36" i="2"/>
  <c r="D31" i="2"/>
  <c r="E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E24" i="2"/>
  <c r="F24" i="2"/>
  <c r="E23" i="2"/>
  <c r="F23" i="2"/>
  <c r="E22" i="2"/>
  <c r="F22" i="2"/>
  <c r="F18" i="2"/>
  <c r="E18" i="2"/>
  <c r="E17" i="2"/>
  <c r="F17" i="2"/>
  <c r="D16" i="2"/>
  <c r="D19" i="2"/>
  <c r="C16" i="2"/>
  <c r="C19" i="2"/>
  <c r="F15" i="2"/>
  <c r="E15" i="2"/>
  <c r="E14" i="2"/>
  <c r="F14" i="2"/>
  <c r="E13" i="2"/>
  <c r="F13" i="2"/>
  <c r="E12" i="2"/>
  <c r="F12" i="2"/>
  <c r="D73" i="1"/>
  <c r="C73" i="1"/>
  <c r="E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C61" i="1"/>
  <c r="C65" i="1"/>
  <c r="F60" i="1"/>
  <c r="E60" i="1"/>
  <c r="E59" i="1"/>
  <c r="F59" i="1"/>
  <c r="D56" i="1"/>
  <c r="C56" i="1"/>
  <c r="C75" i="1"/>
  <c r="F55" i="1"/>
  <c r="E55" i="1"/>
  <c r="E54" i="1"/>
  <c r="F54" i="1"/>
  <c r="F53" i="1"/>
  <c r="E53" i="1"/>
  <c r="F52" i="1"/>
  <c r="E52" i="1"/>
  <c r="F51" i="1"/>
  <c r="E51" i="1"/>
  <c r="E50" i="1"/>
  <c r="F50" i="1"/>
  <c r="A50" i="1"/>
  <c r="A51" i="1"/>
  <c r="A52" i="1"/>
  <c r="A53" i="1"/>
  <c r="A54" i="1"/>
  <c r="A55" i="1"/>
  <c r="F49" i="1"/>
  <c r="E49" i="1"/>
  <c r="F40" i="1"/>
  <c r="E40" i="1"/>
  <c r="D38" i="1"/>
  <c r="E38" i="1"/>
  <c r="F38" i="1"/>
  <c r="C38" i="1"/>
  <c r="C41" i="1"/>
  <c r="E37" i="1"/>
  <c r="F37" i="1"/>
  <c r="E36" i="1"/>
  <c r="F36" i="1"/>
  <c r="E33" i="1"/>
  <c r="F33" i="1"/>
  <c r="E32" i="1"/>
  <c r="F32" i="1"/>
  <c r="F31" i="1"/>
  <c r="E31" i="1"/>
  <c r="D29" i="1"/>
  <c r="C29" i="1"/>
  <c r="E29" i="1"/>
  <c r="E28" i="1"/>
  <c r="F28" i="1"/>
  <c r="E27" i="1"/>
  <c r="F27" i="1"/>
  <c r="F26" i="1"/>
  <c r="E26" i="1"/>
  <c r="E25" i="1"/>
  <c r="F25" i="1"/>
  <c r="D22" i="1"/>
  <c r="C22" i="1"/>
  <c r="C43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01" i="14"/>
  <c r="D68" i="14"/>
  <c r="D264" i="14"/>
  <c r="F47" i="14"/>
  <c r="F58" i="14"/>
  <c r="F145" i="14"/>
  <c r="C33" i="2"/>
  <c r="E65" i="8"/>
  <c r="F65" i="8"/>
  <c r="D75" i="1"/>
  <c r="E52" i="3"/>
  <c r="D21" i="10"/>
  <c r="E19" i="2"/>
  <c r="F19" i="2"/>
  <c r="D33" i="2"/>
  <c r="F52" i="3"/>
  <c r="E65" i="1"/>
  <c r="F65" i="1"/>
  <c r="E154" i="5"/>
  <c r="E157" i="5"/>
  <c r="E153" i="5"/>
  <c r="E156" i="5"/>
  <c r="E152" i="5"/>
  <c r="E158" i="5"/>
  <c r="E155" i="5"/>
  <c r="E25" i="10"/>
  <c r="E27" i="10"/>
  <c r="E15" i="10"/>
  <c r="C59" i="10"/>
  <c r="C61" i="10"/>
  <c r="C57" i="10"/>
  <c r="C48" i="10"/>
  <c r="C42" i="10"/>
  <c r="D176" i="4"/>
  <c r="E176" i="4"/>
  <c r="E22" i="1"/>
  <c r="F22" i="1"/>
  <c r="E56" i="1"/>
  <c r="F56" i="1"/>
  <c r="E61" i="1"/>
  <c r="F61" i="1"/>
  <c r="E16" i="2"/>
  <c r="F16" i="2"/>
  <c r="D15" i="5"/>
  <c r="C43" i="5"/>
  <c r="E53" i="5"/>
  <c r="D77" i="5"/>
  <c r="D71" i="5"/>
  <c r="C121" i="7"/>
  <c r="C41" i="8"/>
  <c r="E264" i="14"/>
  <c r="F264" i="14"/>
  <c r="E47" i="7"/>
  <c r="E83" i="7"/>
  <c r="F96" i="7"/>
  <c r="F107" i="7"/>
  <c r="F114" i="7"/>
  <c r="F118" i="7"/>
  <c r="C43" i="8"/>
  <c r="E61" i="8"/>
  <c r="E46" i="9"/>
  <c r="C15" i="10"/>
  <c r="C25" i="10"/>
  <c r="C27" i="10"/>
  <c r="E48" i="10"/>
  <c r="E42" i="10"/>
  <c r="E59" i="10"/>
  <c r="E61" i="10"/>
  <c r="E57" i="10"/>
  <c r="E243" i="15"/>
  <c r="C252" i="15"/>
  <c r="D41" i="1"/>
  <c r="E41" i="1"/>
  <c r="F41" i="1"/>
  <c r="C49" i="5"/>
  <c r="E57" i="5"/>
  <c r="E62" i="5"/>
  <c r="E41" i="3"/>
  <c r="F41" i="3"/>
  <c r="E41" i="4"/>
  <c r="F41" i="4"/>
  <c r="C53" i="5"/>
  <c r="E198" i="6"/>
  <c r="F198" i="6"/>
  <c r="E204" i="6"/>
  <c r="F204" i="6"/>
  <c r="F206" i="6"/>
  <c r="F23" i="7"/>
  <c r="E36" i="7"/>
  <c r="F36" i="7"/>
  <c r="E48" i="7"/>
  <c r="E60" i="7"/>
  <c r="E72" i="7"/>
  <c r="E84" i="7"/>
  <c r="E95" i="7"/>
  <c r="F95" i="7"/>
  <c r="F108" i="7"/>
  <c r="E113" i="7"/>
  <c r="F113" i="7"/>
  <c r="F115" i="7"/>
  <c r="E117" i="7"/>
  <c r="F117" i="7"/>
  <c r="F119" i="7"/>
  <c r="C122" i="7"/>
  <c r="E38" i="8"/>
  <c r="F38" i="8"/>
  <c r="E31" i="9"/>
  <c r="F31" i="9"/>
  <c r="E39" i="9"/>
  <c r="F39" i="9"/>
  <c r="G33" i="11"/>
  <c r="G36" i="11"/>
  <c r="G38" i="11"/>
  <c r="G40" i="11"/>
  <c r="E30" i="12"/>
  <c r="E45" i="12"/>
  <c r="F65" i="12"/>
  <c r="E75" i="12"/>
  <c r="F75" i="12"/>
  <c r="E84" i="12"/>
  <c r="F84" i="12"/>
  <c r="E205" i="6"/>
  <c r="F205" i="6"/>
  <c r="F207" i="6"/>
  <c r="F24" i="7"/>
  <c r="F35" i="7"/>
  <c r="F112" i="7"/>
  <c r="F116" i="7"/>
  <c r="F120" i="7"/>
  <c r="E22" i="8"/>
  <c r="F22" i="8"/>
  <c r="E29" i="8"/>
  <c r="F29" i="8"/>
  <c r="E56" i="8"/>
  <c r="F56" i="8"/>
  <c r="F61" i="8"/>
  <c r="F73" i="8"/>
  <c r="E16" i="9"/>
  <c r="F16" i="9"/>
  <c r="C19" i="9"/>
  <c r="F16" i="12"/>
  <c r="F23" i="12"/>
  <c r="F37" i="12"/>
  <c r="E50" i="12"/>
  <c r="E70" i="12"/>
  <c r="F70" i="12"/>
  <c r="F92" i="12"/>
  <c r="E99" i="12"/>
  <c r="F99" i="12"/>
  <c r="E13" i="13"/>
  <c r="F13" i="13"/>
  <c r="E17" i="13"/>
  <c r="F17" i="13"/>
  <c r="E21" i="13"/>
  <c r="F21" i="13"/>
  <c r="D55" i="15"/>
  <c r="E55" i="15"/>
  <c r="E54" i="15"/>
  <c r="C163" i="15"/>
  <c r="C156" i="15"/>
  <c r="C157" i="15"/>
  <c r="D189" i="15"/>
  <c r="D261" i="15"/>
  <c r="E261" i="15"/>
  <c r="E188" i="15"/>
  <c r="E205" i="15"/>
  <c r="D210" i="15"/>
  <c r="E218" i="15"/>
  <c r="D217" i="15"/>
  <c r="E278" i="14"/>
  <c r="F278" i="14"/>
  <c r="E30" i="14"/>
  <c r="F30" i="14"/>
  <c r="E36" i="14"/>
  <c r="F36" i="14"/>
  <c r="E48" i="14"/>
  <c r="E59" i="14"/>
  <c r="F59" i="14"/>
  <c r="C68" i="14"/>
  <c r="C90" i="14"/>
  <c r="E94" i="14"/>
  <c r="F94" i="14"/>
  <c r="E102" i="14"/>
  <c r="F102" i="14"/>
  <c r="C111" i="14"/>
  <c r="C124" i="14"/>
  <c r="C125" i="14"/>
  <c r="F130" i="14"/>
  <c r="F172" i="14"/>
  <c r="E179" i="14"/>
  <c r="C194" i="14"/>
  <c r="C196" i="14"/>
  <c r="F227" i="14"/>
  <c r="E237" i="14"/>
  <c r="C274" i="14"/>
  <c r="C300" i="14"/>
  <c r="F283" i="14"/>
  <c r="C290" i="14"/>
  <c r="F297" i="14"/>
  <c r="E22" i="15"/>
  <c r="C44" i="15"/>
  <c r="C234" i="15"/>
  <c r="E20" i="17"/>
  <c r="F20" i="17"/>
  <c r="E40" i="17"/>
  <c r="C207" i="14"/>
  <c r="E137" i="14"/>
  <c r="F137" i="14"/>
  <c r="C285" i="14"/>
  <c r="C288" i="14"/>
  <c r="E204" i="14"/>
  <c r="F204" i="14"/>
  <c r="E156" i="15"/>
  <c r="D157" i="15"/>
  <c r="C108" i="19"/>
  <c r="C109" i="19"/>
  <c r="D209" i="14"/>
  <c r="D104" i="14"/>
  <c r="D174" i="14"/>
  <c r="D254" i="14"/>
  <c r="F24" i="14"/>
  <c r="F44" i="14"/>
  <c r="F53" i="14"/>
  <c r="F67" i="14"/>
  <c r="F89" i="14"/>
  <c r="C91" i="14"/>
  <c r="F100" i="14"/>
  <c r="F110" i="14"/>
  <c r="F135" i="14"/>
  <c r="F155" i="14"/>
  <c r="C161" i="14"/>
  <c r="C190" i="14"/>
  <c r="C192" i="14"/>
  <c r="C199" i="14"/>
  <c r="C206" i="14"/>
  <c r="C215" i="14"/>
  <c r="C261" i="14"/>
  <c r="C279" i="14"/>
  <c r="E163" i="15"/>
  <c r="E219" i="15"/>
  <c r="C283" i="15"/>
  <c r="C316" i="15"/>
  <c r="C320" i="15"/>
  <c r="E320" i="15"/>
  <c r="F40" i="17"/>
  <c r="C146" i="14"/>
  <c r="F144" i="14"/>
  <c r="D71" i="15"/>
  <c r="D65" i="15"/>
  <c r="D294" i="15"/>
  <c r="D289" i="15"/>
  <c r="E60" i="15"/>
  <c r="D144" i="15"/>
  <c r="D175" i="15"/>
  <c r="E175" i="15"/>
  <c r="E139" i="15"/>
  <c r="E231" i="15"/>
  <c r="C37" i="16"/>
  <c r="C38" i="16"/>
  <c r="C127" i="16"/>
  <c r="C129" i="16"/>
  <c r="C133" i="16"/>
  <c r="C22" i="16"/>
  <c r="D175" i="14"/>
  <c r="D62" i="14"/>
  <c r="D210" i="14"/>
  <c r="D105" i="14"/>
  <c r="F17" i="11"/>
  <c r="E21" i="14"/>
  <c r="F21" i="14"/>
  <c r="C31" i="14"/>
  <c r="F35" i="14"/>
  <c r="C37" i="14"/>
  <c r="C49" i="14"/>
  <c r="C60" i="14"/>
  <c r="C103" i="14"/>
  <c r="E123" i="14"/>
  <c r="F123" i="14"/>
  <c r="F158" i="14"/>
  <c r="F164" i="14"/>
  <c r="C173" i="14"/>
  <c r="E188" i="14"/>
  <c r="F188" i="14"/>
  <c r="E191" i="14"/>
  <c r="F191" i="14"/>
  <c r="C195" i="14"/>
  <c r="F198" i="14"/>
  <c r="F230" i="14"/>
  <c r="C254" i="14"/>
  <c r="C266" i="14"/>
  <c r="C265" i="14"/>
  <c r="C284" i="14"/>
  <c r="F307" i="14"/>
  <c r="D283" i="15"/>
  <c r="E283" i="15"/>
  <c r="E151" i="15"/>
  <c r="E195" i="15"/>
  <c r="E215" i="15"/>
  <c r="C253" i="15"/>
  <c r="D240" i="15"/>
  <c r="E240" i="15"/>
  <c r="D242" i="15"/>
  <c r="E242" i="15"/>
  <c r="D244" i="15"/>
  <c r="E244" i="15"/>
  <c r="E260" i="15"/>
  <c r="D303" i="15"/>
  <c r="D41" i="17"/>
  <c r="E290" i="14"/>
  <c r="D33" i="15"/>
  <c r="E32" i="15"/>
  <c r="E251" i="15"/>
  <c r="C45" i="19"/>
  <c r="C39" i="19"/>
  <c r="C35" i="19"/>
  <c r="C29" i="19"/>
  <c r="C110" i="19"/>
  <c r="C53" i="19"/>
  <c r="E109" i="19"/>
  <c r="E108" i="19"/>
  <c r="F48" i="14"/>
  <c r="C138" i="14"/>
  <c r="F179" i="14"/>
  <c r="C200" i="14"/>
  <c r="C214" i="14"/>
  <c r="F237" i="14"/>
  <c r="C269" i="14"/>
  <c r="C280" i="14"/>
  <c r="C235" i="15"/>
  <c r="D222" i="15"/>
  <c r="D223" i="15"/>
  <c r="E229" i="15"/>
  <c r="D284" i="15"/>
  <c r="E284" i="15"/>
  <c r="D330" i="15"/>
  <c r="E330" i="15"/>
  <c r="C41" i="17"/>
  <c r="E181" i="14"/>
  <c r="F181" i="14"/>
  <c r="E239" i="14"/>
  <c r="F239" i="14"/>
  <c r="C33" i="19"/>
  <c r="D34" i="19"/>
  <c r="C101" i="19"/>
  <c r="C103" i="19"/>
  <c r="D102" i="19"/>
  <c r="D103" i="19"/>
  <c r="D125" i="14"/>
  <c r="D138" i="14"/>
  <c r="E138" i="14"/>
  <c r="D161" i="14"/>
  <c r="D267" i="14"/>
  <c r="D277" i="14"/>
  <c r="D285" i="14"/>
  <c r="E285" i="14"/>
  <c r="F285" i="14"/>
  <c r="D306" i="14"/>
  <c r="D22" i="19"/>
  <c r="D160" i="14"/>
  <c r="E160" i="14"/>
  <c r="F160" i="14"/>
  <c r="D192" i="14"/>
  <c r="D200" i="14"/>
  <c r="D206" i="14"/>
  <c r="E206" i="14"/>
  <c r="D262" i="14"/>
  <c r="D274" i="14"/>
  <c r="E274" i="14"/>
  <c r="F274" i="14"/>
  <c r="C222" i="15"/>
  <c r="E19" i="17"/>
  <c r="F19" i="17"/>
  <c r="E39" i="17"/>
  <c r="E43" i="17"/>
  <c r="D23" i="19"/>
  <c r="D49" i="14"/>
  <c r="D91" i="14"/>
  <c r="D199" i="14"/>
  <c r="E199" i="14"/>
  <c r="D205" i="14"/>
  <c r="E205" i="14"/>
  <c r="F205" i="14"/>
  <c r="D215" i="14"/>
  <c r="D261" i="14"/>
  <c r="D190" i="14"/>
  <c r="E190" i="14"/>
  <c r="D92" i="14"/>
  <c r="E91" i="14"/>
  <c r="E33" i="15"/>
  <c r="D268" i="14"/>
  <c r="D271" i="14"/>
  <c r="D263" i="14"/>
  <c r="E261" i="14"/>
  <c r="D272" i="14"/>
  <c r="D193" i="14"/>
  <c r="E192" i="14"/>
  <c r="D162" i="14"/>
  <c r="E161" i="14"/>
  <c r="E222" i="15"/>
  <c r="D246" i="15"/>
  <c r="F269" i="14"/>
  <c r="E269" i="14"/>
  <c r="C270" i="14"/>
  <c r="E173" i="14"/>
  <c r="F173" i="14"/>
  <c r="E103" i="14"/>
  <c r="F103" i="14"/>
  <c r="D106" i="14"/>
  <c r="D176" i="14"/>
  <c r="C271" i="14"/>
  <c r="F261" i="14"/>
  <c r="C268" i="14"/>
  <c r="C258" i="15"/>
  <c r="C98" i="15"/>
  <c r="C87" i="15"/>
  <c r="C83" i="15"/>
  <c r="C100" i="15"/>
  <c r="C96" i="15"/>
  <c r="C102" i="15"/>
  <c r="C103" i="15"/>
  <c r="C89" i="15"/>
  <c r="C85" i="15"/>
  <c r="C99" i="15"/>
  <c r="C88" i="15"/>
  <c r="C97" i="15"/>
  <c r="C86" i="15"/>
  <c r="C95" i="15"/>
  <c r="C84" i="15"/>
  <c r="C90" i="15"/>
  <c r="C91" i="15"/>
  <c r="C105" i="15"/>
  <c r="C101" i="15"/>
  <c r="D234" i="15"/>
  <c r="E234" i="15"/>
  <c r="E210" i="15"/>
  <c r="D211" i="15"/>
  <c r="E41" i="8"/>
  <c r="F41" i="8"/>
  <c r="D24" i="5"/>
  <c r="D20" i="5"/>
  <c r="D17" i="5"/>
  <c r="E21" i="10"/>
  <c r="F138" i="14"/>
  <c r="D252" i="15"/>
  <c r="F192" i="14"/>
  <c r="E157" i="15"/>
  <c r="D300" i="14"/>
  <c r="E300" i="14"/>
  <c r="F300" i="14"/>
  <c r="E316" i="15"/>
  <c r="F290" i="14"/>
  <c r="D288" i="14"/>
  <c r="E288" i="14"/>
  <c r="C216" i="14"/>
  <c r="E37" i="14"/>
  <c r="F37" i="14"/>
  <c r="D168" i="15"/>
  <c r="D145" i="15"/>
  <c r="D180" i="15"/>
  <c r="D76" i="15"/>
  <c r="E71" i="15"/>
  <c r="F161" i="14"/>
  <c r="C162" i="14"/>
  <c r="E254" i="14"/>
  <c r="E207" i="14"/>
  <c r="F207" i="14"/>
  <c r="C208" i="14"/>
  <c r="C33" i="9"/>
  <c r="E24" i="10"/>
  <c r="E20" i="10"/>
  <c r="E17" i="10"/>
  <c r="E28" i="10"/>
  <c r="C41" i="2"/>
  <c r="D286" i="14"/>
  <c r="F199" i="14"/>
  <c r="D139" i="14"/>
  <c r="E19" i="9"/>
  <c r="F19" i="9"/>
  <c r="C223" i="15"/>
  <c r="D43" i="1"/>
  <c r="E43" i="1"/>
  <c r="F43" i="1"/>
  <c r="E41" i="17"/>
  <c r="F41" i="17"/>
  <c r="F39" i="17"/>
  <c r="D53" i="19"/>
  <c r="D45" i="19"/>
  <c r="D39" i="19"/>
  <c r="D35" i="19"/>
  <c r="D29" i="19"/>
  <c r="D270" i="14"/>
  <c r="E270" i="14"/>
  <c r="F270" i="14"/>
  <c r="E267" i="14"/>
  <c r="F267" i="14"/>
  <c r="C281" i="14"/>
  <c r="E280" i="14"/>
  <c r="F280" i="14"/>
  <c r="D50" i="14"/>
  <c r="E49" i="14"/>
  <c r="F43" i="17"/>
  <c r="D287" i="14"/>
  <c r="D279" i="14"/>
  <c r="E279" i="14"/>
  <c r="F279" i="14"/>
  <c r="D284" i="14"/>
  <c r="E284" i="14"/>
  <c r="F284" i="14"/>
  <c r="E277" i="14"/>
  <c r="F277" i="14"/>
  <c r="C112" i="19"/>
  <c r="C55" i="19"/>
  <c r="C47" i="19"/>
  <c r="C37" i="19"/>
  <c r="D306" i="15"/>
  <c r="F254" i="14"/>
  <c r="C50" i="14"/>
  <c r="F49" i="14"/>
  <c r="D63" i="14"/>
  <c r="D66" i="15"/>
  <c r="F91" i="14"/>
  <c r="C92" i="14"/>
  <c r="E111" i="14"/>
  <c r="F111" i="14"/>
  <c r="E68" i="14"/>
  <c r="F68" i="14"/>
  <c r="D241" i="15"/>
  <c r="E241" i="15"/>
  <c r="E217" i="15"/>
  <c r="C17" i="10"/>
  <c r="C28" i="10"/>
  <c r="C24" i="10"/>
  <c r="F121" i="7"/>
  <c r="E121" i="7"/>
  <c r="E33" i="2"/>
  <c r="F33" i="2"/>
  <c r="D41" i="2"/>
  <c r="D140" i="14"/>
  <c r="E200" i="14"/>
  <c r="F200" i="14"/>
  <c r="F206" i="14"/>
  <c r="E214" i="14"/>
  <c r="F214" i="14"/>
  <c r="C304" i="14"/>
  <c r="E43" i="8"/>
  <c r="F43" i="8"/>
  <c r="D255" i="14"/>
  <c r="E215" i="14"/>
  <c r="F215" i="14"/>
  <c r="D46" i="19"/>
  <c r="D40" i="19"/>
  <c r="D36" i="19"/>
  <c r="D30" i="19"/>
  <c r="D54" i="19"/>
  <c r="C61" i="14"/>
  <c r="E60" i="14"/>
  <c r="F60" i="14"/>
  <c r="C32" i="14"/>
  <c r="E31" i="14"/>
  <c r="F31" i="14"/>
  <c r="D211" i="14"/>
  <c r="E146" i="14"/>
  <c r="F146" i="14"/>
  <c r="C286" i="14"/>
  <c r="E124" i="14"/>
  <c r="F124" i="14"/>
  <c r="E90" i="14"/>
  <c r="F90" i="14"/>
  <c r="C20" i="10"/>
  <c r="C21" i="10"/>
  <c r="F190" i="14"/>
  <c r="D216" i="14"/>
  <c r="E216" i="14"/>
  <c r="F216" i="14"/>
  <c r="D253" i="15"/>
  <c r="E253" i="15"/>
  <c r="C254" i="15"/>
  <c r="C126" i="14"/>
  <c r="E122" i="7"/>
  <c r="F122" i="7"/>
  <c r="C140" i="14"/>
  <c r="E32" i="14"/>
  <c r="F32" i="14"/>
  <c r="C175" i="14"/>
  <c r="C210" i="14"/>
  <c r="C105" i="14"/>
  <c r="C62" i="14"/>
  <c r="D141" i="14"/>
  <c r="E140" i="14"/>
  <c r="C174" i="14"/>
  <c r="C104" i="14"/>
  <c r="C209" i="14"/>
  <c r="E61" i="14"/>
  <c r="F61" i="14"/>
  <c r="C139" i="14"/>
  <c r="D310" i="15"/>
  <c r="D47" i="19"/>
  <c r="D37" i="19"/>
  <c r="D55" i="19"/>
  <c r="C48" i="2"/>
  <c r="E208" i="14"/>
  <c r="F208" i="14"/>
  <c r="D77" i="15"/>
  <c r="D112" i="5"/>
  <c r="D111" i="5"/>
  <c r="D28" i="5"/>
  <c r="E211" i="15"/>
  <c r="D235" i="15"/>
  <c r="E235" i="15"/>
  <c r="D183" i="14"/>
  <c r="D323" i="14"/>
  <c r="E162" i="14"/>
  <c r="F162" i="14"/>
  <c r="E139" i="14"/>
  <c r="E268" i="14"/>
  <c r="D56" i="19"/>
  <c r="D48" i="19"/>
  <c r="D38" i="19"/>
  <c r="C127" i="14"/>
  <c r="E126" i="14"/>
  <c r="F126" i="14"/>
  <c r="D48" i="2"/>
  <c r="E48" i="2"/>
  <c r="F48" i="2"/>
  <c r="E41" i="2"/>
  <c r="F41" i="2"/>
  <c r="D181" i="15"/>
  <c r="D169" i="15"/>
  <c r="E252" i="15"/>
  <c r="D254" i="15"/>
  <c r="E254" i="15"/>
  <c r="D304" i="14"/>
  <c r="D273" i="14"/>
  <c r="E271" i="14"/>
  <c r="F271" i="14"/>
  <c r="E286" i="14"/>
  <c r="F286" i="14"/>
  <c r="D291" i="14"/>
  <c r="D289" i="14"/>
  <c r="E287" i="14"/>
  <c r="F287" i="14"/>
  <c r="D70" i="14"/>
  <c r="E50" i="14"/>
  <c r="F50" i="14"/>
  <c r="C41" i="9"/>
  <c r="E33" i="9"/>
  <c r="F33" i="9"/>
  <c r="D194" i="14"/>
  <c r="E193" i="14"/>
  <c r="F193" i="14"/>
  <c r="D282" i="14"/>
  <c r="D266" i="14"/>
  <c r="D324" i="14"/>
  <c r="D113" i="14"/>
  <c r="E92" i="14"/>
  <c r="F92" i="14"/>
  <c r="F268" i="14"/>
  <c r="D295" i="15"/>
  <c r="E266" i="14"/>
  <c r="F266" i="14"/>
  <c r="D265" i="14"/>
  <c r="D305" i="14"/>
  <c r="E194" i="14"/>
  <c r="F194" i="14"/>
  <c r="D196" i="14"/>
  <c r="D195" i="14"/>
  <c r="E195" i="14"/>
  <c r="F195" i="14"/>
  <c r="E104" i="14"/>
  <c r="F104" i="14"/>
  <c r="E210" i="14"/>
  <c r="F210" i="14"/>
  <c r="F140" i="14"/>
  <c r="C141" i="14"/>
  <c r="C48" i="9"/>
  <c r="E41" i="9"/>
  <c r="F41" i="9"/>
  <c r="E304" i="14"/>
  <c r="F304" i="14"/>
  <c r="D99" i="5"/>
  <c r="D101" i="5"/>
  <c r="D98" i="5"/>
  <c r="D22" i="5"/>
  <c r="E209" i="14"/>
  <c r="F209" i="14"/>
  <c r="C106" i="14"/>
  <c r="E105" i="14"/>
  <c r="F105" i="14"/>
  <c r="E282" i="14"/>
  <c r="F282" i="14"/>
  <c r="D281" i="14"/>
  <c r="E281" i="14"/>
  <c r="F281" i="14"/>
  <c r="C197" i="14"/>
  <c r="C148" i="14"/>
  <c r="E127" i="14"/>
  <c r="F127" i="14"/>
  <c r="C63" i="14"/>
  <c r="E62" i="14"/>
  <c r="F62" i="14"/>
  <c r="C176" i="14"/>
  <c r="F175" i="14"/>
  <c r="E175" i="14"/>
  <c r="D126" i="15"/>
  <c r="D122" i="15"/>
  <c r="D115" i="15"/>
  <c r="D111" i="15"/>
  <c r="D124" i="15"/>
  <c r="D113" i="15"/>
  <c r="D109" i="15"/>
  <c r="D127" i="15"/>
  <c r="D125" i="15"/>
  <c r="D114" i="15"/>
  <c r="D123" i="15"/>
  <c r="D112" i="15"/>
  <c r="D121" i="15"/>
  <c r="D110" i="15"/>
  <c r="E174" i="14"/>
  <c r="F174" i="14"/>
  <c r="D322" i="14"/>
  <c r="D325" i="14"/>
  <c r="E325" i="14"/>
  <c r="F325" i="14"/>
  <c r="E141" i="14"/>
  <c r="D148" i="14"/>
  <c r="E148" i="14"/>
  <c r="F139" i="14"/>
  <c r="C70" i="14"/>
  <c r="E63" i="14"/>
  <c r="F63" i="14"/>
  <c r="F148" i="14"/>
  <c r="D128" i="15"/>
  <c r="D116" i="15"/>
  <c r="D117" i="15"/>
  <c r="C183" i="14"/>
  <c r="E176" i="14"/>
  <c r="F176" i="14"/>
  <c r="C323" i="14"/>
  <c r="C324" i="14"/>
  <c r="E106" i="14"/>
  <c r="F106" i="14"/>
  <c r="C113" i="14"/>
  <c r="E48" i="9"/>
  <c r="F48" i="9"/>
  <c r="C211" i="14"/>
  <c r="C322" i="14"/>
  <c r="F141" i="14"/>
  <c r="D309" i="14"/>
  <c r="E322" i="14"/>
  <c r="D197" i="14"/>
  <c r="E197" i="14"/>
  <c r="F197" i="14"/>
  <c r="E196" i="14"/>
  <c r="F196" i="14"/>
  <c r="D310" i="14"/>
  <c r="C325" i="14"/>
  <c r="E324" i="14"/>
  <c r="F324" i="14"/>
  <c r="E183" i="14"/>
  <c r="F183" i="14"/>
  <c r="E70" i="14"/>
  <c r="F70" i="14"/>
  <c r="E211" i="14"/>
  <c r="F211" i="14"/>
  <c r="E113" i="14"/>
  <c r="F113" i="14"/>
  <c r="E323" i="14"/>
  <c r="F323" i="14"/>
  <c r="F322" i="14"/>
  <c r="D129" i="15"/>
  <c r="D312" i="14"/>
  <c r="D131" i="15"/>
  <c r="D313" i="14"/>
  <c r="D314" i="14"/>
  <c r="D315" i="14"/>
  <c r="D251" i="14"/>
  <c r="D256" i="14"/>
  <c r="D318" i="14"/>
  <c r="D257" i="14"/>
  <c r="C70" i="10"/>
  <c r="C72" i="10"/>
  <c r="C69" i="10"/>
  <c r="C22" i="10"/>
  <c r="E22" i="10"/>
  <c r="E70" i="10"/>
  <c r="E72" i="10"/>
  <c r="E69" i="10"/>
  <c r="E265" i="14"/>
  <c r="F265" i="14"/>
  <c r="C289" i="14"/>
  <c r="C291" i="14"/>
  <c r="F288" i="14"/>
  <c r="E125" i="14"/>
  <c r="F125" i="14"/>
  <c r="D247" i="15"/>
  <c r="E223" i="15"/>
  <c r="E75" i="1"/>
  <c r="F31" i="2"/>
  <c r="F176" i="4"/>
  <c r="C21" i="5"/>
  <c r="C139" i="5"/>
  <c r="C138" i="5"/>
  <c r="C140" i="5"/>
  <c r="C135" i="5"/>
  <c r="C137" i="5"/>
  <c r="C136" i="5"/>
  <c r="C152" i="5"/>
  <c r="C154" i="5"/>
  <c r="C153" i="5"/>
  <c r="C156" i="5"/>
  <c r="C155" i="5"/>
  <c r="C157" i="5"/>
  <c r="D157" i="5"/>
  <c r="D156" i="5"/>
  <c r="D154" i="5"/>
  <c r="D153" i="5"/>
  <c r="D152" i="5"/>
  <c r="D155" i="5"/>
  <c r="F75" i="1"/>
  <c r="E21" i="5"/>
  <c r="E137" i="5"/>
  <c r="E140" i="5"/>
  <c r="E135" i="5"/>
  <c r="E138" i="5"/>
  <c r="E136" i="5"/>
  <c r="E139" i="5"/>
  <c r="D136" i="5"/>
  <c r="D135" i="5"/>
  <c r="D137" i="5"/>
  <c r="D140" i="5"/>
  <c r="D139" i="5"/>
  <c r="D138" i="5"/>
  <c r="F29" i="1"/>
  <c r="F73" i="1"/>
  <c r="F39" i="2"/>
  <c r="F46" i="2"/>
  <c r="F25" i="3"/>
  <c r="F38" i="3"/>
  <c r="F42" i="3"/>
  <c r="F43" i="3"/>
  <c r="F44" i="3"/>
  <c r="F45" i="3"/>
  <c r="F46" i="3"/>
  <c r="F48" i="3"/>
  <c r="F49" i="3"/>
  <c r="F50" i="3"/>
  <c r="F51" i="3"/>
  <c r="F68" i="3"/>
  <c r="F81" i="3"/>
  <c r="E84" i="3"/>
  <c r="F84" i="3"/>
  <c r="E153" i="3"/>
  <c r="F153" i="3"/>
  <c r="E166" i="3"/>
  <c r="F166" i="3"/>
  <c r="E179" i="3"/>
  <c r="F179" i="3"/>
  <c r="E18" i="4"/>
  <c r="F18" i="4"/>
  <c r="E24" i="4"/>
  <c r="F24" i="4"/>
  <c r="E30" i="4"/>
  <c r="F30" i="4"/>
  <c r="E35" i="4"/>
  <c r="F35" i="4"/>
  <c r="C83" i="4"/>
  <c r="E83" i="4"/>
  <c r="F118" i="4"/>
  <c r="C15" i="5"/>
  <c r="E15" i="5"/>
  <c r="D49" i="5"/>
  <c r="D53" i="5"/>
  <c r="C77" i="5"/>
  <c r="C71" i="5"/>
  <c r="E77" i="5"/>
  <c r="E71" i="5"/>
  <c r="F23" i="6"/>
  <c r="F24" i="6"/>
  <c r="F36" i="6"/>
  <c r="F37" i="6"/>
  <c r="F49" i="6"/>
  <c r="F50" i="6"/>
  <c r="D57" i="5"/>
  <c r="D62" i="5"/>
  <c r="E43" i="5"/>
  <c r="E62" i="6"/>
  <c r="F62" i="6"/>
  <c r="E63" i="6"/>
  <c r="F63" i="6"/>
  <c r="E75" i="6"/>
  <c r="F75" i="6"/>
  <c r="E76" i="6"/>
  <c r="F76" i="6"/>
  <c r="E101" i="6"/>
  <c r="F101" i="6"/>
  <c r="E102" i="6"/>
  <c r="F102" i="6"/>
  <c r="E114" i="6"/>
  <c r="F114" i="6"/>
  <c r="E115" i="6"/>
  <c r="F115" i="6"/>
  <c r="E127" i="6"/>
  <c r="F127" i="6"/>
  <c r="E128" i="6"/>
  <c r="F128" i="6"/>
  <c r="E140" i="6"/>
  <c r="F140" i="6"/>
  <c r="E141" i="6"/>
  <c r="F141" i="6"/>
  <c r="E153" i="6"/>
  <c r="F153" i="6"/>
  <c r="E154" i="6"/>
  <c r="F154" i="6"/>
  <c r="E192" i="6"/>
  <c r="F192" i="6"/>
  <c r="F193" i="6"/>
  <c r="E208" i="6"/>
  <c r="F208" i="6"/>
  <c r="D75" i="8"/>
  <c r="E75" i="8"/>
  <c r="F75" i="8"/>
  <c r="F59" i="7"/>
  <c r="D33" i="11"/>
  <c r="F55" i="12"/>
  <c r="F95" i="14"/>
  <c r="F109" i="14"/>
  <c r="F159" i="14"/>
  <c r="E171" i="14"/>
  <c r="F171" i="14"/>
  <c r="E189" i="14"/>
  <c r="F189" i="14"/>
  <c r="E203" i="14"/>
  <c r="F203" i="14"/>
  <c r="E229" i="14"/>
  <c r="F229" i="14"/>
  <c r="F238" i="14"/>
  <c r="C306" i="14"/>
  <c r="E306" i="14"/>
  <c r="F250" i="14"/>
  <c r="C262" i="14"/>
  <c r="F294" i="14"/>
  <c r="E295" i="14"/>
  <c r="F295" i="14"/>
  <c r="E296" i="14"/>
  <c r="F296" i="14"/>
  <c r="F298" i="14"/>
  <c r="E299" i="14"/>
  <c r="F299" i="14"/>
  <c r="E21" i="15"/>
  <c r="D15" i="10"/>
  <c r="E76" i="14"/>
  <c r="F76" i="14"/>
  <c r="E88" i="14"/>
  <c r="F88" i="14"/>
  <c r="C255" i="14"/>
  <c r="C76" i="15"/>
  <c r="E76" i="15"/>
  <c r="E239" i="15"/>
  <c r="C65" i="16"/>
  <c r="C114" i="16"/>
  <c r="C116" i="16"/>
  <c r="C119" i="16"/>
  <c r="C123" i="16"/>
  <c r="D43" i="15"/>
  <c r="C65" i="15"/>
  <c r="C144" i="15"/>
  <c r="C189" i="15"/>
  <c r="E189" i="15"/>
  <c r="C289" i="15"/>
  <c r="E289" i="15"/>
  <c r="C302" i="15"/>
  <c r="C303" i="15"/>
  <c r="C49" i="16"/>
  <c r="E44" i="17"/>
  <c r="E46" i="17"/>
  <c r="F46" i="17"/>
  <c r="E45" i="17"/>
  <c r="F45" i="17"/>
  <c r="E22" i="19"/>
  <c r="C23" i="19"/>
  <c r="E23" i="19"/>
  <c r="D77" i="19"/>
  <c r="E69" i="15"/>
  <c r="E221" i="15"/>
  <c r="E101" i="19"/>
  <c r="E103" i="19"/>
  <c r="C306" i="15"/>
  <c r="E303" i="15"/>
  <c r="C66" i="15"/>
  <c r="E65" i="15"/>
  <c r="C294" i="15"/>
  <c r="E294" i="15"/>
  <c r="C77" i="15"/>
  <c r="D24" i="10"/>
  <c r="D20" i="10"/>
  <c r="D17" i="10"/>
  <c r="D28" i="10"/>
  <c r="E24" i="5"/>
  <c r="E20" i="5"/>
  <c r="E17" i="5"/>
  <c r="E141" i="5"/>
  <c r="D158" i="5"/>
  <c r="C158" i="5"/>
  <c r="C305" i="14"/>
  <c r="E291" i="14"/>
  <c r="F291" i="14"/>
  <c r="E54" i="19"/>
  <c r="E36" i="19"/>
  <c r="E46" i="19"/>
  <c r="E111" i="19"/>
  <c r="E30" i="19"/>
  <c r="E40" i="19"/>
  <c r="E110" i="19"/>
  <c r="E35" i="19"/>
  <c r="E45" i="19"/>
  <c r="E29" i="19"/>
  <c r="E39" i="19"/>
  <c r="E53" i="19"/>
  <c r="D109" i="19"/>
  <c r="D110" i="19"/>
  <c r="D113" i="19"/>
  <c r="D108" i="19"/>
  <c r="D111" i="19"/>
  <c r="D112" i="19"/>
  <c r="C46" i="19"/>
  <c r="C111" i="19"/>
  <c r="C30" i="19"/>
  <c r="C40" i="19"/>
  <c r="C54" i="19"/>
  <c r="C36" i="19"/>
  <c r="C180" i="15"/>
  <c r="E180" i="15"/>
  <c r="C168" i="15"/>
  <c r="E168" i="15"/>
  <c r="E144" i="15"/>
  <c r="C145" i="15"/>
  <c r="D44" i="15"/>
  <c r="E43" i="15"/>
  <c r="D259" i="15"/>
  <c r="F44" i="17"/>
  <c r="E302" i="15"/>
  <c r="E255" i="14"/>
  <c r="F255" i="14"/>
  <c r="C259" i="15"/>
  <c r="C263" i="15"/>
  <c r="C264" i="15"/>
  <c r="C266" i="15"/>
  <c r="C267" i="15"/>
  <c r="C272" i="14"/>
  <c r="E262" i="14"/>
  <c r="F262" i="14"/>
  <c r="C263" i="14"/>
  <c r="F33" i="11"/>
  <c r="F36" i="11"/>
  <c r="F38" i="11"/>
  <c r="F40" i="11"/>
  <c r="D36" i="11"/>
  <c r="D38" i="11"/>
  <c r="D40" i="11"/>
  <c r="C24" i="5"/>
  <c r="C20" i="5"/>
  <c r="C17" i="5"/>
  <c r="F83" i="4"/>
  <c r="D141" i="5"/>
  <c r="C141" i="5"/>
  <c r="F289" i="14"/>
  <c r="E289" i="14"/>
  <c r="C246" i="15"/>
  <c r="E246" i="15"/>
  <c r="E263" i="14"/>
  <c r="F263" i="14"/>
  <c r="C273" i="14"/>
  <c r="E272" i="14"/>
  <c r="F272" i="14"/>
  <c r="C269" i="15"/>
  <c r="C268" i="15"/>
  <c r="C271" i="15"/>
  <c r="C181" i="15"/>
  <c r="E181" i="15"/>
  <c r="C169" i="15"/>
  <c r="E169" i="15"/>
  <c r="E145" i="15"/>
  <c r="E37" i="19"/>
  <c r="E55" i="19"/>
  <c r="E47" i="19"/>
  <c r="E112" i="19"/>
  <c r="C309" i="14"/>
  <c r="E305" i="14"/>
  <c r="F305" i="14"/>
  <c r="E112" i="5"/>
  <c r="E111" i="5"/>
  <c r="E28" i="5"/>
  <c r="D70" i="10"/>
  <c r="D72" i="10"/>
  <c r="D69" i="10"/>
  <c r="D22" i="10"/>
  <c r="C125" i="15"/>
  <c r="E125" i="15"/>
  <c r="C114" i="15"/>
  <c r="E114" i="15"/>
  <c r="C123" i="15"/>
  <c r="E123" i="15"/>
  <c r="C122" i="15"/>
  <c r="C111" i="15"/>
  <c r="E111" i="15"/>
  <c r="C115" i="15"/>
  <c r="E115" i="15"/>
  <c r="C113" i="15"/>
  <c r="E113" i="15"/>
  <c r="C110" i="15"/>
  <c r="C112" i="15"/>
  <c r="E112" i="15"/>
  <c r="C109" i="15"/>
  <c r="C124" i="15"/>
  <c r="E124" i="15"/>
  <c r="E77" i="15"/>
  <c r="C121" i="15"/>
  <c r="C127" i="15"/>
  <c r="E127" i="15"/>
  <c r="C126" i="15"/>
  <c r="E126" i="15"/>
  <c r="C28" i="5"/>
  <c r="C112" i="5"/>
  <c r="C111" i="5"/>
  <c r="E259" i="15"/>
  <c r="D263" i="15"/>
  <c r="E263" i="15"/>
  <c r="D95" i="15"/>
  <c r="D84" i="15"/>
  <c r="D101" i="15"/>
  <c r="E101" i="15"/>
  <c r="D97" i="15"/>
  <c r="E97" i="15"/>
  <c r="D96" i="15"/>
  <c r="D83" i="15"/>
  <c r="D100" i="15"/>
  <c r="E100" i="15"/>
  <c r="D87" i="15"/>
  <c r="E87" i="15"/>
  <c r="D99" i="15"/>
  <c r="E99" i="15"/>
  <c r="D88" i="15"/>
  <c r="E88" i="15"/>
  <c r="E44" i="15"/>
  <c r="D86" i="15"/>
  <c r="E86" i="15"/>
  <c r="D85" i="15"/>
  <c r="E85" i="15"/>
  <c r="D258" i="15"/>
  <c r="D89" i="15"/>
  <c r="E89" i="15"/>
  <c r="D98" i="15"/>
  <c r="E98" i="15"/>
  <c r="C56" i="19"/>
  <c r="C38" i="19"/>
  <c r="C48" i="19"/>
  <c r="C113" i="19"/>
  <c r="E38" i="19"/>
  <c r="E56" i="19"/>
  <c r="E48" i="19"/>
  <c r="E113" i="19"/>
  <c r="E66" i="15"/>
  <c r="C247" i="15"/>
  <c r="E247" i="15"/>
  <c r="C295" i="15"/>
  <c r="E295" i="15"/>
  <c r="E306" i="15"/>
  <c r="C310" i="15"/>
  <c r="E310" i="15"/>
  <c r="E96" i="15"/>
  <c r="D102" i="15"/>
  <c r="E102" i="15"/>
  <c r="E95" i="15"/>
  <c r="D103" i="15"/>
  <c r="E103" i="15"/>
  <c r="C99" i="5"/>
  <c r="C101" i="5"/>
  <c r="C98" i="5"/>
  <c r="C22" i="5"/>
  <c r="E109" i="15"/>
  <c r="C116" i="15"/>
  <c r="E116" i="15"/>
  <c r="E110" i="15"/>
  <c r="C128" i="15"/>
  <c r="E128" i="15"/>
  <c r="E122" i="15"/>
  <c r="E99" i="5"/>
  <c r="E101" i="5"/>
  <c r="E98" i="5"/>
  <c r="E22" i="5"/>
  <c r="E309" i="14"/>
  <c r="C310" i="14"/>
  <c r="F309" i="14"/>
  <c r="D264" i="15"/>
  <c r="E258" i="15"/>
  <c r="E83" i="15"/>
  <c r="D90" i="15"/>
  <c r="E90" i="15"/>
  <c r="E84" i="15"/>
  <c r="E121" i="15"/>
  <c r="F273" i="14"/>
  <c r="E273" i="14"/>
  <c r="D91" i="15"/>
  <c r="C117" i="15"/>
  <c r="C129" i="15"/>
  <c r="E129" i="15"/>
  <c r="E264" i="15"/>
  <c r="D266" i="15"/>
  <c r="C312" i="14"/>
  <c r="E310" i="14"/>
  <c r="F310" i="14"/>
  <c r="E266" i="15"/>
  <c r="D267" i="15"/>
  <c r="E91" i="15"/>
  <c r="D105" i="15"/>
  <c r="E105" i="15"/>
  <c r="C313" i="14"/>
  <c r="E312" i="14"/>
  <c r="F312" i="14"/>
  <c r="C131" i="15"/>
  <c r="E131" i="15"/>
  <c r="E117" i="15"/>
  <c r="C251" i="14"/>
  <c r="C315" i="14"/>
  <c r="E313" i="14"/>
  <c r="C256" i="14"/>
  <c r="F313" i="14"/>
  <c r="C314" i="14"/>
  <c r="D269" i="15"/>
  <c r="E269" i="15"/>
  <c r="E267" i="15"/>
  <c r="D268" i="15"/>
  <c r="D271" i="15"/>
  <c r="E271" i="15"/>
  <c r="E268" i="15"/>
  <c r="F251" i="14"/>
  <c r="E251" i="14"/>
  <c r="C318" i="14"/>
  <c r="E314" i="14"/>
  <c r="F314" i="14"/>
  <c r="C257" i="14"/>
  <c r="F256" i="14"/>
  <c r="E256" i="14"/>
  <c r="F315" i="14"/>
  <c r="E315" i="14"/>
  <c r="F257" i="14"/>
  <c r="E257" i="14"/>
  <c r="F318" i="14"/>
  <c r="E318" i="14"/>
</calcChain>
</file>

<file path=xl/sharedStrings.xml><?xml version="1.0" encoding="utf-8"?>
<sst xmlns="http://schemas.openxmlformats.org/spreadsheetml/2006/main" count="2300" uniqueCount="977">
  <si>
    <t>WINDHAM COMMUNITY MEMORIAL HOSPITAL</t>
  </si>
  <si>
    <t>TWELVE MONTHS ACTUAL FILING</t>
  </si>
  <si>
    <t xml:space="preserve">      FISCAL YEAR 2010</t>
  </si>
  <si>
    <t>REPORT 100 - HOSPITAL BALANCE SHEET INFORMATION</t>
  </si>
  <si>
    <t xml:space="preserve">      FY 2009</t>
  </si>
  <si>
    <t xml:space="preserve">      FY 2010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</si>
  <si>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</si>
  <si>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</si>
  <si>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</si>
  <si>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</si>
  <si>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</si>
  <si>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</si>
  <si>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</si>
  <si>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</si>
  <si>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</si>
  <si>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</si>
  <si>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</si>
  <si>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</si>
  <si>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</si>
  <si>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</si>
  <si>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</si>
  <si>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</si>
  <si>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</si>
  <si>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</si>
  <si>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</si>
  <si>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</si>
  <si>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</si>
  <si>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</si>
  <si>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</si>
  <si>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</si>
  <si>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</si>
  <si>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</si>
  <si>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</si>
  <si>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</si>
  <si>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</si>
  <si>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</si>
  <si>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</si>
  <si>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</si>
  <si>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</si>
  <si>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</si>
  <si>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</si>
  <si>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</si>
  <si>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</si>
  <si>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</si>
  <si>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</si>
  <si>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</si>
  <si>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</si>
  <si>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</si>
  <si>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</si>
  <si>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</si>
  <si>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</si>
  <si>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</si>
  <si>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</si>
  <si>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</si>
  <si>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</si>
  <si>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</si>
  <si>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</si>
  <si>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</si>
  <si>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</si>
  <si>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</si>
  <si>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</si>
  <si>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</si>
  <si>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</si>
  <si>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</si>
  <si>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</si>
  <si>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</si>
  <si>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</si>
  <si>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</si>
  <si>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</si>
  <si>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</si>
  <si>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</si>
  <si>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</si>
  <si>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</si>
  <si>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</si>
  <si>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</si>
  <si>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</si>
  <si>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</si>
  <si>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</si>
  <si>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</si>
  <si>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</si>
  <si>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</si>
  <si>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</si>
  <si>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</si>
  <si>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</si>
  <si>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</si>
  <si>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</si>
  <si>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</si>
  <si>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</si>
  <si>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</si>
  <si>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</si>
  <si>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</si>
  <si>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</si>
  <si>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</si>
  <si>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</si>
  <si>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</si>
  <si>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</si>
  <si>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</si>
  <si>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</si>
  <si>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</si>
  <si>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</si>
  <si>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</si>
  <si>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</si>
  <si>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</si>
  <si>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</si>
  <si>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</si>
  <si>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2009                ACTUAL     </t>
  </si>
  <si>
    <t xml:space="preserve">      FY 2010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</si>
  <si>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</si>
  <si>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</si>
  <si>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</si>
  <si>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</si>
  <si>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</si>
  <si>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</si>
  <si>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</si>
  <si>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</si>
  <si>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</si>
  <si>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</si>
  <si>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</si>
  <si>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</si>
  <si>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</si>
  <si>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</si>
  <si>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</si>
  <si>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</si>
  <si>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</si>
  <si>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</si>
  <si>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</si>
  <si>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</si>
  <si>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</si>
  <si>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</si>
  <si>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</si>
  <si>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</si>
  <si>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</si>
  <si>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</si>
  <si>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</si>
  <si>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</si>
  <si>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</si>
  <si>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</si>
  <si>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</si>
  <si>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</si>
  <si>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</si>
  <si>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</si>
  <si>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</si>
  <si>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</si>
  <si>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</si>
  <si>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</si>
  <si>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</si>
  <si>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</si>
  <si>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</si>
  <si>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</si>
  <si>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</si>
  <si>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</si>
  <si>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</si>
  <si>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</si>
  <si>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</si>
  <si>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</si>
  <si>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</si>
  <si>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</si>
  <si>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</si>
  <si>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</si>
  <si>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</si>
  <si>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</si>
  <si>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</si>
  <si>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</si>
  <si>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</si>
  <si>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</si>
  <si>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</si>
  <si>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</si>
  <si>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</si>
  <si>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</si>
  <si>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</si>
  <si>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</si>
  <si>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</si>
  <si>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</si>
  <si>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</si>
  <si>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</si>
  <si>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</si>
  <si>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</si>
  <si>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</si>
  <si>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</si>
  <si>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</si>
  <si>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</si>
  <si>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</si>
  <si>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</si>
  <si>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</si>
  <si>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</si>
  <si>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</si>
  <si>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</si>
  <si>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</si>
  <si>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</si>
  <si>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</si>
  <si>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</si>
  <si>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</si>
  <si>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</si>
  <si>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</si>
  <si>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</si>
  <si>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</si>
  <si>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</si>
  <si>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</si>
  <si>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</si>
  <si>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</si>
  <si>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</si>
  <si>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</si>
  <si>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</si>
  <si>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</si>
  <si>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</si>
  <si>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</si>
  <si>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</si>
  <si>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</si>
  <si>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</si>
  <si>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</si>
  <si>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</si>
  <si>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</si>
  <si>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</si>
  <si>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</si>
  <si>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</si>
  <si>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</si>
  <si>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</si>
  <si>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</si>
  <si>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</si>
  <si>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</si>
  <si>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</si>
  <si>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</si>
  <si>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</si>
  <si>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</si>
  <si>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</si>
  <si>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</si>
  <si>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</si>
  <si>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</si>
  <si>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</si>
  <si>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</si>
  <si>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</si>
  <si>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</si>
  <si>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</si>
  <si>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</si>
  <si>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</si>
  <si>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</si>
  <si>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</si>
  <si>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</si>
  <si>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</si>
  <si>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</si>
  <si>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</si>
  <si>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</si>
  <si>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</si>
  <si>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</si>
  <si>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</si>
  <si>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</si>
  <si>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</si>
  <si>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</si>
  <si>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</si>
  <si>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</si>
  <si>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</si>
  <si>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</si>
  <si>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</si>
  <si>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</si>
  <si>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</si>
  <si>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</si>
  <si>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</si>
  <si>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</si>
  <si>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</si>
  <si>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</si>
  <si>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</si>
  <si>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</si>
  <si>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</si>
  <si>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</si>
  <si>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</si>
  <si>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</si>
  <si>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</si>
  <si>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</si>
  <si>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</si>
  <si>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</si>
  <si>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</si>
  <si>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</si>
  <si>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</si>
  <si>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</si>
  <si>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</si>
  <si>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</si>
  <si>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</si>
  <si>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</si>
  <si>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</si>
  <si>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</si>
  <si>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</si>
  <si>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</si>
  <si>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</si>
  <si>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</si>
  <si>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</si>
  <si>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</si>
  <si>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</si>
  <si>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</si>
  <si>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</si>
  <si>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</si>
  <si>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</si>
  <si>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</si>
  <si>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</si>
  <si>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</si>
  <si>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</si>
  <si>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</si>
  <si>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</si>
  <si>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</si>
  <si>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</si>
  <si>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</si>
  <si>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</si>
  <si>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</si>
  <si>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</si>
  <si>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</si>
  <si>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</si>
  <si>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</si>
  <si>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</si>
  <si>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2008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</si>
  <si>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</si>
  <si>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</si>
  <si>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</si>
  <si>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</si>
  <si>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</si>
  <si>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</si>
  <si>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</si>
  <si>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</si>
  <si>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</si>
  <si>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</si>
  <si>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</si>
  <si>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</si>
  <si>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</si>
  <si>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</si>
  <si>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</si>
  <si>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</si>
  <si>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</si>
  <si>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</si>
  <si>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</si>
  <si>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</si>
  <si>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</si>
  <si>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</si>
  <si>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</si>
  <si>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</si>
  <si>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</si>
  <si>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</si>
  <si>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</si>
  <si>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</si>
  <si>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</si>
  <si>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</si>
  <si>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</si>
  <si>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</si>
  <si>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</si>
  <si>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</si>
  <si>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</si>
  <si>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</si>
  <si>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</si>
  <si>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</si>
  <si>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</si>
  <si>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</si>
  <si>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</si>
  <si>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</si>
  <si>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</si>
  <si>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</si>
  <si>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</si>
  <si>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</si>
  <si>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</si>
  <si>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</si>
  <si>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</si>
  <si>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</si>
  <si>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</si>
  <si>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</si>
  <si>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</si>
  <si>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</si>
  <si>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</si>
  <si>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</si>
  <si>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</si>
  <si>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</si>
  <si>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</si>
  <si>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</si>
  <si>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</si>
  <si>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</si>
  <si>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</si>
  <si>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</si>
  <si>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</si>
  <si>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</si>
  <si>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</si>
  <si>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</si>
  <si>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</si>
  <si>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</si>
  <si>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</si>
  <si>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</si>
  <si>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</si>
  <si>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</si>
  <si>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</si>
  <si>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</si>
  <si>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</si>
  <si>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</si>
  <si>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</si>
  <si>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</si>
  <si>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</si>
  <si>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</si>
  <si>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</si>
  <si>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</si>
  <si>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</si>
  <si>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</si>
  <si>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</si>
  <si>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</si>
  <si>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</si>
  <si>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</si>
  <si>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</si>
  <si>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</si>
  <si>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</si>
  <si>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</si>
  <si>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</si>
  <si>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</si>
  <si>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</si>
  <si>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</si>
  <si>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</si>
  <si>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</si>
  <si>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</si>
  <si>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</si>
  <si>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</si>
  <si>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</si>
  <si>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</si>
  <si>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</si>
  <si>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</si>
  <si>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</si>
  <si>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</si>
  <si>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</si>
  <si>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</si>
  <si>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</si>
  <si>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</si>
  <si>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</si>
  <si>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</si>
  <si>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</si>
  <si>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</si>
  <si>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</si>
  <si>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</si>
  <si>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</si>
  <si>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</si>
  <si>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</si>
  <si>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2009 ACTUAL     </t>
  </si>
  <si>
    <t xml:space="preserve">      FY 2010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</si>
  <si>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</si>
  <si>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</si>
  <si>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</si>
  <si>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</si>
  <si>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</si>
  <si>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</si>
  <si>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</si>
  <si>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</si>
  <si>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</si>
  <si>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</si>
  <si>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</si>
  <si>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</si>
  <si>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</si>
  <si>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</si>
  <si>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</si>
  <si>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</si>
  <si>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</si>
  <si>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</si>
  <si>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</si>
  <si>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</si>
  <si>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</si>
  <si>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</si>
  <si>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</si>
  <si>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</si>
  <si>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</si>
  <si>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</si>
  <si>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</si>
  <si>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</si>
  <si>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</si>
  <si>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</si>
  <si>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</si>
  <si>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</si>
  <si>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</si>
  <si>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</si>
  <si>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</si>
  <si>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</si>
  <si>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</si>
  <si>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</si>
  <si>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</si>
  <si>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</si>
  <si>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</si>
  <si>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</si>
  <si>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</si>
  <si>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</si>
  <si>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</si>
  <si>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</si>
  <si>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</si>
  <si>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</si>
  <si>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</si>
  <si>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</si>
  <si>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</si>
  <si>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</si>
  <si>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</si>
  <si>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</si>
  <si>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</si>
  <si>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</si>
  <si>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</si>
  <si>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</si>
  <si>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</si>
  <si>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</si>
  <si>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</si>
  <si>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</si>
  <si>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OCCUPANCY</t>
  </si>
  <si>
    <t>PATIENT</t>
  </si>
  <si>
    <t>STAFFED</t>
  </si>
  <si>
    <t>AVAILABLE</t>
  </si>
  <si>
    <t>OF STAFFED</t>
  </si>
  <si>
    <t>OF AVAILABLE</t>
  </si>
  <si>
    <t>DAYS</t>
  </si>
  <si>
    <t>BEDS (A)</t>
  </si>
  <si>
    <t>BEDS</t>
  </si>
  <si>
    <t/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</si>
  <si>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</si>
  <si>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</si>
  <si>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</si>
  <si>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</si>
  <si>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</si>
  <si>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</si>
  <si>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</si>
  <si>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</si>
  <si>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</si>
  <si>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</si>
  <si>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</si>
  <si>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</si>
  <si>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</si>
  <si>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</si>
  <si>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</si>
  <si>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</si>
  <si>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</si>
  <si>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</si>
  <si>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</si>
  <si>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</si>
  <si>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</si>
  <si>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</si>
  <si>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</si>
  <si>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</si>
  <si>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</si>
  <si>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</si>
  <si>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</si>
  <si>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</si>
  <si>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</si>
  <si>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</si>
  <si>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</si>
  <si>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</si>
  <si>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</si>
  <si>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</si>
  <si>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</si>
  <si>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</si>
  <si>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</si>
  <si>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</si>
  <si>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</si>
  <si>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</si>
  <si>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</si>
  <si>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</si>
  <si>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</si>
  <si>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</si>
  <si>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</si>
  <si>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</si>
  <si>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</si>
  <si>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</si>
  <si>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</si>
  <si>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</si>
  <si>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</si>
  <si>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</si>
  <si>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</si>
  <si>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</si>
  <si>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</si>
  <si>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</si>
  <si>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</si>
  <si>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</si>
  <si>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</si>
  <si>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</si>
  <si>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</si>
  <si>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</si>
  <si>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</si>
  <si>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</si>
  <si>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</si>
  <si>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</si>
  <si>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</si>
  <si>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</si>
  <si>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</si>
  <si>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</si>
  <si>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</si>
  <si>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</si>
  <si>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</si>
  <si>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</si>
  <si>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</si>
  <si>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</si>
  <si>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</si>
  <si>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</si>
  <si>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Windham Hospital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</si>
  <si>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</si>
  <si>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</si>
  <si>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</si>
  <si>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</si>
  <si>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</si>
  <si>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</si>
  <si>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</si>
  <si>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</si>
  <si>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2010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</si>
  <si>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</si>
  <si>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</si>
  <si>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</si>
  <si>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</si>
  <si>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2009</t>
  </si>
  <si>
    <t xml:space="preserve">         FY 2010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</si>
  <si>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</si>
  <si>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</si>
  <si>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</si>
  <si>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</si>
  <si>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</si>
  <si>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</si>
  <si>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</si>
  <si>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</si>
  <si>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</si>
  <si>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</si>
  <si>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</si>
  <si>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</si>
  <si>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</si>
  <si>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</si>
  <si>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</si>
  <si>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</si>
  <si>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</si>
  <si>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</si>
  <si>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</si>
  <si>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</si>
  <si>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</si>
  <si>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</si>
  <si>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</si>
  <si>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</si>
  <si>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</si>
  <si>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</si>
  <si>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</si>
  <si>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</si>
  <si>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</si>
  <si>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</si>
  <si>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</si>
  <si>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</si>
  <si>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</si>
  <si>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</si>
  <si>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</si>
  <si>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</si>
  <si>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</si>
  <si>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</si>
  <si>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</si>
  <si>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</si>
  <si>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</si>
  <si>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</si>
  <si>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</si>
  <si>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</si>
  <si>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</si>
  <si>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</si>
  <si>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</si>
  <si>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</si>
  <si>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</si>
  <si>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</si>
  <si>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</si>
  <si>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</si>
  <si>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</si>
  <si>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</si>
  <si>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</si>
  <si>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</si>
  <si>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</si>
  <si>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</si>
  <si>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</si>
  <si>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</si>
  <si>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</si>
  <si>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</si>
  <si>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</si>
  <si>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</si>
  <si>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</si>
  <si>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</si>
  <si>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</si>
  <si>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</si>
  <si>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</si>
  <si>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</si>
  <si>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</si>
  <si>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</si>
  <si>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</si>
  <si>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</si>
  <si>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</si>
  <si>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</si>
  <si>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</si>
  <si>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</si>
  <si>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</si>
  <si>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</si>
  <si>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</si>
  <si>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</si>
  <si>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</si>
  <si>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</si>
  <si>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</si>
  <si>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</si>
  <si>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</si>
  <si>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</si>
  <si>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</si>
  <si>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</si>
  <si>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</si>
  <si>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</si>
  <si>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</si>
  <si>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</si>
  <si>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</si>
  <si>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</si>
  <si>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</si>
  <si>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</si>
  <si>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</si>
  <si>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</si>
  <si>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</si>
  <si>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</si>
  <si>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</si>
  <si>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</si>
  <si>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</si>
  <si>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</si>
  <si>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</si>
  <si>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</si>
  <si>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</si>
  <si>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</si>
  <si>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</si>
  <si>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</si>
  <si>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</si>
  <si>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</si>
  <si>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</si>
  <si>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</si>
  <si>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</si>
  <si>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</si>
  <si>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</si>
  <si>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</si>
  <si>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</si>
  <si>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</si>
  <si>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</si>
  <si>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</si>
  <si>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</si>
  <si>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</si>
  <si>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</si>
  <si>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</si>
  <si>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</si>
  <si>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</si>
  <si>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</si>
  <si>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</si>
  <si>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</si>
  <si>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</si>
  <si>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</si>
  <si>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</si>
  <si>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</si>
  <si>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</si>
  <si>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</si>
  <si>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</si>
  <si>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</si>
  <si>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</si>
  <si>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2009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</si>
  <si>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</si>
  <si>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</si>
  <si>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</si>
  <si>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</si>
  <si>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</si>
  <si>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</si>
  <si>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</si>
  <si>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</si>
  <si>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</si>
  <si>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</si>
  <si>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</si>
  <si>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</si>
  <si>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</si>
  <si>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</si>
  <si>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</si>
  <si>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</si>
  <si>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</si>
  <si>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</si>
  <si>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</si>
  <si>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</si>
  <si>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</si>
  <si>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</si>
  <si>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</si>
  <si>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</si>
  <si>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</si>
  <si>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</si>
  <si>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</si>
  <si>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</si>
  <si>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</si>
  <si>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</si>
  <si>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</si>
  <si>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</si>
  <si>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</si>
  <si>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</si>
  <si>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</si>
  <si>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</si>
  <si>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</si>
  <si>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</si>
  <si>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</si>
  <si>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</si>
  <si>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</si>
  <si>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</si>
  <si>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</si>
  <si>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</si>
  <si>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</si>
  <si>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</si>
  <si>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</si>
  <si>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</si>
  <si>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</si>
  <si>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</si>
  <si>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</si>
  <si>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</si>
  <si>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</si>
  <si>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</si>
  <si>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</si>
  <si>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</si>
  <si>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</si>
  <si>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</si>
  <si>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</si>
  <si>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</si>
  <si>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</si>
  <si>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</si>
  <si>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</si>
  <si>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</si>
  <si>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</si>
  <si>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</si>
  <si>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</si>
  <si>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</si>
  <si>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</si>
  <si>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</si>
  <si>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</si>
  <si>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</si>
  <si>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</si>
  <si>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</si>
  <si>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</si>
  <si>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</si>
  <si>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</si>
  <si>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</si>
  <si>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</si>
  <si>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</si>
  <si>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</si>
  <si>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</si>
  <si>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</si>
  <si>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</si>
  <si>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</si>
  <si>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</si>
  <si>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</si>
  <si>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</si>
  <si>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</si>
  <si>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</si>
  <si>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</si>
  <si>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</si>
  <si>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</si>
  <si>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</si>
  <si>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</si>
  <si>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</si>
  <si>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</si>
  <si>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</si>
  <si>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</si>
  <si>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2010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</si>
  <si>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</si>
  <si>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</si>
  <si>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</si>
  <si>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</si>
  <si>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</si>
  <si>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</si>
  <si>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</si>
  <si>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</si>
  <si>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</si>
  <si>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</si>
  <si>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</si>
  <si>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</si>
  <si>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</si>
  <si>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</si>
  <si>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</si>
  <si>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</si>
  <si>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</si>
  <si>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</si>
  <si>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</si>
  <si>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</si>
  <si>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</si>
  <si>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</si>
  <si>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</si>
  <si>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</si>
  <si>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</si>
  <si>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</si>
  <si>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</si>
  <si>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</si>
  <si>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</si>
  <si>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</si>
  <si>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</si>
  <si>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</si>
  <si>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</si>
  <si>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</si>
  <si>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</si>
  <si>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</si>
  <si>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</si>
  <si>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</si>
  <si>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</si>
  <si>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</si>
  <si>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</si>
  <si>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</si>
  <si>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</si>
  <si>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</si>
  <si>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</si>
  <si>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</si>
  <si>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</si>
  <si>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</si>
  <si>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</si>
  <si>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</si>
  <si>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</si>
  <si>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</si>
  <si>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</si>
  <si>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</si>
  <si>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</si>
  <si>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2008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</si>
  <si>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</si>
  <si>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2010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</si>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</sst>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9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8" fontId="6" fillId="33" borderId="26" xfId="0" applyNumberFormat="1" applyFont="1" applyFill="1" applyBorder="1" applyAlignment="1">
      <alignment horizontal="center" wrapText="1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3357508</v>
      </c>
      <c r="D13" s="23">
        <v>3314081</v>
      </c>
      <c r="E13" s="23">
        <f t="shared" ref="E13:E22" si="0">D13-C13</f>
        <v>-43427</v>
      </c>
      <c r="F13" s="24">
        <f t="shared" ref="F13:F22" si="1">IF(C13=0,0,E13/C13)</f>
        <v>-1.2934295316645559E-2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24" customHeight="1" x14ac:dyDescent="0.2">
      <c r="A15" s="21">
        <v>3</v>
      </c>
      <c r="B15" s="22" t="s">
        <v>18</v>
      </c>
      <c r="C15" s="23">
        <v>13116037</v>
      </c>
      <c r="D15" s="23">
        <v>14090656</v>
      </c>
      <c r="E15" s="23">
        <f t="shared" si="0"/>
        <v>974619</v>
      </c>
      <c r="F15" s="24">
        <f t="shared" si="1"/>
        <v>7.4307429904322472E-2</v>
      </c>
    </row>
    <row r="16" spans="1:8" ht="24" customHeight="1" x14ac:dyDescent="0.2">
      <c r="A16" s="21">
        <v>4</v>
      </c>
      <c r="B16" s="22" t="s">
        <v>19</v>
      </c>
      <c r="C16" s="23">
        <v>798482</v>
      </c>
      <c r="D16" s="23">
        <v>677311</v>
      </c>
      <c r="E16" s="23">
        <f t="shared" si="0"/>
        <v>-121171</v>
      </c>
      <c r="F16" s="24">
        <f t="shared" si="1"/>
        <v>-0.15175169884856515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105104</v>
      </c>
      <c r="E17" s="23">
        <f t="shared" si="0"/>
        <v>105104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1258523</v>
      </c>
      <c r="D18" s="23">
        <v>1585717</v>
      </c>
      <c r="E18" s="23">
        <f t="shared" si="0"/>
        <v>327194</v>
      </c>
      <c r="F18" s="24">
        <f t="shared" si="1"/>
        <v>0.25998253508279151</v>
      </c>
    </row>
    <row r="19" spans="1:11" ht="24" customHeight="1" x14ac:dyDescent="0.2">
      <c r="A19" s="21">
        <v>7</v>
      </c>
      <c r="B19" s="22" t="s">
        <v>22</v>
      </c>
      <c r="C19" s="23">
        <v>1175255</v>
      </c>
      <c r="D19" s="23">
        <v>1175285</v>
      </c>
      <c r="E19" s="23">
        <f t="shared" si="0"/>
        <v>30</v>
      </c>
      <c r="F19" s="24">
        <f t="shared" si="1"/>
        <v>2.5526375127100077E-5</v>
      </c>
    </row>
    <row r="20" spans="1:11" ht="24" customHeight="1" x14ac:dyDescent="0.2">
      <c r="A20" s="21">
        <v>8</v>
      </c>
      <c r="B20" s="22" t="s">
        <v>23</v>
      </c>
      <c r="C20" s="23">
        <v>671383</v>
      </c>
      <c r="D20" s="23">
        <v>280392</v>
      </c>
      <c r="E20" s="23">
        <f t="shared" si="0"/>
        <v>-390991</v>
      </c>
      <c r="F20" s="24">
        <f t="shared" si="1"/>
        <v>-0.58236654785718434</v>
      </c>
    </row>
    <row r="21" spans="1:11" ht="24" customHeight="1" x14ac:dyDescent="0.2">
      <c r="A21" s="21">
        <v>9</v>
      </c>
      <c r="B21" s="22" t="s">
        <v>24</v>
      </c>
      <c r="C21" s="23">
        <v>3626731</v>
      </c>
      <c r="D21" s="23">
        <v>1524302</v>
      </c>
      <c r="E21" s="23">
        <f t="shared" si="0"/>
        <v>-2102429</v>
      </c>
      <c r="F21" s="24">
        <f t="shared" si="1"/>
        <v>-0.57970359533144311</v>
      </c>
    </row>
    <row r="22" spans="1:11" ht="24" customHeight="1" x14ac:dyDescent="0.25">
      <c r="A22" s="25"/>
      <c r="B22" s="26" t="s">
        <v>25</v>
      </c>
      <c r="C22" s="27">
        <f>SUM(C13:C21)</f>
        <v>24003919</v>
      </c>
      <c r="D22" s="27">
        <f>SUM(D13:D21)</f>
        <v>22752848</v>
      </c>
      <c r="E22" s="27">
        <f t="shared" si="0"/>
        <v>-1251071</v>
      </c>
      <c r="F22" s="28">
        <f t="shared" si="1"/>
        <v>-5.211944766185888E-2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1752149</v>
      </c>
      <c r="D25" s="23">
        <v>2607805</v>
      </c>
      <c r="E25" s="23">
        <f>D25-C25</f>
        <v>855656</v>
      </c>
      <c r="F25" s="24">
        <f>IF(C25=0,0,E25/C25)</f>
        <v>0.48834659609428194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1674179</v>
      </c>
      <c r="D27" s="23">
        <v>1673374</v>
      </c>
      <c r="E27" s="23">
        <f>D27-C27</f>
        <v>-805</v>
      </c>
      <c r="F27" s="24">
        <f>IF(C27=0,0,E27/C27)</f>
        <v>-4.808326947118558E-4</v>
      </c>
    </row>
    <row r="28" spans="1:11" ht="24" customHeight="1" x14ac:dyDescent="0.2">
      <c r="A28" s="21">
        <v>4</v>
      </c>
      <c r="B28" s="22" t="s">
        <v>31</v>
      </c>
      <c r="C28" s="23">
        <v>2749514</v>
      </c>
      <c r="D28" s="23">
        <v>1885179</v>
      </c>
      <c r="E28" s="23">
        <f>D28-C28</f>
        <v>-864335</v>
      </c>
      <c r="F28" s="24">
        <f>IF(C28=0,0,E28/C28)</f>
        <v>-0.31435919220633174</v>
      </c>
    </row>
    <row r="29" spans="1:11" ht="24" customHeight="1" x14ac:dyDescent="0.25">
      <c r="A29" s="25"/>
      <c r="B29" s="26" t="s">
        <v>32</v>
      </c>
      <c r="C29" s="27">
        <f>SUM(C25:C28)</f>
        <v>6175842</v>
      </c>
      <c r="D29" s="27">
        <f>SUM(D25:D28)</f>
        <v>6166358</v>
      </c>
      <c r="E29" s="27">
        <f>D29-C29</f>
        <v>-9484</v>
      </c>
      <c r="F29" s="28">
        <f>IF(C29=0,0,E29/C29)</f>
        <v>-1.5356610483234514E-3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322070</v>
      </c>
      <c r="D32" s="23">
        <v>347049</v>
      </c>
      <c r="E32" s="23">
        <f>D32-C32</f>
        <v>24979</v>
      </c>
      <c r="F32" s="24">
        <f>IF(C32=0,0,E32/C32)</f>
        <v>7.7557673797621629E-2</v>
      </c>
    </row>
    <row r="33" spans="1:8" ht="24" customHeight="1" x14ac:dyDescent="0.2">
      <c r="A33" s="21">
        <v>7</v>
      </c>
      <c r="B33" s="22" t="s">
        <v>35</v>
      </c>
      <c r="C33" s="23">
        <v>2297615</v>
      </c>
      <c r="D33" s="23">
        <v>2339911</v>
      </c>
      <c r="E33" s="23">
        <f>D33-C33</f>
        <v>42296</v>
      </c>
      <c r="F33" s="24">
        <f>IF(C33=0,0,E33/C33)</f>
        <v>1.8408654191411529E-2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94462346</v>
      </c>
      <c r="D36" s="23">
        <v>98445867</v>
      </c>
      <c r="E36" s="23">
        <f>D36-C36</f>
        <v>3983521</v>
      </c>
      <c r="F36" s="24">
        <f>IF(C36=0,0,E36/C36)</f>
        <v>4.2170464409173151E-2</v>
      </c>
    </row>
    <row r="37" spans="1:8" ht="24" customHeight="1" x14ac:dyDescent="0.2">
      <c r="A37" s="21">
        <v>2</v>
      </c>
      <c r="B37" s="22" t="s">
        <v>39</v>
      </c>
      <c r="C37" s="23">
        <v>57981855</v>
      </c>
      <c r="D37" s="23">
        <v>62488848</v>
      </c>
      <c r="E37" s="23">
        <f>D37-C37</f>
        <v>4506993</v>
      </c>
      <c r="F37" s="24">
        <f>IF(C37=0,0,E37/C37)</f>
        <v>7.7731093632654555E-2</v>
      </c>
    </row>
    <row r="38" spans="1:8" ht="24" customHeight="1" x14ac:dyDescent="0.25">
      <c r="A38" s="25"/>
      <c r="B38" s="26" t="s">
        <v>40</v>
      </c>
      <c r="C38" s="27">
        <f>C36-C37</f>
        <v>36480491</v>
      </c>
      <c r="D38" s="27">
        <f>D36-D37</f>
        <v>35957019</v>
      </c>
      <c r="E38" s="27">
        <f>D38-C38</f>
        <v>-523472</v>
      </c>
      <c r="F38" s="28">
        <f>IF(C38=0,0,E38/C38)</f>
        <v>-1.4349368269193526E-2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428448</v>
      </c>
      <c r="D40" s="23">
        <v>270392</v>
      </c>
      <c r="E40" s="23">
        <f>D40-C40</f>
        <v>-158056</v>
      </c>
      <c r="F40" s="24">
        <f>IF(C40=0,0,E40/C40)</f>
        <v>-0.36890357756367165</v>
      </c>
    </row>
    <row r="41" spans="1:8" ht="24" customHeight="1" x14ac:dyDescent="0.25">
      <c r="A41" s="25"/>
      <c r="B41" s="26" t="s">
        <v>42</v>
      </c>
      <c r="C41" s="27">
        <f>+C38+C40</f>
        <v>36908939</v>
      </c>
      <c r="D41" s="27">
        <f>+D38+D40</f>
        <v>36227411</v>
      </c>
      <c r="E41" s="27">
        <f>D41-C41</f>
        <v>-681528</v>
      </c>
      <c r="F41" s="28">
        <f>IF(C41=0,0,E41/C41)</f>
        <v>-1.8465120333044524E-2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69708385</v>
      </c>
      <c r="D43" s="27">
        <f>D22+D29+D31+D32+D33+D41</f>
        <v>67833577</v>
      </c>
      <c r="E43" s="27">
        <f>D43-C43</f>
        <v>-1874808</v>
      </c>
      <c r="F43" s="28">
        <f>IF(C43=0,0,E43/C43)</f>
        <v>-2.6895014136391195E-2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3370047</v>
      </c>
      <c r="D49" s="23">
        <v>3465207</v>
      </c>
      <c r="E49" s="23">
        <f t="shared" ref="E49:E56" si="2">D49-C49</f>
        <v>95160</v>
      </c>
      <c r="F49" s="24">
        <f t="shared" ref="F49:F56" si="3">IF(C49=0,0,E49/C49)</f>
        <v>2.8236994914314251E-2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1276413</v>
      </c>
      <c r="D50" s="23">
        <v>840849</v>
      </c>
      <c r="E50" s="23">
        <f t="shared" si="2"/>
        <v>-435564</v>
      </c>
      <c r="F50" s="24">
        <f t="shared" si="3"/>
        <v>-0.34124064859884695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325901</v>
      </c>
      <c r="D53" s="23">
        <v>263466</v>
      </c>
      <c r="E53" s="23">
        <f t="shared" si="2"/>
        <v>-62435</v>
      </c>
      <c r="F53" s="24">
        <f t="shared" si="3"/>
        <v>-0.19157658307277364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530010</v>
      </c>
      <c r="D54" s="23">
        <v>440019</v>
      </c>
      <c r="E54" s="23">
        <f t="shared" si="2"/>
        <v>-89991</v>
      </c>
      <c r="F54" s="24">
        <f t="shared" si="3"/>
        <v>-0.16979113601630158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3625641</v>
      </c>
      <c r="D55" s="23">
        <v>5800501</v>
      </c>
      <c r="E55" s="23">
        <f t="shared" si="2"/>
        <v>2174860</v>
      </c>
      <c r="F55" s="24">
        <f t="shared" si="3"/>
        <v>0.59985530834409695</v>
      </c>
    </row>
    <row r="56" spans="1:6" ht="24" customHeight="1" x14ac:dyDescent="0.25">
      <c r="A56" s="25"/>
      <c r="B56" s="26" t="s">
        <v>54</v>
      </c>
      <c r="C56" s="27">
        <f>SUM(C49:C55)</f>
        <v>9128012</v>
      </c>
      <c r="D56" s="27">
        <f>SUM(D49:D55)</f>
        <v>10810042</v>
      </c>
      <c r="E56" s="27">
        <f t="shared" si="2"/>
        <v>1682030</v>
      </c>
      <c r="F56" s="28">
        <f t="shared" si="3"/>
        <v>0.18427123014299279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19698257</v>
      </c>
      <c r="D59" s="23">
        <v>19435038</v>
      </c>
      <c r="E59" s="23">
        <f>D59-C59</f>
        <v>-263219</v>
      </c>
      <c r="F59" s="24">
        <f>IF(C59=0,0,E59/C59)</f>
        <v>-1.3362552839065914E-2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19698257</v>
      </c>
      <c r="D61" s="27">
        <f>SUM(D59:D60)</f>
        <v>19435038</v>
      </c>
      <c r="E61" s="27">
        <f>D61-C61</f>
        <v>-263219</v>
      </c>
      <c r="F61" s="28">
        <f>IF(C61=0,0,E61/C61)</f>
        <v>-1.3362552839065914E-2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57389912</v>
      </c>
      <c r="D63" s="23">
        <v>53726319</v>
      </c>
      <c r="E63" s="23">
        <f>D63-C63</f>
        <v>-3663593</v>
      </c>
      <c r="F63" s="24">
        <f>IF(C63=0,0,E63/C63)</f>
        <v>-6.383688129718687E-2</v>
      </c>
    </row>
    <row r="64" spans="1:6" ht="24" customHeight="1" x14ac:dyDescent="0.2">
      <c r="A64" s="21">
        <v>4</v>
      </c>
      <c r="B64" s="22" t="s">
        <v>60</v>
      </c>
      <c r="C64" s="23">
        <v>3663526</v>
      </c>
      <c r="D64" s="23">
        <v>3797901</v>
      </c>
      <c r="E64" s="23">
        <f>D64-C64</f>
        <v>134375</v>
      </c>
      <c r="F64" s="24">
        <f>IF(C64=0,0,E64/C64)</f>
        <v>3.6679144627334431E-2</v>
      </c>
    </row>
    <row r="65" spans="1:6" ht="24" customHeight="1" x14ac:dyDescent="0.25">
      <c r="A65" s="25"/>
      <c r="B65" s="26" t="s">
        <v>61</v>
      </c>
      <c r="C65" s="27">
        <f>SUM(C61:C64)</f>
        <v>80751695</v>
      </c>
      <c r="D65" s="27">
        <f>SUM(D61:D64)</f>
        <v>76959258</v>
      </c>
      <c r="E65" s="27">
        <f>D65-C65</f>
        <v>-3792437</v>
      </c>
      <c r="F65" s="28">
        <f>IF(C65=0,0,E65/C65)</f>
        <v>-4.6964178275143327E-2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-25502905</v>
      </c>
      <c r="D70" s="23">
        <v>-25203815</v>
      </c>
      <c r="E70" s="23">
        <f>D70-C70</f>
        <v>299090</v>
      </c>
      <c r="F70" s="24">
        <f>IF(C70=0,0,E70/C70)</f>
        <v>-1.1727683571734279E-2</v>
      </c>
    </row>
    <row r="71" spans="1:6" ht="24" customHeight="1" x14ac:dyDescent="0.2">
      <c r="A71" s="21">
        <v>2</v>
      </c>
      <c r="B71" s="22" t="s">
        <v>65</v>
      </c>
      <c r="C71" s="23">
        <v>2104204</v>
      </c>
      <c r="D71" s="23">
        <v>1538289</v>
      </c>
      <c r="E71" s="23">
        <f>D71-C71</f>
        <v>-565915</v>
      </c>
      <c r="F71" s="24">
        <f>IF(C71=0,0,E71/C71)</f>
        <v>-0.26894493119488416</v>
      </c>
    </row>
    <row r="72" spans="1:6" ht="24" customHeight="1" x14ac:dyDescent="0.2">
      <c r="A72" s="21">
        <v>3</v>
      </c>
      <c r="B72" s="22" t="s">
        <v>66</v>
      </c>
      <c r="C72" s="23">
        <v>3227379</v>
      </c>
      <c r="D72" s="23">
        <v>3729803</v>
      </c>
      <c r="E72" s="23">
        <f>D72-C72</f>
        <v>502424</v>
      </c>
      <c r="F72" s="24">
        <f>IF(C72=0,0,E72/C72)</f>
        <v>0.15567554972626393</v>
      </c>
    </row>
    <row r="73" spans="1:6" ht="24" customHeight="1" x14ac:dyDescent="0.25">
      <c r="A73" s="21"/>
      <c r="B73" s="26" t="s">
        <v>67</v>
      </c>
      <c r="C73" s="27">
        <f>SUM(C70:C72)</f>
        <v>-20171322</v>
      </c>
      <c r="D73" s="27">
        <f>SUM(D70:D72)</f>
        <v>-19935723</v>
      </c>
      <c r="E73" s="27">
        <f>D73-C73</f>
        <v>235599</v>
      </c>
      <c r="F73" s="28">
        <f>IF(C73=0,0,E73/C73)</f>
        <v>-1.1679898818728886E-2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69708385</v>
      </c>
      <c r="D75" s="27">
        <f>D56+D65+D67+D73</f>
        <v>67833577</v>
      </c>
      <c r="E75" s="27">
        <f>D75-C75</f>
        <v>-1874808</v>
      </c>
      <c r="F75" s="28">
        <f>IF(C75=0,0,E75/C75)</f>
        <v>-2.6895014136391195E-2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scale="74" fitToHeight="2" orientation="portrait" horizontalDpi="1200" verticalDpi="1200" r:id="rId1"/>
  <headerFooter>
    <oddHeader>&amp;LOFFICE OF HEALTH CARE ACCESS&amp;CTWELVE MONTHS ACTUAL FILING&amp;RWINDHAM COMMUNITY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activeCell="A2" sqref="A2:E2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0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481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482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483</v>
      </c>
      <c r="C11" s="51">
        <v>81011511</v>
      </c>
      <c r="D11" s="51">
        <v>83605148</v>
      </c>
      <c r="E11" s="51">
        <v>86942706</v>
      </c>
      <c r="F11" s="28"/>
    </row>
    <row r="12" spans="1:6" ht="24" customHeight="1" x14ac:dyDescent="0.25">
      <c r="A12" s="44">
        <v>2</v>
      </c>
      <c r="B12" s="48" t="s">
        <v>76</v>
      </c>
      <c r="C12" s="49">
        <v>4257607</v>
      </c>
      <c r="D12" s="49">
        <v>2401877</v>
      </c>
      <c r="E12" s="49">
        <v>2622664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85269118</v>
      </c>
      <c r="D13" s="51">
        <f>+D11+D12</f>
        <v>86007025</v>
      </c>
      <c r="E13" s="51">
        <f>+E11+E12</f>
        <v>89565370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83487134</v>
      </c>
      <c r="D14" s="49">
        <v>85401157</v>
      </c>
      <c r="E14" s="49">
        <v>91501818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1781984</v>
      </c>
      <c r="D15" s="51">
        <f>+D13-D14</f>
        <v>605868</v>
      </c>
      <c r="E15" s="51">
        <f>+E13-E14</f>
        <v>-1936448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310467</v>
      </c>
      <c r="D16" s="49">
        <v>-1790872</v>
      </c>
      <c r="E16" s="49">
        <v>273628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2092451</v>
      </c>
      <c r="D17" s="51">
        <f>D15+D16</f>
        <v>-1185004</v>
      </c>
      <c r="E17" s="51">
        <f>E15+E16</f>
        <v>-1662820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484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485</v>
      </c>
      <c r="C20" s="169">
        <f>IF(+C27=0,0,+C24/+C27)</f>
        <v>2.0822536122370772E-2</v>
      </c>
      <c r="D20" s="169">
        <f>IF(+D27=0,0,+D24/+D27)</f>
        <v>7.1942018059172096E-3</v>
      </c>
      <c r="E20" s="169">
        <f>IF(+E27=0,0,+E24/+E27)</f>
        <v>-2.1554648238619047E-2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486</v>
      </c>
      <c r="C21" s="169">
        <f>IF(+C27=0,0,+C26/+C27)</f>
        <v>3.6278161433009985E-3</v>
      </c>
      <c r="D21" s="169">
        <f>IF(+D27=0,0,+D26/+D27)</f>
        <v>-2.1265184126850346E-2</v>
      </c>
      <c r="E21" s="169">
        <f>IF(+E27=0,0,+E26/+E27)</f>
        <v>3.0457597044882445E-3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487</v>
      </c>
      <c r="C22" s="169">
        <f>IF(+C27=0,0,+C28/+C27)</f>
        <v>2.4450352265671771E-2</v>
      </c>
      <c r="D22" s="169">
        <f>IF(+D27=0,0,+D28/+D27)</f>
        <v>-1.4070982320933135E-2</v>
      </c>
      <c r="E22" s="169">
        <f>IF(+E27=0,0,+E28/+E27)</f>
        <v>-1.85088885341308E-2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1781984</v>
      </c>
      <c r="D24" s="51">
        <f>+D15</f>
        <v>605868</v>
      </c>
      <c r="E24" s="51">
        <f>+E15</f>
        <v>-1936448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85269118</v>
      </c>
      <c r="D25" s="51">
        <f>+D13</f>
        <v>86007025</v>
      </c>
      <c r="E25" s="51">
        <f>+E13</f>
        <v>89565370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310467</v>
      </c>
      <c r="D26" s="51">
        <f>+D16</f>
        <v>-1790872</v>
      </c>
      <c r="E26" s="51">
        <f>+E16</f>
        <v>273628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85579585</v>
      </c>
      <c r="D27" s="51">
        <f>SUM(D25:D26)</f>
        <v>84216153</v>
      </c>
      <c r="E27" s="51">
        <f>SUM(E25:E26)</f>
        <v>89838998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2092451</v>
      </c>
      <c r="D28" s="51">
        <f>+D17</f>
        <v>-1185004</v>
      </c>
      <c r="E28" s="51">
        <f>+E17</f>
        <v>-1662820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488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489</v>
      </c>
      <c r="C31" s="51">
        <v>10143299</v>
      </c>
      <c r="D31" s="51">
        <v>-25502905</v>
      </c>
      <c r="E31" s="52">
        <v>-25203815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490</v>
      </c>
      <c r="C32" s="51">
        <v>13271987</v>
      </c>
      <c r="D32" s="51">
        <v>-20171322</v>
      </c>
      <c r="E32" s="51">
        <v>-19935723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491</v>
      </c>
      <c r="C33" s="51">
        <v>579689</v>
      </c>
      <c r="D33" s="51">
        <f>+D32-C32</f>
        <v>-33443309</v>
      </c>
      <c r="E33" s="51">
        <f>+E32-D32</f>
        <v>235599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492</v>
      </c>
      <c r="C34" s="171">
        <v>1.0456000000000001</v>
      </c>
      <c r="D34" s="171">
        <f>IF(C32=0,0,+D33/C32)</f>
        <v>-2.5198419046070493</v>
      </c>
      <c r="E34" s="171">
        <f>IF(D32=0,0,+E33/D32)</f>
        <v>-1.1679898818728886E-2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2.5709401573602126</v>
      </c>
      <c r="D38" s="269">
        <f>IF(+D40=0,0,+D39/+D40)</f>
        <v>2.6296984491256148</v>
      </c>
      <c r="E38" s="269">
        <f>IF(+E40=0,0,+E39/+E40)</f>
        <v>2.1047881220072964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24271629</v>
      </c>
      <c r="D39" s="270">
        <v>24003919</v>
      </c>
      <c r="E39" s="270">
        <v>22752848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9440760</v>
      </c>
      <c r="D40" s="270">
        <v>9128012</v>
      </c>
      <c r="E40" s="270">
        <v>10810042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12.761845900174334</v>
      </c>
      <c r="D42" s="271">
        <f>IF((D48/365)=0,0,+D45/(D48/365))</f>
        <v>15.132808255151589</v>
      </c>
      <c r="E42" s="271">
        <f>IF((E48/365)=0,0,+E45/(E48/365))</f>
        <v>13.907273401751754</v>
      </c>
    </row>
    <row r="43" spans="1:14" ht="24" customHeight="1" x14ac:dyDescent="0.2">
      <c r="A43" s="17">
        <v>5</v>
      </c>
      <c r="B43" s="188" t="s">
        <v>16</v>
      </c>
      <c r="C43" s="272">
        <v>2778004</v>
      </c>
      <c r="D43" s="272">
        <v>3357508</v>
      </c>
      <c r="E43" s="272">
        <v>3314081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0</v>
      </c>
      <c r="E44" s="274">
        <v>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2778004</v>
      </c>
      <c r="D45" s="270">
        <f>+D43+D44</f>
        <v>3357508</v>
      </c>
      <c r="E45" s="270">
        <f>+E43+E44</f>
        <v>3314081</v>
      </c>
    </row>
    <row r="46" spans="1:14" ht="24" customHeight="1" x14ac:dyDescent="0.2">
      <c r="A46" s="17">
        <v>8</v>
      </c>
      <c r="B46" s="45" t="s">
        <v>324</v>
      </c>
      <c r="C46" s="270">
        <f>+C14</f>
        <v>83487134</v>
      </c>
      <c r="D46" s="270">
        <f>+D14</f>
        <v>85401157</v>
      </c>
      <c r="E46" s="270">
        <f>+E14</f>
        <v>91501818</v>
      </c>
    </row>
    <row r="47" spans="1:14" ht="24" customHeight="1" x14ac:dyDescent="0.2">
      <c r="A47" s="17">
        <v>9</v>
      </c>
      <c r="B47" s="45" t="s">
        <v>347</v>
      </c>
      <c r="C47" s="270">
        <v>4033780</v>
      </c>
      <c r="D47" s="270">
        <v>4418804</v>
      </c>
      <c r="E47" s="270">
        <v>4522902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79453354</v>
      </c>
      <c r="D48" s="270">
        <f>+D46-D47</f>
        <v>80982353</v>
      </c>
      <c r="E48" s="270">
        <f>+E46-E47</f>
        <v>86978916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63.812965912955264</v>
      </c>
      <c r="D50" s="278">
        <f>IF((D55/365)=0,0,+D54/(D55/365))</f>
        <v>62.755877185935965</v>
      </c>
      <c r="E50" s="278">
        <f>IF((E55/365)=0,0,+E54/(E55/365))</f>
        <v>65.812031948948075</v>
      </c>
    </row>
    <row r="51" spans="1:5" ht="24" customHeight="1" x14ac:dyDescent="0.2">
      <c r="A51" s="17">
        <v>12</v>
      </c>
      <c r="B51" s="188" t="s">
        <v>350</v>
      </c>
      <c r="C51" s="279">
        <v>11996552</v>
      </c>
      <c r="D51" s="279">
        <v>13116037</v>
      </c>
      <c r="E51" s="279">
        <v>14090656</v>
      </c>
    </row>
    <row r="52" spans="1:5" ht="24" customHeight="1" x14ac:dyDescent="0.2">
      <c r="A52" s="17">
        <v>13</v>
      </c>
      <c r="B52" s="188" t="s">
        <v>21</v>
      </c>
      <c r="C52" s="270">
        <v>2166694</v>
      </c>
      <c r="D52" s="270">
        <v>1258523</v>
      </c>
      <c r="E52" s="270">
        <v>1585717</v>
      </c>
    </row>
    <row r="53" spans="1:5" ht="24" customHeight="1" x14ac:dyDescent="0.2">
      <c r="A53" s="17">
        <v>14</v>
      </c>
      <c r="B53" s="188" t="s">
        <v>49</v>
      </c>
      <c r="C53" s="270">
        <v>0</v>
      </c>
      <c r="D53" s="270">
        <v>0</v>
      </c>
      <c r="E53" s="270">
        <v>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14163246</v>
      </c>
      <c r="D54" s="280">
        <f>+D51+D52-D53</f>
        <v>14374560</v>
      </c>
      <c r="E54" s="280">
        <f>+E51+E52-E53</f>
        <v>15676373</v>
      </c>
    </row>
    <row r="55" spans="1:5" ht="24" customHeight="1" x14ac:dyDescent="0.2">
      <c r="A55" s="17">
        <v>16</v>
      </c>
      <c r="B55" s="45" t="s">
        <v>75</v>
      </c>
      <c r="C55" s="270">
        <f>+C11</f>
        <v>81011511</v>
      </c>
      <c r="D55" s="270">
        <f>+D11</f>
        <v>83605148</v>
      </c>
      <c r="E55" s="270">
        <f>+E11</f>
        <v>86942706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43.369816710317856</v>
      </c>
      <c r="D57" s="283">
        <f>IF((D61/365)=0,0,+D58/(D61/365))</f>
        <v>41.141362983118064</v>
      </c>
      <c r="E57" s="283">
        <f>IF((E61/365)=0,0,+E58/(E61/365))</f>
        <v>45.363468659462256</v>
      </c>
    </row>
    <row r="58" spans="1:5" ht="24" customHeight="1" x14ac:dyDescent="0.2">
      <c r="A58" s="17">
        <v>18</v>
      </c>
      <c r="B58" s="45" t="s">
        <v>54</v>
      </c>
      <c r="C58" s="281">
        <f>+C40</f>
        <v>9440760</v>
      </c>
      <c r="D58" s="281">
        <f>+D40</f>
        <v>9128012</v>
      </c>
      <c r="E58" s="281">
        <f>+E40</f>
        <v>10810042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83487134</v>
      </c>
      <c r="D59" s="281">
        <f t="shared" si="0"/>
        <v>85401157</v>
      </c>
      <c r="E59" s="281">
        <f t="shared" si="0"/>
        <v>91501818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4033780</v>
      </c>
      <c r="D60" s="176">
        <f t="shared" si="0"/>
        <v>4418804</v>
      </c>
      <c r="E60" s="176">
        <f t="shared" si="0"/>
        <v>4522902</v>
      </c>
    </row>
    <row r="61" spans="1:5" ht="24" customHeight="1" x14ac:dyDescent="0.2">
      <c r="A61" s="17">
        <v>21</v>
      </c>
      <c r="B61" s="45" t="s">
        <v>353</v>
      </c>
      <c r="C61" s="281">
        <f>+C59-C60</f>
        <v>79453354</v>
      </c>
      <c r="D61" s="281">
        <f>+D59-D60</f>
        <v>80982353</v>
      </c>
      <c r="E61" s="281">
        <f>+E59-E60</f>
        <v>86978916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18.927220302949056</v>
      </c>
      <c r="D65" s="284">
        <f>IF(D67=0,0,(D66/D67)*100)</f>
        <v>-28.936722605178705</v>
      </c>
      <c r="E65" s="284">
        <f>IF(E67=0,0,(E66/E67)*100)</f>
        <v>-29.38916666594185</v>
      </c>
    </row>
    <row r="66" spans="1:5" ht="24" customHeight="1" x14ac:dyDescent="0.2">
      <c r="A66" s="17">
        <v>2</v>
      </c>
      <c r="B66" s="45" t="s">
        <v>67</v>
      </c>
      <c r="C66" s="281">
        <f>+C32</f>
        <v>13271987</v>
      </c>
      <c r="D66" s="281">
        <f>+D32</f>
        <v>-20171322</v>
      </c>
      <c r="E66" s="281">
        <f>+E32</f>
        <v>-19935723</v>
      </c>
    </row>
    <row r="67" spans="1:5" ht="24" customHeight="1" x14ac:dyDescent="0.2">
      <c r="A67" s="17">
        <v>3</v>
      </c>
      <c r="B67" s="45" t="s">
        <v>43</v>
      </c>
      <c r="C67" s="281">
        <v>70121163</v>
      </c>
      <c r="D67" s="281">
        <v>69708385</v>
      </c>
      <c r="E67" s="281">
        <v>67833577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20.793213182780214</v>
      </c>
      <c r="D69" s="284">
        <f>IF(D75=0,0,(D72/D75)*100)</f>
        <v>11.218239863091544</v>
      </c>
      <c r="E69" s="284">
        <f>IF(E75=0,0,(E72/E75)*100)</f>
        <v>9.4563545541952614</v>
      </c>
    </row>
    <row r="70" spans="1:5" ht="24" customHeight="1" x14ac:dyDescent="0.2">
      <c r="A70" s="17">
        <v>5</v>
      </c>
      <c r="B70" s="45" t="s">
        <v>358</v>
      </c>
      <c r="C70" s="281">
        <f>+C28</f>
        <v>2092451</v>
      </c>
      <c r="D70" s="281">
        <f>+D28</f>
        <v>-1185004</v>
      </c>
      <c r="E70" s="281">
        <f>+E28</f>
        <v>-1662820</v>
      </c>
    </row>
    <row r="71" spans="1:5" ht="24" customHeight="1" x14ac:dyDescent="0.2">
      <c r="A71" s="17">
        <v>6</v>
      </c>
      <c r="B71" s="45" t="s">
        <v>347</v>
      </c>
      <c r="C71" s="176">
        <f>+C47</f>
        <v>4033780</v>
      </c>
      <c r="D71" s="176">
        <f>+D47</f>
        <v>4418804</v>
      </c>
      <c r="E71" s="176">
        <f>+E47</f>
        <v>4522902</v>
      </c>
    </row>
    <row r="72" spans="1:5" ht="24" customHeight="1" x14ac:dyDescent="0.2">
      <c r="A72" s="17">
        <v>7</v>
      </c>
      <c r="B72" s="45" t="s">
        <v>359</v>
      </c>
      <c r="C72" s="281">
        <f>+C70+C71</f>
        <v>6126231</v>
      </c>
      <c r="D72" s="281">
        <f>+D70+D71</f>
        <v>3233800</v>
      </c>
      <c r="E72" s="281">
        <f>+E70+E71</f>
        <v>2860082</v>
      </c>
    </row>
    <row r="73" spans="1:5" ht="24" customHeight="1" x14ac:dyDescent="0.2">
      <c r="A73" s="17">
        <v>8</v>
      </c>
      <c r="B73" s="45" t="s">
        <v>54</v>
      </c>
      <c r="C73" s="270">
        <f>+C40</f>
        <v>9440760</v>
      </c>
      <c r="D73" s="270">
        <f>+D40</f>
        <v>9128012</v>
      </c>
      <c r="E73" s="270">
        <f>+E40</f>
        <v>10810042</v>
      </c>
    </row>
    <row r="74" spans="1:5" ht="24" customHeight="1" x14ac:dyDescent="0.2">
      <c r="A74" s="17">
        <v>9</v>
      </c>
      <c r="B74" s="45" t="s">
        <v>58</v>
      </c>
      <c r="C74" s="281">
        <v>20021887</v>
      </c>
      <c r="D74" s="281">
        <v>19698257</v>
      </c>
      <c r="E74" s="281">
        <v>19435038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29462647</v>
      </c>
      <c r="D75" s="270">
        <f>+D73+D74</f>
        <v>28826269</v>
      </c>
      <c r="E75" s="270">
        <f>+E73+E74</f>
        <v>30245080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60.136849800056311</v>
      </c>
      <c r="D77" s="286">
        <f>IF(D80=0,0,(D78/D80)*100)</f>
        <v>-4163.9641486899263</v>
      </c>
      <c r="E77" s="286">
        <f>IF(E80=0,0,(E78/E80)*100)</f>
        <v>-3881.68968513137</v>
      </c>
    </row>
    <row r="78" spans="1:5" ht="24" customHeight="1" x14ac:dyDescent="0.2">
      <c r="A78" s="17">
        <v>12</v>
      </c>
      <c r="B78" s="45" t="s">
        <v>58</v>
      </c>
      <c r="C78" s="270">
        <f>+C74</f>
        <v>20021887</v>
      </c>
      <c r="D78" s="270">
        <f>+D74</f>
        <v>19698257</v>
      </c>
      <c r="E78" s="270">
        <f>+E74</f>
        <v>19435038</v>
      </c>
    </row>
    <row r="79" spans="1:5" ht="24" customHeight="1" x14ac:dyDescent="0.2">
      <c r="A79" s="17">
        <v>13</v>
      </c>
      <c r="B79" s="45" t="s">
        <v>67</v>
      </c>
      <c r="C79" s="270">
        <f>+C32</f>
        <v>13271987</v>
      </c>
      <c r="D79" s="270">
        <f>+D32</f>
        <v>-20171322</v>
      </c>
      <c r="E79" s="270">
        <f>+E32</f>
        <v>-19935723</v>
      </c>
    </row>
    <row r="80" spans="1:5" ht="24" customHeight="1" x14ac:dyDescent="0.2">
      <c r="A80" s="17">
        <v>14</v>
      </c>
      <c r="B80" s="45" t="s">
        <v>362</v>
      </c>
      <c r="C80" s="270">
        <f>+C78+C79</f>
        <v>33293874</v>
      </c>
      <c r="D80" s="270">
        <f>+D78+D79</f>
        <v>-473065</v>
      </c>
      <c r="E80" s="270">
        <f>+E78+E79</f>
        <v>-500685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FILING&amp;R&amp;8WINDHAM COMMUNITY MEMORIAL HOSPITAL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zoomScale="75" zoomScaleSheetLayoutView="75" workbookViewId="0">
      <selection activeCell="B3" sqref="B3"/>
    </sheetView>
  </sheetViews>
  <sheetFormatPr defaultRowHeight="12.75" x14ac:dyDescent="0.2"/>
  <cols>
    <col min="1" max="1" width="5.85546875" style="55" customWidth="1"/>
    <col min="2" max="2" width="51.85546875" style="55" customWidth="1"/>
    <col min="3" max="7" width="21" style="55" customWidth="1"/>
    <col min="8" max="8" width="14" style="55" bestFit="1" customWidth="1"/>
    <col min="9" max="9" width="15.140625" style="55" customWidth="1"/>
    <col min="10" max="16384" width="9.140625" style="55"/>
  </cols>
  <sheetData>
    <row r="1" spans="1:9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5"/>
      <c r="I1" s="125"/>
    </row>
    <row r="2" spans="1:9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5"/>
      <c r="I2" s="125"/>
    </row>
    <row r="3" spans="1:9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5"/>
      <c r="I3" s="125"/>
    </row>
    <row r="4" spans="1:9" ht="15.75" customHeight="1" x14ac:dyDescent="0.25">
      <c r="A4" s="287"/>
      <c r="B4" s="126"/>
      <c r="C4" s="126"/>
      <c r="D4" s="288" t="s">
        <v>493</v>
      </c>
      <c r="E4" s="126"/>
      <c r="F4" s="126"/>
      <c r="G4" s="126"/>
      <c r="H4" s="125"/>
      <c r="I4" s="125"/>
    </row>
    <row r="5" spans="1:9" ht="15.75" customHeight="1" x14ac:dyDescent="0.25">
      <c r="A5" s="287"/>
      <c r="B5" s="126"/>
      <c r="C5" s="126"/>
      <c r="D5" s="126"/>
      <c r="E5" s="126"/>
      <c r="F5" s="126"/>
      <c r="G5" s="126"/>
      <c r="H5" s="125"/>
      <c r="I5" s="125"/>
    </row>
    <row r="6" spans="1:9" ht="15.75" customHeight="1" x14ac:dyDescent="0.25">
      <c r="A6" s="126">
        <v>-1</v>
      </c>
      <c r="B6" s="126">
        <v>-2</v>
      </c>
      <c r="C6" s="126">
        <v>-3</v>
      </c>
      <c r="D6" s="126">
        <v>-4</v>
      </c>
      <c r="E6" s="126">
        <v>-5</v>
      </c>
      <c r="F6" s="126">
        <v>-6</v>
      </c>
      <c r="G6" s="126">
        <v>-7</v>
      </c>
      <c r="H6" s="125"/>
      <c r="I6" s="125"/>
    </row>
    <row r="7" spans="1:9" ht="15.75" customHeight="1" x14ac:dyDescent="0.25">
      <c r="A7" s="287"/>
      <c r="B7" s="126"/>
      <c r="C7" s="126"/>
      <c r="D7" s="126"/>
      <c r="E7" s="126"/>
      <c r="F7" s="126" t="s">
        <v>494</v>
      </c>
      <c r="G7" s="126" t="s">
        <v>494</v>
      </c>
      <c r="H7" s="125"/>
      <c r="I7" s="289"/>
    </row>
    <row r="8" spans="1:9" ht="15.75" customHeight="1" x14ac:dyDescent="0.25">
      <c r="A8" s="287"/>
      <c r="B8" s="126"/>
      <c r="C8" s="126" t="s">
        <v>495</v>
      </c>
      <c r="D8" s="126" t="s">
        <v>496</v>
      </c>
      <c r="E8" s="126" t="s">
        <v>497</v>
      </c>
      <c r="F8" s="126" t="s">
        <v>498</v>
      </c>
      <c r="G8" s="126" t="s">
        <v>499</v>
      </c>
      <c r="H8" s="125"/>
      <c r="I8" s="289"/>
    </row>
    <row r="9" spans="1:9" ht="15.75" customHeight="1" x14ac:dyDescent="0.25">
      <c r="A9" s="290" t="s">
        <v>8</v>
      </c>
      <c r="B9" s="291" t="s">
        <v>9</v>
      </c>
      <c r="C9" s="292" t="s">
        <v>500</v>
      </c>
      <c r="D9" s="292" t="s">
        <v>501</v>
      </c>
      <c r="E9" s="292" t="s">
        <v>502</v>
      </c>
      <c r="F9" s="292" t="s">
        <v>501</v>
      </c>
      <c r="G9" s="292" t="s">
        <v>502</v>
      </c>
      <c r="H9" s="125"/>
      <c r="I9" s="56"/>
    </row>
    <row r="10" spans="1:9" ht="15.75" customHeight="1" x14ac:dyDescent="0.25">
      <c r="A10" s="293" t="s">
        <v>503</v>
      </c>
      <c r="B10" s="126"/>
      <c r="C10" s="126"/>
      <c r="D10" s="126"/>
      <c r="E10" s="126"/>
      <c r="F10" s="126"/>
      <c r="G10" s="126"/>
      <c r="H10" s="125"/>
      <c r="I10" s="56"/>
    </row>
    <row r="11" spans="1:9" ht="15" customHeight="1" x14ac:dyDescent="0.2">
      <c r="A11" s="294">
        <v>1</v>
      </c>
      <c r="B11" s="295" t="s">
        <v>504</v>
      </c>
      <c r="C11" s="296">
        <v>16350</v>
      </c>
      <c r="D11" s="297">
        <v>53</v>
      </c>
      <c r="E11" s="297">
        <v>104</v>
      </c>
      <c r="F11" s="298">
        <f>IF(D11=0,0,$C11/(D11*365))</f>
        <v>0.84517963298009824</v>
      </c>
      <c r="G11" s="298">
        <f>IF(E11=0,0,$C11/(E11*365))</f>
        <v>0.43071654373024237</v>
      </c>
      <c r="H11" s="125"/>
      <c r="I11" s="299"/>
    </row>
    <row r="12" spans="1:9" ht="15" customHeight="1" thickBot="1" x14ac:dyDescent="0.3">
      <c r="A12" s="294"/>
      <c r="B12" s="141"/>
      <c r="C12" s="296"/>
      <c r="D12" s="89"/>
      <c r="F12" s="298"/>
      <c r="G12" s="298"/>
      <c r="H12" s="125"/>
      <c r="I12" s="299"/>
    </row>
    <row r="13" spans="1:9" ht="15" customHeight="1" x14ac:dyDescent="0.2">
      <c r="A13" s="294">
        <v>2</v>
      </c>
      <c r="B13" s="295" t="s">
        <v>505</v>
      </c>
      <c r="C13" s="296">
        <v>2334</v>
      </c>
      <c r="D13" s="297">
        <v>12</v>
      </c>
      <c r="E13" s="297">
        <v>12</v>
      </c>
      <c r="F13" s="298">
        <f>IF(D13=0,0,$C13/(D13*365))</f>
        <v>0.5328767123287671</v>
      </c>
      <c r="G13" s="298">
        <f>IF(E13=0,0,$C13/(E13*365))</f>
        <v>0.5328767123287671</v>
      </c>
      <c r="H13" s="125"/>
      <c r="I13" s="299"/>
    </row>
    <row r="14" spans="1:9" ht="15" customHeight="1" x14ac:dyDescent="0.2">
      <c r="A14" s="294"/>
      <c r="B14" s="141"/>
      <c r="C14" s="296"/>
      <c r="F14" s="298"/>
      <c r="G14" s="298"/>
      <c r="H14" s="125"/>
      <c r="I14" s="299"/>
    </row>
    <row r="15" spans="1:9" ht="15" customHeight="1" x14ac:dyDescent="0.2">
      <c r="A15" s="294">
        <v>3</v>
      </c>
      <c r="B15" s="295" t="s">
        <v>506</v>
      </c>
      <c r="C15" s="296">
        <v>0</v>
      </c>
      <c r="D15" s="297">
        <v>0</v>
      </c>
      <c r="E15" s="297">
        <v>0</v>
      </c>
      <c r="F15" s="298">
        <f t="shared" ref="F15:G17" si="0">IF(D15=0,0,$C15/(D15*365))</f>
        <v>0</v>
      </c>
      <c r="G15" s="298">
        <f t="shared" si="0"/>
        <v>0</v>
      </c>
      <c r="H15" s="125"/>
      <c r="I15" s="299"/>
    </row>
    <row r="16" spans="1:9" ht="15" customHeight="1" x14ac:dyDescent="0.2">
      <c r="A16" s="294">
        <v>4</v>
      </c>
      <c r="B16" s="295" t="s">
        <v>507</v>
      </c>
      <c r="C16" s="296">
        <v>0</v>
      </c>
      <c r="D16" s="297">
        <v>0</v>
      </c>
      <c r="E16" s="297">
        <v>0</v>
      </c>
      <c r="F16" s="298">
        <f t="shared" si="0"/>
        <v>0</v>
      </c>
      <c r="G16" s="298">
        <f t="shared" si="0"/>
        <v>0</v>
      </c>
      <c r="H16" s="125"/>
      <c r="I16" s="299"/>
    </row>
    <row r="17" spans="1:9" ht="15.75" customHeight="1" x14ac:dyDescent="0.25">
      <c r="A17" s="293"/>
      <c r="B17" s="135" t="s">
        <v>508</v>
      </c>
      <c r="C17" s="300">
        <f>SUM(C15:C16)</f>
        <v>0</v>
      </c>
      <c r="D17" s="300">
        <f>SUM(D15:D16)</f>
        <v>0</v>
      </c>
      <c r="E17" s="300">
        <f>SUM(E15:E16)</f>
        <v>0</v>
      </c>
      <c r="F17" s="301">
        <f t="shared" si="0"/>
        <v>0</v>
      </c>
      <c r="G17" s="301">
        <f t="shared" si="0"/>
        <v>0</v>
      </c>
      <c r="H17" s="125"/>
      <c r="I17" s="299"/>
    </row>
    <row r="18" spans="1:9" ht="15.75" customHeight="1" x14ac:dyDescent="0.25">
      <c r="A18" s="293"/>
      <c r="B18" s="153"/>
      <c r="C18" s="296"/>
      <c r="D18" s="297"/>
      <c r="E18" s="297"/>
      <c r="F18" s="298"/>
      <c r="G18" s="298"/>
      <c r="H18" s="125"/>
      <c r="I18" s="299"/>
    </row>
    <row r="19" spans="1:9" ht="15" customHeight="1" x14ac:dyDescent="0.2">
      <c r="A19" s="294">
        <v>5</v>
      </c>
      <c r="B19" s="295" t="s">
        <v>509</v>
      </c>
      <c r="C19" s="296">
        <v>0</v>
      </c>
      <c r="D19" s="297">
        <v>0</v>
      </c>
      <c r="E19" s="297">
        <v>0</v>
      </c>
      <c r="F19" s="298">
        <f>IF(D19=0,0,$C19/(D19*365))</f>
        <v>0</v>
      </c>
      <c r="G19" s="298">
        <f>IF(E19=0,0,$C19/(E19*365))</f>
        <v>0</v>
      </c>
      <c r="H19" s="125"/>
      <c r="I19" s="299"/>
    </row>
    <row r="20" spans="1:9" ht="15" customHeight="1" x14ac:dyDescent="0.2">
      <c r="A20" s="294"/>
      <c r="B20" s="141"/>
      <c r="F20" s="298"/>
      <c r="G20" s="298"/>
      <c r="H20" s="125"/>
      <c r="I20" s="299"/>
    </row>
    <row r="21" spans="1:9" ht="15" customHeight="1" x14ac:dyDescent="0.2">
      <c r="A21" s="294">
        <v>6</v>
      </c>
      <c r="B21" s="295" t="s">
        <v>510</v>
      </c>
      <c r="C21" s="296">
        <v>1184</v>
      </c>
      <c r="D21" s="297">
        <v>14</v>
      </c>
      <c r="E21" s="297">
        <v>14</v>
      </c>
      <c r="F21" s="298">
        <f>IF(D21=0,0,$C21/(D21*365))</f>
        <v>0.23170254403131116</v>
      </c>
      <c r="G21" s="298">
        <f>IF(E21=0,0,$C21/(E21*365))</f>
        <v>0.23170254403131116</v>
      </c>
      <c r="H21" s="125"/>
      <c r="I21" s="299"/>
    </row>
    <row r="22" spans="1:9" ht="15" customHeight="1" x14ac:dyDescent="0.2">
      <c r="A22" s="294"/>
      <c r="B22" s="141"/>
      <c r="F22" s="298"/>
      <c r="G22" s="298"/>
      <c r="H22" s="125"/>
      <c r="I22" s="299"/>
    </row>
    <row r="23" spans="1:9" ht="15" customHeight="1" x14ac:dyDescent="0.2">
      <c r="A23" s="294">
        <v>7</v>
      </c>
      <c r="B23" s="295" t="s">
        <v>511</v>
      </c>
      <c r="C23" s="296">
        <v>982</v>
      </c>
      <c r="D23" s="297">
        <v>8</v>
      </c>
      <c r="E23" s="297">
        <v>14</v>
      </c>
      <c r="F23" s="298">
        <f>IF(D23=0,0,$C23/(D23*365))</f>
        <v>0.33630136986301368</v>
      </c>
      <c r="G23" s="298">
        <f>IF(E23=0,0,$C23/(E23*365))</f>
        <v>0.19217221135029355</v>
      </c>
      <c r="H23" s="125"/>
      <c r="I23" s="299"/>
    </row>
    <row r="24" spans="1:9" ht="15" customHeight="1" x14ac:dyDescent="0.2">
      <c r="A24" s="294"/>
      <c r="B24" s="141"/>
      <c r="F24" s="298"/>
      <c r="G24" s="298"/>
      <c r="H24" s="125"/>
      <c r="I24" s="299"/>
    </row>
    <row r="25" spans="1:9" ht="15" customHeight="1" x14ac:dyDescent="0.2">
      <c r="A25" s="294">
        <v>8</v>
      </c>
      <c r="B25" s="295" t="s">
        <v>295</v>
      </c>
      <c r="C25" s="296">
        <v>0</v>
      </c>
      <c r="D25" s="297">
        <v>0</v>
      </c>
      <c r="E25" s="297">
        <v>0</v>
      </c>
      <c r="F25" s="298">
        <f>IF(D25=0,0,$C25/(D25*365))</f>
        <v>0</v>
      </c>
      <c r="G25" s="298">
        <f>IF(E25=0,0,$C25/(E25*365))</f>
        <v>0</v>
      </c>
      <c r="H25" s="125"/>
      <c r="I25" s="299"/>
    </row>
    <row r="26" spans="1:9" ht="15" customHeight="1" x14ac:dyDescent="0.2">
      <c r="A26" s="294"/>
      <c r="B26" s="141"/>
      <c r="F26" s="298"/>
      <c r="G26" s="298"/>
      <c r="H26" s="125"/>
      <c r="I26" s="299"/>
    </row>
    <row r="27" spans="1:9" ht="15" customHeight="1" x14ac:dyDescent="0.2">
      <c r="A27" s="294">
        <v>9</v>
      </c>
      <c r="B27" s="295" t="s">
        <v>512</v>
      </c>
      <c r="C27" s="296">
        <v>0</v>
      </c>
      <c r="D27" s="297">
        <v>0</v>
      </c>
      <c r="E27" s="297">
        <v>0</v>
      </c>
      <c r="F27" s="298">
        <f>IF(D27=0,0,$C27/(D27*365))</f>
        <v>0</v>
      </c>
      <c r="G27" s="298">
        <f>IF(E27=0,0,$C27/(E27*365))</f>
        <v>0</v>
      </c>
      <c r="H27" s="125"/>
      <c r="I27" s="299"/>
    </row>
    <row r="28" spans="1:9" ht="15" customHeight="1" x14ac:dyDescent="0.2">
      <c r="A28" s="294"/>
      <c r="B28" s="141"/>
      <c r="F28" s="298"/>
      <c r="G28" s="298"/>
      <c r="H28" s="125"/>
      <c r="I28" s="299"/>
    </row>
    <row r="29" spans="1:9" ht="15" customHeight="1" x14ac:dyDescent="0.2">
      <c r="A29" s="294">
        <v>10</v>
      </c>
      <c r="B29" s="295" t="s">
        <v>513</v>
      </c>
      <c r="C29" s="296">
        <v>0</v>
      </c>
      <c r="D29" s="297">
        <v>0</v>
      </c>
      <c r="E29" s="297">
        <v>0</v>
      </c>
      <c r="F29" s="298">
        <f>IF(D29=0,0,$C29/(D29*365))</f>
        <v>0</v>
      </c>
      <c r="G29" s="298">
        <f>IF(E29=0,0,$C29/(E29*365))</f>
        <v>0</v>
      </c>
      <c r="H29" s="125"/>
      <c r="I29" s="299"/>
    </row>
    <row r="30" spans="1:9" ht="15.75" customHeight="1" x14ac:dyDescent="0.25">
      <c r="A30" s="293"/>
      <c r="B30" s="153"/>
      <c r="C30" s="296"/>
      <c r="D30" s="297"/>
      <c r="E30" s="297"/>
      <c r="F30" s="298"/>
      <c r="G30" s="298"/>
      <c r="H30" s="125"/>
      <c r="I30" s="299"/>
    </row>
    <row r="31" spans="1:9" ht="15.75" customHeight="1" x14ac:dyDescent="0.25">
      <c r="A31" s="293"/>
      <c r="B31" s="135" t="s">
        <v>514</v>
      </c>
      <c r="C31" s="300">
        <f>SUM(C10:C29)-C17-C23</f>
        <v>19868</v>
      </c>
      <c r="D31" s="300">
        <f>SUM(D10:D29)-D17-D23</f>
        <v>79</v>
      </c>
      <c r="E31" s="300">
        <f>SUM(E10:E29)-E17-E23</f>
        <v>130</v>
      </c>
      <c r="F31" s="301">
        <f>IF(D31=0,0,$C31/(D31*365))</f>
        <v>0.68902375585226283</v>
      </c>
      <c r="G31" s="301">
        <f>IF(E31=0,0,$C31/(E31*365))</f>
        <v>0.41871443624868282</v>
      </c>
      <c r="H31" s="125"/>
      <c r="I31" s="299"/>
    </row>
    <row r="32" spans="1:9" ht="15.75" customHeight="1" x14ac:dyDescent="0.25">
      <c r="A32" s="293"/>
      <c r="B32" s="153"/>
      <c r="C32" s="296"/>
      <c r="D32" s="296"/>
      <c r="E32" s="296"/>
      <c r="F32" s="298"/>
      <c r="G32" s="298"/>
      <c r="H32" s="125"/>
      <c r="I32" s="299"/>
    </row>
    <row r="33" spans="1:9" ht="15.75" customHeight="1" x14ac:dyDescent="0.25">
      <c r="A33" s="293"/>
      <c r="B33" s="135" t="s">
        <v>515</v>
      </c>
      <c r="C33" s="300">
        <f>SUM(C10:C29)-C17</f>
        <v>20850</v>
      </c>
      <c r="D33" s="300">
        <f>SUM(D10:D29)-D17</f>
        <v>87</v>
      </c>
      <c r="E33" s="300">
        <f>SUM(E10:E29)-E17</f>
        <v>144</v>
      </c>
      <c r="F33" s="301">
        <f>IF(D33=0,0,$C33/(D33*365))</f>
        <v>0.65658951346244687</v>
      </c>
      <c r="G33" s="301">
        <f>IF(E33=0,0,$C33/(E33*365))</f>
        <v>0.39668949771689499</v>
      </c>
      <c r="H33" s="125"/>
      <c r="I33" s="299"/>
    </row>
    <row r="34" spans="1:9" ht="15.75" customHeight="1" x14ac:dyDescent="0.25">
      <c r="A34" s="293"/>
      <c r="B34" s="126"/>
      <c r="C34" s="300"/>
      <c r="D34" s="302"/>
      <c r="E34" s="302"/>
      <c r="F34" s="301"/>
      <c r="G34" s="301"/>
      <c r="H34" s="125"/>
      <c r="I34" s="299"/>
    </row>
    <row r="35" spans="1:9" ht="15.75" customHeight="1" x14ac:dyDescent="0.25">
      <c r="A35" s="293"/>
      <c r="B35" s="126"/>
      <c r="C35" s="300"/>
      <c r="D35" s="302"/>
      <c r="E35" s="302"/>
      <c r="F35" s="301"/>
      <c r="G35" s="301"/>
      <c r="H35" s="125"/>
      <c r="I35" s="299"/>
    </row>
    <row r="36" spans="1:9" ht="15.75" customHeight="1" x14ac:dyDescent="0.25">
      <c r="A36" s="293"/>
      <c r="B36" s="135" t="s">
        <v>516</v>
      </c>
      <c r="C36" s="300">
        <f>+C33</f>
        <v>20850</v>
      </c>
      <c r="D36" s="300">
        <f>+D33</f>
        <v>87</v>
      </c>
      <c r="E36" s="300">
        <f>+E33</f>
        <v>144</v>
      </c>
      <c r="F36" s="301">
        <f>+F33</f>
        <v>0.65658951346244687</v>
      </c>
      <c r="G36" s="301">
        <f>+G33</f>
        <v>0.39668949771689499</v>
      </c>
      <c r="H36" s="125"/>
      <c r="I36" s="299"/>
    </row>
    <row r="37" spans="1:9" ht="15.75" customHeight="1" x14ac:dyDescent="0.25">
      <c r="A37" s="293"/>
      <c r="B37" s="135" t="s">
        <v>517</v>
      </c>
      <c r="C37" s="300">
        <v>20696</v>
      </c>
      <c r="D37" s="302">
        <v>87</v>
      </c>
      <c r="E37" s="302">
        <v>144</v>
      </c>
      <c r="F37" s="301">
        <f>IF(D37=0,0,$C37/(D37*365))</f>
        <v>0.65173988348291612</v>
      </c>
      <c r="G37" s="301">
        <f>IF(E37=0,0,$C37/(E37*365))</f>
        <v>0.39375951293759515</v>
      </c>
      <c r="H37" s="125"/>
      <c r="I37" s="299"/>
    </row>
    <row r="38" spans="1:9" ht="15.75" customHeight="1" x14ac:dyDescent="0.25">
      <c r="A38" s="293"/>
      <c r="B38" s="135" t="s">
        <v>518</v>
      </c>
      <c r="C38" s="300">
        <f>+C36-C37</f>
        <v>154</v>
      </c>
      <c r="D38" s="300">
        <f>+D36-D37</f>
        <v>0</v>
      </c>
      <c r="E38" s="300">
        <f>+E36-E37</f>
        <v>0</v>
      </c>
      <c r="F38" s="301">
        <f>+F36-F37</f>
        <v>4.8496299795307563E-3</v>
      </c>
      <c r="G38" s="301">
        <f>+G36-G37</f>
        <v>2.9299847792998435E-3</v>
      </c>
      <c r="H38" s="125"/>
      <c r="I38" s="299"/>
    </row>
    <row r="39" spans="1:9" ht="15.75" customHeight="1" x14ac:dyDescent="0.25">
      <c r="A39" s="293"/>
      <c r="B39" s="153"/>
      <c r="C39" s="303"/>
      <c r="D39" s="303"/>
      <c r="E39" s="303"/>
      <c r="F39" s="301"/>
      <c r="G39" s="301"/>
      <c r="H39" s="125"/>
      <c r="I39" s="299"/>
    </row>
    <row r="40" spans="1:9" ht="15.75" customHeight="1" x14ac:dyDescent="0.25">
      <c r="A40" s="293"/>
      <c r="B40" s="135" t="s">
        <v>519</v>
      </c>
      <c r="C40" s="148">
        <f>IF(C37=0,0,C38/C37)</f>
        <v>7.441051410900657E-3</v>
      </c>
      <c r="D40" s="148">
        <f>IF(D37=0,0,D38/D37)</f>
        <v>0</v>
      </c>
      <c r="E40" s="148">
        <f>IF(E37=0,0,E38/E37)</f>
        <v>0</v>
      </c>
      <c r="F40" s="148">
        <f>IF(F37=0,0,F38/F37)</f>
        <v>7.4410514109006162E-3</v>
      </c>
      <c r="G40" s="148">
        <f>IF(G37=0,0,G38/G37)</f>
        <v>7.4410514109006457E-3</v>
      </c>
      <c r="H40" s="202"/>
      <c r="I40" s="299"/>
    </row>
    <row r="41" spans="1:9" ht="15.75" customHeight="1" x14ac:dyDescent="0.25">
      <c r="A41" s="200"/>
      <c r="B41" s="200"/>
      <c r="C41" s="200"/>
      <c r="D41" s="200"/>
      <c r="E41" s="200"/>
      <c r="F41" s="200"/>
      <c r="G41" s="200"/>
      <c r="H41" s="125"/>
      <c r="I41" s="299"/>
    </row>
    <row r="42" spans="1:9" ht="15.75" customHeight="1" x14ac:dyDescent="0.25">
      <c r="A42" s="60"/>
      <c r="B42" s="295" t="s">
        <v>520</v>
      </c>
      <c r="C42" s="295">
        <v>144</v>
      </c>
      <c r="D42" s="60"/>
      <c r="E42" s="60"/>
      <c r="F42" s="60"/>
      <c r="G42" s="60"/>
      <c r="H42" s="8"/>
      <c r="I42" s="21"/>
    </row>
    <row r="43" spans="1:9" ht="15.75" customHeight="1" x14ac:dyDescent="0.25">
      <c r="A43" s="60"/>
      <c r="B43" s="60"/>
      <c r="C43" s="60"/>
      <c r="D43" s="60"/>
      <c r="E43" s="60"/>
      <c r="F43" s="60"/>
      <c r="G43" s="60"/>
      <c r="H43" s="8"/>
      <c r="I43" s="21"/>
    </row>
    <row r="44" spans="1:9" ht="15.75" customHeight="1" x14ac:dyDescent="0.25">
      <c r="A44" s="304" t="s">
        <v>521</v>
      </c>
      <c r="B44" s="305"/>
      <c r="C44" s="125"/>
      <c r="D44" s="125"/>
      <c r="E44" s="125"/>
      <c r="F44" s="125"/>
      <c r="G44" s="125"/>
      <c r="H44" s="125"/>
      <c r="I44" s="299"/>
    </row>
    <row r="45" spans="1:9" ht="15.75" customHeight="1" x14ac:dyDescent="0.25">
      <c r="A45" s="304" t="s">
        <v>503</v>
      </c>
      <c r="B45" s="305"/>
      <c r="C45" s="125"/>
      <c r="D45" s="125"/>
      <c r="E45" s="125"/>
      <c r="F45" s="125"/>
      <c r="G45" s="125"/>
      <c r="H45" s="125"/>
      <c r="I45" s="299"/>
    </row>
    <row r="46" spans="1:9" ht="15.75" customHeight="1" x14ac:dyDescent="0.25">
      <c r="A46" s="306"/>
      <c r="B46" s="305"/>
      <c r="C46" s="305"/>
      <c r="D46" s="305"/>
      <c r="E46" s="305"/>
      <c r="F46" s="305"/>
      <c r="G46" s="305"/>
    </row>
    <row r="47" spans="1:9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FILING&amp;RWINDHAM COMMUNITY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522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523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524</v>
      </c>
      <c r="C12" s="296">
        <v>3816</v>
      </c>
      <c r="D12" s="296">
        <v>3523</v>
      </c>
      <c r="E12" s="296">
        <f>+D12-C12</f>
        <v>-293</v>
      </c>
      <c r="F12" s="316">
        <f>IF(C12=0,0,+E12/C12)</f>
        <v>-7.6781970649895184E-2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525</v>
      </c>
      <c r="C13" s="296">
        <v>4457</v>
      </c>
      <c r="D13" s="296">
        <v>4463</v>
      </c>
      <c r="E13" s="296">
        <f>+D13-C13</f>
        <v>6</v>
      </c>
      <c r="F13" s="316">
        <f>IF(C13=0,0,+E13/C13)</f>
        <v>1.3461969934933811E-3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526</v>
      </c>
      <c r="C14" s="296">
        <v>3816</v>
      </c>
      <c r="D14" s="296">
        <v>5071</v>
      </c>
      <c r="E14" s="296">
        <f>+D14-C14</f>
        <v>1255</v>
      </c>
      <c r="F14" s="316">
        <f>IF(C14=0,0,+E14/C14)</f>
        <v>0.32887840670859536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527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528</v>
      </c>
      <c r="C16" s="300">
        <f>SUM(C12:C15)</f>
        <v>12089</v>
      </c>
      <c r="D16" s="300">
        <f>SUM(D12:D15)</f>
        <v>13057</v>
      </c>
      <c r="E16" s="300">
        <f>+D16-C16</f>
        <v>968</v>
      </c>
      <c r="F16" s="309">
        <f>IF(C16=0,0,+E16/C16)</f>
        <v>8.0072793448589627E-2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529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524</v>
      </c>
      <c r="C19" s="296">
        <v>438</v>
      </c>
      <c r="D19" s="296">
        <v>572</v>
      </c>
      <c r="E19" s="296">
        <f>+D19-C19</f>
        <v>134</v>
      </c>
      <c r="F19" s="316">
        <f>IF(C19=0,0,+E19/C19)</f>
        <v>0.30593607305936071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525</v>
      </c>
      <c r="C20" s="296">
        <v>3493</v>
      </c>
      <c r="D20" s="296">
        <v>3806</v>
      </c>
      <c r="E20" s="296">
        <f>+D20-C20</f>
        <v>313</v>
      </c>
      <c r="F20" s="316">
        <f>IF(C20=0,0,+E20/C20)</f>
        <v>8.9607787002576586E-2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526</v>
      </c>
      <c r="C21" s="296">
        <v>82</v>
      </c>
      <c r="D21" s="296">
        <v>59</v>
      </c>
      <c r="E21" s="296">
        <f>+D21-C21</f>
        <v>-23</v>
      </c>
      <c r="F21" s="316">
        <f>IF(C21=0,0,+E21/C21)</f>
        <v>-0.28048780487804881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527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530</v>
      </c>
      <c r="C23" s="300">
        <f>SUM(C19:C22)</f>
        <v>4013</v>
      </c>
      <c r="D23" s="300">
        <f>SUM(D19:D22)</f>
        <v>4437</v>
      </c>
      <c r="E23" s="300">
        <f>+D23-C23</f>
        <v>424</v>
      </c>
      <c r="F23" s="309">
        <f>IF(C23=0,0,+E23/C23)</f>
        <v>0.10565661599800648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531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524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525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526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527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532</v>
      </c>
      <c r="C30" s="300">
        <f>SUM(C26:C29)</f>
        <v>0</v>
      </c>
      <c r="D30" s="300">
        <f>SUM(D26:D29)</f>
        <v>0</v>
      </c>
      <c r="E30" s="300">
        <f>+D30-C30</f>
        <v>0</v>
      </c>
      <c r="F30" s="309">
        <f>IF(C30=0,0,+E30/C30)</f>
        <v>0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533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524</v>
      </c>
      <c r="C33" s="296">
        <v>5</v>
      </c>
      <c r="D33" s="296">
        <v>7</v>
      </c>
      <c r="E33" s="296">
        <f>+D33-C33</f>
        <v>2</v>
      </c>
      <c r="F33" s="316">
        <f>IF(C33=0,0,+E33/C33)</f>
        <v>0.4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525</v>
      </c>
      <c r="C34" s="296">
        <v>101</v>
      </c>
      <c r="D34" s="296">
        <v>104</v>
      </c>
      <c r="E34" s="296">
        <f>+D34-C34</f>
        <v>3</v>
      </c>
      <c r="F34" s="316">
        <f>IF(C34=0,0,+E34/C34)</f>
        <v>2.9702970297029702E-2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526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527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534</v>
      </c>
      <c r="C37" s="300">
        <f>SUM(C33:C36)</f>
        <v>106</v>
      </c>
      <c r="D37" s="300">
        <f>SUM(D33:D36)</f>
        <v>111</v>
      </c>
      <c r="E37" s="300">
        <f>+D37-C37</f>
        <v>5</v>
      </c>
      <c r="F37" s="309">
        <f>IF(C37=0,0,+E37/C37)</f>
        <v>4.716981132075472E-2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535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536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537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538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539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540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541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538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539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542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543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544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545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546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547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548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549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550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551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552</v>
      </c>
      <c r="C63" s="296">
        <v>1356</v>
      </c>
      <c r="D63" s="296">
        <v>1249</v>
      </c>
      <c r="E63" s="296">
        <f>+D63-C63</f>
        <v>-107</v>
      </c>
      <c r="F63" s="316">
        <f>IF(C63=0,0,+E63/C63)</f>
        <v>-7.8908554572271389E-2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553</v>
      </c>
      <c r="C64" s="296">
        <v>5916</v>
      </c>
      <c r="D64" s="296">
        <v>6058</v>
      </c>
      <c r="E64" s="296">
        <f>+D64-C64</f>
        <v>142</v>
      </c>
      <c r="F64" s="316">
        <f>IF(C64=0,0,+E64/C64)</f>
        <v>2.4002704530087897E-2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554</v>
      </c>
      <c r="C65" s="300">
        <f>SUM(C63:C64)</f>
        <v>7272</v>
      </c>
      <c r="D65" s="300">
        <f>SUM(D63:D64)</f>
        <v>7307</v>
      </c>
      <c r="E65" s="300">
        <f>+D65-C65</f>
        <v>35</v>
      </c>
      <c r="F65" s="309">
        <f>IF(C65=0,0,+E65/C65)</f>
        <v>4.8129812981298134E-3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555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556</v>
      </c>
      <c r="C68" s="296">
        <v>1055</v>
      </c>
      <c r="D68" s="296">
        <v>1213</v>
      </c>
      <c r="E68" s="296">
        <f>+D68-C68</f>
        <v>158</v>
      </c>
      <c r="F68" s="316">
        <f>IF(C68=0,0,+E68/C68)</f>
        <v>0.14976303317535544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557</v>
      </c>
      <c r="C69" s="296">
        <v>4608</v>
      </c>
      <c r="D69" s="296">
        <v>4515</v>
      </c>
      <c r="E69" s="296">
        <f>+D69-C69</f>
        <v>-93</v>
      </c>
      <c r="F69" s="318">
        <f>IF(C69=0,0,+E69/C69)</f>
        <v>-2.0182291666666668E-2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558</v>
      </c>
      <c r="C70" s="300">
        <f>SUM(C68:C69)</f>
        <v>5663</v>
      </c>
      <c r="D70" s="300">
        <f>SUM(D68:D69)</f>
        <v>5728</v>
      </c>
      <c r="E70" s="300">
        <f>+D70-C70</f>
        <v>65</v>
      </c>
      <c r="F70" s="309">
        <f>IF(C70=0,0,+E70/C70)</f>
        <v>1.1478015186297015E-2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559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560</v>
      </c>
      <c r="C73" s="319">
        <v>3721</v>
      </c>
      <c r="D73" s="319">
        <v>3665</v>
      </c>
      <c r="E73" s="296">
        <f>+D73-C73</f>
        <v>-56</v>
      </c>
      <c r="F73" s="316">
        <f>IF(C73=0,0,+E73/C73)</f>
        <v>-1.5049717817790917E-2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561</v>
      </c>
      <c r="C74" s="319">
        <v>26293</v>
      </c>
      <c r="D74" s="319">
        <v>28697</v>
      </c>
      <c r="E74" s="296">
        <f>+D74-C74</f>
        <v>2404</v>
      </c>
      <c r="F74" s="316">
        <f>IF(C74=0,0,+E74/C74)</f>
        <v>9.1431179401361584E-2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30014</v>
      </c>
      <c r="D75" s="300">
        <f>SUM(D73:D74)</f>
        <v>32362</v>
      </c>
      <c r="E75" s="300">
        <f>SUM(E73:E74)</f>
        <v>2348</v>
      </c>
      <c r="F75" s="309">
        <f>IF(C75=0,0,+E75/C75)</f>
        <v>7.8230159259012458E-2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562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563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564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565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566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567</v>
      </c>
      <c r="C83" s="319">
        <v>5554</v>
      </c>
      <c r="D83" s="319">
        <v>2998</v>
      </c>
      <c r="E83" s="296">
        <f t="shared" si="0"/>
        <v>-2556</v>
      </c>
      <c r="F83" s="316">
        <f t="shared" si="1"/>
        <v>-0.46020885848037452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568</v>
      </c>
      <c r="C84" s="320">
        <f>SUM(C79:C83)</f>
        <v>5554</v>
      </c>
      <c r="D84" s="320">
        <f>SUM(D79:D83)</f>
        <v>2998</v>
      </c>
      <c r="E84" s="300">
        <f t="shared" si="0"/>
        <v>-2556</v>
      </c>
      <c r="F84" s="309">
        <f t="shared" si="1"/>
        <v>-0.46020885848037452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569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570</v>
      </c>
      <c r="C87" s="322">
        <v>11960</v>
      </c>
      <c r="D87" s="322">
        <v>15550</v>
      </c>
      <c r="E87" s="323">
        <f t="shared" ref="E87:E92" si="2">+D87-C87</f>
        <v>3590</v>
      </c>
      <c r="F87" s="318">
        <f t="shared" ref="F87:F92" si="3">IF(C87=0,0,+E87/C87)</f>
        <v>0.30016722408026758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8518</v>
      </c>
      <c r="D88" s="322">
        <v>1665</v>
      </c>
      <c r="E88" s="296">
        <f t="shared" si="2"/>
        <v>-6853</v>
      </c>
      <c r="F88" s="316">
        <f t="shared" si="3"/>
        <v>-0.80453158018314164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571</v>
      </c>
      <c r="C89" s="322">
        <v>1355</v>
      </c>
      <c r="D89" s="322">
        <v>156</v>
      </c>
      <c r="E89" s="296">
        <f t="shared" si="2"/>
        <v>-1199</v>
      </c>
      <c r="F89" s="316">
        <f t="shared" si="3"/>
        <v>-0.88487084870848709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572</v>
      </c>
      <c r="C90" s="322">
        <v>0</v>
      </c>
      <c r="D90" s="322">
        <v>0</v>
      </c>
      <c r="E90" s="296">
        <f t="shared" si="2"/>
        <v>0</v>
      </c>
      <c r="F90" s="316">
        <f t="shared" si="3"/>
        <v>0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573</v>
      </c>
      <c r="C91" s="322">
        <v>5143</v>
      </c>
      <c r="D91" s="322">
        <v>103765</v>
      </c>
      <c r="E91" s="296">
        <f t="shared" si="2"/>
        <v>98622</v>
      </c>
      <c r="F91" s="316">
        <f t="shared" si="3"/>
        <v>19.175967334240717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574</v>
      </c>
      <c r="C92" s="320">
        <f>SUM(C87:C91)</f>
        <v>26976</v>
      </c>
      <c r="D92" s="320">
        <f>SUM(D87:D91)</f>
        <v>121136</v>
      </c>
      <c r="E92" s="300">
        <f t="shared" si="2"/>
        <v>94160</v>
      </c>
      <c r="F92" s="309">
        <f t="shared" si="3"/>
        <v>3.4905100830367735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575</v>
      </c>
      <c r="B95" s="291" t="s">
        <v>576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577</v>
      </c>
      <c r="C96" s="325">
        <v>219</v>
      </c>
      <c r="D96" s="325">
        <v>215.4</v>
      </c>
      <c r="E96" s="326">
        <f>+D96-C96</f>
        <v>-3.5999999999999943</v>
      </c>
      <c r="F96" s="316">
        <f>IF(C96=0,0,+E96/C96)</f>
        <v>-1.6438356164383536E-2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578</v>
      </c>
      <c r="C97" s="325">
        <v>1.1000000000000001</v>
      </c>
      <c r="D97" s="325">
        <v>4.5</v>
      </c>
      <c r="E97" s="326">
        <f>+D97-C97</f>
        <v>3.4</v>
      </c>
      <c r="F97" s="316">
        <f>IF(C97=0,0,+E97/C97)</f>
        <v>3.0909090909090904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579</v>
      </c>
      <c r="C98" s="325">
        <v>387.9</v>
      </c>
      <c r="D98" s="325">
        <v>383.5</v>
      </c>
      <c r="E98" s="326">
        <f>+D98-C98</f>
        <v>-4.3999999999999773</v>
      </c>
      <c r="F98" s="316">
        <f>IF(C98=0,0,+E98/C98)</f>
        <v>-1.1343129672595972E-2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580</v>
      </c>
      <c r="C99" s="327">
        <f>SUM(C96:C98)</f>
        <v>608</v>
      </c>
      <c r="D99" s="327">
        <f>SUM(D96:D98)</f>
        <v>603.4</v>
      </c>
      <c r="E99" s="327">
        <f>+D99-C99</f>
        <v>-4.6000000000000227</v>
      </c>
      <c r="F99" s="309">
        <f>IF(C99=0,0,+E99/C99)</f>
        <v>-7.5657894736842479E-3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FILING&amp;RWINDHAM COMMUNITY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opLeftCell="A4" zoomScale="75" zoomScaleSheetLayoutView="90" workbookViewId="0">
      <selection activeCell="B6" sqref="B6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553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582</v>
      </c>
      <c r="C12" s="296">
        <v>5916</v>
      </c>
      <c r="D12" s="296">
        <v>6058</v>
      </c>
      <c r="E12" s="296">
        <f>+D12-C12</f>
        <v>142</v>
      </c>
      <c r="F12" s="316">
        <f>IF(C12=0,0,+E12/C12)</f>
        <v>2.4002704530087897E-2</v>
      </c>
    </row>
    <row r="13" spans="1:16" ht="15.75" customHeight="1" x14ac:dyDescent="0.25">
      <c r="A13" s="294"/>
      <c r="B13" s="135" t="s">
        <v>583</v>
      </c>
      <c r="C13" s="300">
        <f>SUM(C11:C12)</f>
        <v>5916</v>
      </c>
      <c r="D13" s="300">
        <f>SUM(D11:D12)</f>
        <v>6058</v>
      </c>
      <c r="E13" s="300">
        <f>+D13-C13</f>
        <v>142</v>
      </c>
      <c r="F13" s="309">
        <f>IF(C13=0,0,+E13/C13)</f>
        <v>2.4002704530087897E-2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557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582</v>
      </c>
      <c r="C16" s="296">
        <v>4608</v>
      </c>
      <c r="D16" s="296">
        <v>4515</v>
      </c>
      <c r="E16" s="296">
        <f>+D16-C16</f>
        <v>-93</v>
      </c>
      <c r="F16" s="316">
        <f>IF(C16=0,0,+E16/C16)</f>
        <v>-2.0182291666666668E-2</v>
      </c>
    </row>
    <row r="17" spans="1:6" ht="15.75" customHeight="1" x14ac:dyDescent="0.25">
      <c r="A17" s="294"/>
      <c r="B17" s="135" t="s">
        <v>584</v>
      </c>
      <c r="C17" s="300">
        <f>SUM(C15:C16)</f>
        <v>4608</v>
      </c>
      <c r="D17" s="300">
        <f>SUM(D15:D16)</f>
        <v>4515</v>
      </c>
      <c r="E17" s="300">
        <f>+D17-C17</f>
        <v>-93</v>
      </c>
      <c r="F17" s="309">
        <f>IF(C17=0,0,+E17/C17)</f>
        <v>-2.0182291666666668E-2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585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582</v>
      </c>
      <c r="C20" s="296">
        <v>26293</v>
      </c>
      <c r="D20" s="296">
        <v>28697</v>
      </c>
      <c r="E20" s="296">
        <f>+D20-C20</f>
        <v>2404</v>
      </c>
      <c r="F20" s="316">
        <f>IF(C20=0,0,+E20/C20)</f>
        <v>9.1431179401361584E-2</v>
      </c>
    </row>
    <row r="21" spans="1:6" ht="15.75" customHeight="1" x14ac:dyDescent="0.25">
      <c r="A21" s="294"/>
      <c r="B21" s="135" t="s">
        <v>586</v>
      </c>
      <c r="C21" s="300">
        <f>SUM(C19:C20)</f>
        <v>26293</v>
      </c>
      <c r="D21" s="300">
        <f>SUM(D19:D20)</f>
        <v>28697</v>
      </c>
      <c r="E21" s="300">
        <f>+D21-C21</f>
        <v>2404</v>
      </c>
      <c r="F21" s="309">
        <f>IF(C21=0,0,+E21/C21)</f>
        <v>9.1431179401361584E-2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587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588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589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FILING&amp;RWINDHAM COMMUNITY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activeCell="A3" sqref="A3:F3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590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591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592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593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594</v>
      </c>
      <c r="D7" s="341" t="s">
        <v>594</v>
      </c>
      <c r="E7" s="341" t="s">
        <v>595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596</v>
      </c>
      <c r="D8" s="344" t="s">
        <v>597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598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599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600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601</v>
      </c>
      <c r="C15" s="361">
        <v>41659535</v>
      </c>
      <c r="D15" s="361">
        <v>43401649</v>
      </c>
      <c r="E15" s="361">
        <f t="shared" ref="E15:E24" si="0">D15-C15</f>
        <v>1742114</v>
      </c>
      <c r="F15" s="362">
        <f t="shared" ref="F15:F24" si="1">IF(C15=0,0,E15/C15)</f>
        <v>4.181789355066013E-2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602</v>
      </c>
      <c r="C16" s="361">
        <v>24697646</v>
      </c>
      <c r="D16" s="361">
        <v>26608521</v>
      </c>
      <c r="E16" s="361">
        <f t="shared" si="0"/>
        <v>1910875</v>
      </c>
      <c r="F16" s="362">
        <f t="shared" si="1"/>
        <v>7.7370734036757996E-2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603</v>
      </c>
      <c r="C17" s="366">
        <f>IF(C15=0,0,C16/C15)</f>
        <v>0.59284497534598024</v>
      </c>
      <c r="D17" s="366">
        <f>IF(LN_IA1=0,0,LN_IA2/LN_IA1)</f>
        <v>0.61307626813902849</v>
      </c>
      <c r="E17" s="367">
        <f t="shared" si="0"/>
        <v>2.023129279304825E-2</v>
      </c>
      <c r="F17" s="362">
        <f t="shared" si="1"/>
        <v>3.4125772561775375E-2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2534</v>
      </c>
      <c r="D18" s="369">
        <v>2517</v>
      </c>
      <c r="E18" s="369">
        <f t="shared" si="0"/>
        <v>-17</v>
      </c>
      <c r="F18" s="362">
        <f t="shared" si="1"/>
        <v>-6.7087608524072613E-3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604</v>
      </c>
      <c r="C19" s="372">
        <v>1.1832</v>
      </c>
      <c r="D19" s="372">
        <v>1.1798999999999999</v>
      </c>
      <c r="E19" s="373">
        <f t="shared" si="0"/>
        <v>-3.3000000000000806E-3</v>
      </c>
      <c r="F19" s="362">
        <f t="shared" si="1"/>
        <v>-2.7890466531440843E-3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605</v>
      </c>
      <c r="C20" s="376">
        <f>C18*C19</f>
        <v>2998.2287999999999</v>
      </c>
      <c r="D20" s="376">
        <f>LN_IA4*LN_IA5</f>
        <v>2969.8082999999997</v>
      </c>
      <c r="E20" s="376">
        <f t="shared" si="0"/>
        <v>-28.420500000000175</v>
      </c>
      <c r="F20" s="362">
        <f t="shared" si="1"/>
        <v>-9.4790964585491858E-3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606</v>
      </c>
      <c r="C21" s="378">
        <f>IF(C20=0,0,C16/C20)</f>
        <v>8237.4120347319731</v>
      </c>
      <c r="D21" s="378">
        <f>IF(LN_IA6=0,0,LN_IA2/LN_IA6)</f>
        <v>8959.6762861764528</v>
      </c>
      <c r="E21" s="378">
        <f t="shared" si="0"/>
        <v>722.26425144447967</v>
      </c>
      <c r="F21" s="362">
        <f t="shared" si="1"/>
        <v>8.7680966837539107E-2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11993</v>
      </c>
      <c r="D22" s="369">
        <v>12340</v>
      </c>
      <c r="E22" s="369">
        <f t="shared" si="0"/>
        <v>347</v>
      </c>
      <c r="F22" s="362">
        <f t="shared" si="1"/>
        <v>2.893354456766447E-2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607</v>
      </c>
      <c r="C23" s="378">
        <f>IF(C22=0,0,C16/C22)</f>
        <v>2059.3384474276663</v>
      </c>
      <c r="D23" s="378">
        <f>IF(LN_IA8=0,0,LN_IA2/LN_IA8)</f>
        <v>2156.2820907617506</v>
      </c>
      <c r="E23" s="378">
        <f t="shared" si="0"/>
        <v>96.9436433340843</v>
      </c>
      <c r="F23" s="362">
        <f t="shared" si="1"/>
        <v>4.7075138841396982E-2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608</v>
      </c>
      <c r="C24" s="379">
        <f>IF(C18=0,0,C22/C18)</f>
        <v>4.7328334648776638</v>
      </c>
      <c r="D24" s="379">
        <f>IF(LN_IA4=0,0,LN_IA8/LN_IA4)</f>
        <v>4.9026618990862136</v>
      </c>
      <c r="E24" s="379">
        <f t="shared" si="0"/>
        <v>0.16982843420854987</v>
      </c>
      <c r="F24" s="362">
        <f t="shared" si="1"/>
        <v>3.5883036128113513E-2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609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610</v>
      </c>
      <c r="C27" s="361">
        <v>34320309</v>
      </c>
      <c r="D27" s="361">
        <v>35705285</v>
      </c>
      <c r="E27" s="361">
        <f t="shared" ref="E27:E32" si="2">D27-C27</f>
        <v>1384976</v>
      </c>
      <c r="F27" s="362">
        <f t="shared" ref="F27:F32" si="3">IF(C27=0,0,E27/C27)</f>
        <v>4.0354415223942189E-2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611</v>
      </c>
      <c r="C28" s="361">
        <v>8883904</v>
      </c>
      <c r="D28" s="361">
        <v>9498280</v>
      </c>
      <c r="E28" s="361">
        <f t="shared" si="2"/>
        <v>614376</v>
      </c>
      <c r="F28" s="362">
        <f t="shared" si="3"/>
        <v>6.9156082731195653E-2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612</v>
      </c>
      <c r="C29" s="366">
        <f>IF(C27=0,0,C28/C27)</f>
        <v>0.25885268107580267</v>
      </c>
      <c r="D29" s="366">
        <f>IF(LN_IA11=0,0,LN_IA12/LN_IA11)</f>
        <v>0.26601888207866148</v>
      </c>
      <c r="E29" s="367">
        <f t="shared" si="2"/>
        <v>7.1662010028588075E-3</v>
      </c>
      <c r="F29" s="362">
        <f t="shared" si="3"/>
        <v>2.7684476641600828E-2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613</v>
      </c>
      <c r="C30" s="366">
        <f>IF(C15=0,0,C27/C15)</f>
        <v>0.82382842247279042</v>
      </c>
      <c r="D30" s="366">
        <f>IF(LN_IA1=0,0,LN_IA11/LN_IA1)</f>
        <v>0.82267116164180765</v>
      </c>
      <c r="E30" s="367">
        <f t="shared" si="2"/>
        <v>-1.1572608309827759E-3</v>
      </c>
      <c r="F30" s="362">
        <f t="shared" si="3"/>
        <v>-1.4047352572628656E-3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614</v>
      </c>
      <c r="C31" s="376">
        <f>C30*C18</f>
        <v>2087.5812225460509</v>
      </c>
      <c r="D31" s="376">
        <f>LN_IA14*LN_IA4</f>
        <v>2070.6633138524298</v>
      </c>
      <c r="E31" s="376">
        <f t="shared" si="2"/>
        <v>-16.91790869362103</v>
      </c>
      <c r="F31" s="362">
        <f t="shared" si="3"/>
        <v>-8.104072076768179E-3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615</v>
      </c>
      <c r="C32" s="378">
        <f>IF(C31=0,0,C28/C31)</f>
        <v>4255.5968141757066</v>
      </c>
      <c r="D32" s="378">
        <f>IF(LN_IA15=0,0,LN_IA12/LN_IA15)</f>
        <v>4587.071174950519</v>
      </c>
      <c r="E32" s="378">
        <f t="shared" si="2"/>
        <v>331.47436077481234</v>
      </c>
      <c r="F32" s="362">
        <f t="shared" si="3"/>
        <v>7.7891392265039494E-2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616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617</v>
      </c>
      <c r="C35" s="361">
        <f>C15+C27</f>
        <v>75979844</v>
      </c>
      <c r="D35" s="361">
        <f>LN_IA1+LN_IA11</f>
        <v>79106934</v>
      </c>
      <c r="E35" s="361">
        <f>D35-C35</f>
        <v>3127090</v>
      </c>
      <c r="F35" s="362">
        <f>IF(C35=0,0,E35/C35)</f>
        <v>4.1156836278842583E-2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618</v>
      </c>
      <c r="C36" s="361">
        <f>C16+C28</f>
        <v>33581550</v>
      </c>
      <c r="D36" s="361">
        <f>LN_IA2+LN_IA12</f>
        <v>36106801</v>
      </c>
      <c r="E36" s="361">
        <f>D36-C36</f>
        <v>2525251</v>
      </c>
      <c r="F36" s="362">
        <f>IF(C36=0,0,E36/C36)</f>
        <v>7.5197571285423093E-2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619</v>
      </c>
      <c r="C37" s="361">
        <f>C35-C36</f>
        <v>42398294</v>
      </c>
      <c r="D37" s="361">
        <f>LN_IA17-LN_IA18</f>
        <v>43000133</v>
      </c>
      <c r="E37" s="361">
        <f>D37-C37</f>
        <v>601839</v>
      </c>
      <c r="F37" s="362">
        <f>IF(C37=0,0,E37/C37)</f>
        <v>1.4194887181073841E-2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620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621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601</v>
      </c>
      <c r="C42" s="361">
        <v>18807636</v>
      </c>
      <c r="D42" s="361">
        <v>17841128</v>
      </c>
      <c r="E42" s="361">
        <f t="shared" ref="E42:E53" si="4">D42-C42</f>
        <v>-966508</v>
      </c>
      <c r="F42" s="362">
        <f t="shared" ref="F42:F53" si="5">IF(C42=0,0,E42/C42)</f>
        <v>-5.1389127267244004E-2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602</v>
      </c>
      <c r="C43" s="361">
        <v>10072435</v>
      </c>
      <c r="D43" s="361">
        <v>8997337</v>
      </c>
      <c r="E43" s="361">
        <f t="shared" si="4"/>
        <v>-1075098</v>
      </c>
      <c r="F43" s="362">
        <f t="shared" si="5"/>
        <v>-0.1067366530536062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603</v>
      </c>
      <c r="C44" s="366">
        <f>IF(C42=0,0,C43/C42)</f>
        <v>0.535550294571843</v>
      </c>
      <c r="D44" s="366">
        <f>IF(LN_IB1=0,0,LN_IB2/LN_IB1)</f>
        <v>0.50430314720010971</v>
      </c>
      <c r="E44" s="367">
        <f t="shared" si="4"/>
        <v>-3.1247147371733286E-2</v>
      </c>
      <c r="F44" s="362">
        <f t="shared" si="5"/>
        <v>-5.8345869077925681E-2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1601</v>
      </c>
      <c r="D45" s="369">
        <v>1381</v>
      </c>
      <c r="E45" s="369">
        <f t="shared" si="4"/>
        <v>-220</v>
      </c>
      <c r="F45" s="362">
        <f t="shared" si="5"/>
        <v>-0.13741411617738913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604</v>
      </c>
      <c r="C46" s="372">
        <v>0.94199999999999995</v>
      </c>
      <c r="D46" s="372">
        <v>0.92630000000000001</v>
      </c>
      <c r="E46" s="373">
        <f t="shared" si="4"/>
        <v>-1.5699999999999936E-2</v>
      </c>
      <c r="F46" s="362">
        <f t="shared" si="5"/>
        <v>-1.6666666666666601E-2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605</v>
      </c>
      <c r="C47" s="376">
        <f>C45*C46</f>
        <v>1508.1419999999998</v>
      </c>
      <c r="D47" s="376">
        <f>LN_IB4*LN_IB5</f>
        <v>1279.2203</v>
      </c>
      <c r="E47" s="376">
        <f t="shared" si="4"/>
        <v>-228.92169999999987</v>
      </c>
      <c r="F47" s="362">
        <f t="shared" si="5"/>
        <v>-0.15179054757443258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606</v>
      </c>
      <c r="C48" s="378">
        <f>IF(C47=0,0,C43/C47)</f>
        <v>6678.7046577842148</v>
      </c>
      <c r="D48" s="378">
        <f>IF(LN_IB6=0,0,LN_IB2/LN_IB6)</f>
        <v>7033.4538937507486</v>
      </c>
      <c r="E48" s="378">
        <f t="shared" si="4"/>
        <v>354.74923596653389</v>
      </c>
      <c r="F48" s="362">
        <f t="shared" si="5"/>
        <v>5.3116473050363718E-2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622</v>
      </c>
      <c r="C49" s="378">
        <f>C21-C48</f>
        <v>1558.7073769477583</v>
      </c>
      <c r="D49" s="378">
        <f>LN_IA7-LN_IB7</f>
        <v>1926.2223924257041</v>
      </c>
      <c r="E49" s="378">
        <f t="shared" si="4"/>
        <v>367.51501547794578</v>
      </c>
      <c r="F49" s="362">
        <f t="shared" si="5"/>
        <v>0.2357819183467324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623</v>
      </c>
      <c r="C50" s="391">
        <f>C49*C47</f>
        <v>2350752.0608847458</v>
      </c>
      <c r="D50" s="391">
        <f>LN_IB8*LN_IB6</f>
        <v>2464062.786705527</v>
      </c>
      <c r="E50" s="391">
        <f t="shared" si="4"/>
        <v>113310.7258207812</v>
      </c>
      <c r="F50" s="362">
        <f t="shared" si="5"/>
        <v>4.8201904278299249E-2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4844</v>
      </c>
      <c r="D51" s="369">
        <v>4491</v>
      </c>
      <c r="E51" s="369">
        <f t="shared" si="4"/>
        <v>-353</v>
      </c>
      <c r="F51" s="362">
        <f t="shared" si="5"/>
        <v>-7.2873658133773736E-2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607</v>
      </c>
      <c r="C52" s="378">
        <f>IF(C51=0,0,C43/C51)</f>
        <v>2079.3631296449216</v>
      </c>
      <c r="D52" s="378">
        <f>IF(LN_IB10=0,0,LN_IB2/LN_IB10)</f>
        <v>2003.4150523268759</v>
      </c>
      <c r="E52" s="378">
        <f t="shared" si="4"/>
        <v>-75.948077318045762</v>
      </c>
      <c r="F52" s="362">
        <f t="shared" si="5"/>
        <v>-3.652468211794007E-2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608</v>
      </c>
      <c r="C53" s="379">
        <f>IF(C45=0,0,C51/C45)</f>
        <v>3.0256089943785134</v>
      </c>
      <c r="D53" s="379">
        <f>IF(LN_IB4=0,0,LN_IB10/LN_IB4)</f>
        <v>3.2519913106444607</v>
      </c>
      <c r="E53" s="379">
        <f t="shared" si="4"/>
        <v>0.22638231626594729</v>
      </c>
      <c r="F53" s="362">
        <f t="shared" si="5"/>
        <v>7.4822066131664255E-2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624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610</v>
      </c>
      <c r="C56" s="361">
        <v>58938336</v>
      </c>
      <c r="D56" s="361">
        <v>58698162</v>
      </c>
      <c r="E56" s="361">
        <f t="shared" ref="E56:E63" si="6">D56-C56</f>
        <v>-240174</v>
      </c>
      <c r="F56" s="362">
        <f t="shared" ref="F56:F63" si="7">IF(C56=0,0,E56/C56)</f>
        <v>-4.0750047643014556E-3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611</v>
      </c>
      <c r="C57" s="361">
        <v>23900949</v>
      </c>
      <c r="D57" s="361">
        <v>25007601</v>
      </c>
      <c r="E57" s="361">
        <f t="shared" si="6"/>
        <v>1106652</v>
      </c>
      <c r="F57" s="362">
        <f t="shared" si="7"/>
        <v>4.630159245978057E-2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612</v>
      </c>
      <c r="C58" s="366">
        <f>IF(C56=0,0,C57/C56)</f>
        <v>0.40552466564376705</v>
      </c>
      <c r="D58" s="366">
        <f>IF(LN_IB13=0,0,LN_IB14/LN_IB13)</f>
        <v>0.42603720709346915</v>
      </c>
      <c r="E58" s="367">
        <f t="shared" si="6"/>
        <v>2.0512541449702104E-2</v>
      </c>
      <c r="F58" s="362">
        <f t="shared" si="7"/>
        <v>5.0582722057457626E-2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613</v>
      </c>
      <c r="C59" s="366">
        <f>IF(C42=0,0,C56/C42)</f>
        <v>3.1337450384514036</v>
      </c>
      <c r="D59" s="366">
        <f>IF(LN_IB1=0,0,LN_IB13/LN_IB1)</f>
        <v>3.2900476920517581</v>
      </c>
      <c r="E59" s="367">
        <f t="shared" si="6"/>
        <v>0.15630265360035445</v>
      </c>
      <c r="F59" s="362">
        <f t="shared" si="7"/>
        <v>4.9877271980490863E-2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614</v>
      </c>
      <c r="C60" s="376">
        <f>C59*C45</f>
        <v>5017.1258065606971</v>
      </c>
      <c r="D60" s="376">
        <f>LN_IB16*LN_IB4</f>
        <v>4543.5558627234777</v>
      </c>
      <c r="E60" s="376">
        <f t="shared" si="6"/>
        <v>-473.5699438372194</v>
      </c>
      <c r="F60" s="362">
        <f t="shared" si="7"/>
        <v>-9.4390685443436692E-2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615</v>
      </c>
      <c r="C61" s="378">
        <f>IF(C60=0,0,C57/C60)</f>
        <v>4763.8727673014846</v>
      </c>
      <c r="D61" s="378">
        <f>IF(LN_IB17=0,0,LN_IB14/LN_IB17)</f>
        <v>5503.971284950826</v>
      </c>
      <c r="E61" s="378">
        <f t="shared" si="6"/>
        <v>740.09851764934137</v>
      </c>
      <c r="F61" s="362">
        <f t="shared" si="7"/>
        <v>0.15535648280308151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625</v>
      </c>
      <c r="C62" s="378">
        <f>C32-C61</f>
        <v>-508.27595312577796</v>
      </c>
      <c r="D62" s="378">
        <f>LN_IA16-LN_IB18</f>
        <v>-916.900110000307</v>
      </c>
      <c r="E62" s="378">
        <f t="shared" si="6"/>
        <v>-408.62415687452904</v>
      </c>
      <c r="F62" s="362">
        <f t="shared" si="7"/>
        <v>0.80394154860482037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626</v>
      </c>
      <c r="C63" s="361">
        <f>C62*C60</f>
        <v>-2550084.4012815757</v>
      </c>
      <c r="D63" s="361">
        <f>LN_IB19*LN_IB17</f>
        <v>-4165986.8703236966</v>
      </c>
      <c r="E63" s="361">
        <f t="shared" si="6"/>
        <v>-1615902.469042121</v>
      </c>
      <c r="F63" s="362">
        <f t="shared" si="7"/>
        <v>0.63366626933211689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627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617</v>
      </c>
      <c r="C66" s="361">
        <f>C42+C56</f>
        <v>77745972</v>
      </c>
      <c r="D66" s="361">
        <f>LN_IB1+LN_IB13</f>
        <v>76539290</v>
      </c>
      <c r="E66" s="361">
        <f>D66-C66</f>
        <v>-1206682</v>
      </c>
      <c r="F66" s="362">
        <f>IF(C66=0,0,E66/C66)</f>
        <v>-1.5520829812250595E-2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618</v>
      </c>
      <c r="C67" s="361">
        <f>C43+C57</f>
        <v>33973384</v>
      </c>
      <c r="D67" s="361">
        <f>LN_IB2+LN_IB14</f>
        <v>34004938</v>
      </c>
      <c r="E67" s="361">
        <f>D67-C67</f>
        <v>31554</v>
      </c>
      <c r="F67" s="362">
        <f>IF(C67=0,0,E67/C67)</f>
        <v>9.2878589898492297E-4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619</v>
      </c>
      <c r="C68" s="361">
        <f>C66-C67</f>
        <v>43772588</v>
      </c>
      <c r="D68" s="361">
        <f>LN_IB21-LN_IB22</f>
        <v>42534352</v>
      </c>
      <c r="E68" s="361">
        <f>D68-C68</f>
        <v>-1238236</v>
      </c>
      <c r="F68" s="362">
        <f>IF(C68=0,0,E68/C68)</f>
        <v>-2.8287932164303375E-2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628</v>
      </c>
      <c r="C70" s="353">
        <f>C50+C63</f>
        <v>-199332.34039682988</v>
      </c>
      <c r="D70" s="353">
        <f>LN_IB9+LN_IB20</f>
        <v>-1701924.0836181697</v>
      </c>
      <c r="E70" s="361">
        <f>D70-C70</f>
        <v>-1502591.7432213398</v>
      </c>
      <c r="F70" s="362">
        <f>IF(C70=0,0,E70/C70)</f>
        <v>7.538123217888212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629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630</v>
      </c>
      <c r="C73" s="400">
        <v>68498602</v>
      </c>
      <c r="D73" s="400">
        <v>67897196</v>
      </c>
      <c r="E73" s="400">
        <f>D73-C73</f>
        <v>-601406</v>
      </c>
      <c r="F73" s="401">
        <f>IF(C73=0,0,E73/C73)</f>
        <v>-8.7798288204480428E-3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631</v>
      </c>
      <c r="C74" s="400">
        <v>32953588</v>
      </c>
      <c r="D74" s="400">
        <v>33702394</v>
      </c>
      <c r="E74" s="400">
        <f>D74-C74</f>
        <v>748806</v>
      </c>
      <c r="F74" s="401">
        <f>IF(C74=0,0,E74/C74)</f>
        <v>2.2723049156286108E-2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632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633</v>
      </c>
      <c r="C76" s="353">
        <f>C73-C74</f>
        <v>35545014</v>
      </c>
      <c r="D76" s="353">
        <f>LN_IB32-LN_IB33</f>
        <v>34194802</v>
      </c>
      <c r="E76" s="400">
        <f>D76-C76</f>
        <v>-1350212</v>
      </c>
      <c r="F76" s="401">
        <f>IF(C76=0,0,E76/C76)</f>
        <v>-3.7985974629240547E-2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634</v>
      </c>
      <c r="C77" s="366">
        <f>IF(C73=0,0,C76/C73)</f>
        <v>0.51891590429830958</v>
      </c>
      <c r="D77" s="366">
        <f>IF(LN_IB1=0,0,LN_IB34/LN_IB32)</f>
        <v>0.50362612912615712</v>
      </c>
      <c r="E77" s="405">
        <f>D77-C77</f>
        <v>-1.5289775172152464E-2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635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636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601</v>
      </c>
      <c r="C83" s="361">
        <v>921311</v>
      </c>
      <c r="D83" s="361">
        <v>1567998</v>
      </c>
      <c r="E83" s="361">
        <f t="shared" ref="E83:E95" si="8">D83-C83</f>
        <v>646687</v>
      </c>
      <c r="F83" s="362">
        <f t="shared" ref="F83:F95" si="9">IF(C83=0,0,E83/C83)</f>
        <v>0.70192041558170915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602</v>
      </c>
      <c r="C84" s="361">
        <v>74458</v>
      </c>
      <c r="D84" s="361">
        <v>147158</v>
      </c>
      <c r="E84" s="361">
        <f t="shared" si="8"/>
        <v>72700</v>
      </c>
      <c r="F84" s="362">
        <f t="shared" si="9"/>
        <v>0.97638937387520486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603</v>
      </c>
      <c r="C85" s="366">
        <f>IF(C83=0,0,C84/C83)</f>
        <v>8.0817443838182762E-2</v>
      </c>
      <c r="D85" s="366">
        <f>IF(LN_IC1=0,0,LN_IC2/LN_IC1)</f>
        <v>9.3850885013883945E-2</v>
      </c>
      <c r="E85" s="367">
        <f t="shared" si="8"/>
        <v>1.3033441175701183E-2</v>
      </c>
      <c r="F85" s="362">
        <f t="shared" si="9"/>
        <v>0.16127014858076275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87</v>
      </c>
      <c r="D86" s="369">
        <v>106</v>
      </c>
      <c r="E86" s="369">
        <f t="shared" si="8"/>
        <v>19</v>
      </c>
      <c r="F86" s="362">
        <f t="shared" si="9"/>
        <v>0.21839080459770116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604</v>
      </c>
      <c r="C87" s="372">
        <v>0.83599999999999997</v>
      </c>
      <c r="D87" s="372">
        <v>0.72699999999999998</v>
      </c>
      <c r="E87" s="373">
        <f t="shared" si="8"/>
        <v>-0.10899999999999999</v>
      </c>
      <c r="F87" s="362">
        <f t="shared" si="9"/>
        <v>-0.13038277511961721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605</v>
      </c>
      <c r="C88" s="376">
        <f>C86*C87</f>
        <v>72.731999999999999</v>
      </c>
      <c r="D88" s="376">
        <f>LN_IC4*LN_IC5</f>
        <v>77.061999999999998</v>
      </c>
      <c r="E88" s="376">
        <f t="shared" si="8"/>
        <v>4.3299999999999983</v>
      </c>
      <c r="F88" s="362">
        <f t="shared" si="9"/>
        <v>5.9533630314029563E-2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606</v>
      </c>
      <c r="C89" s="378">
        <f>IF(C88=0,0,C84/C88)</f>
        <v>1023.7309574877632</v>
      </c>
      <c r="D89" s="378">
        <f>IF(LN_IC6=0,0,LN_IC2/LN_IC6)</f>
        <v>1909.6052529132387</v>
      </c>
      <c r="E89" s="378">
        <f t="shared" si="8"/>
        <v>885.87429542547545</v>
      </c>
      <c r="F89" s="362">
        <f t="shared" si="9"/>
        <v>0.86533897304367136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637</v>
      </c>
      <c r="C90" s="378">
        <f>C48-C89</f>
        <v>5654.9737002964512</v>
      </c>
      <c r="D90" s="378">
        <f>LN_IB7-LN_IC7</f>
        <v>5123.8486408375102</v>
      </c>
      <c r="E90" s="378">
        <f t="shared" si="8"/>
        <v>-531.125059458941</v>
      </c>
      <c r="F90" s="362">
        <f t="shared" si="9"/>
        <v>-9.3921755892710485E-2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638</v>
      </c>
      <c r="C91" s="378">
        <f>C21-C89</f>
        <v>7213.6810772442095</v>
      </c>
      <c r="D91" s="378">
        <f>LN_IA7-LN_IC7</f>
        <v>7050.0710332632143</v>
      </c>
      <c r="E91" s="378">
        <f t="shared" si="8"/>
        <v>-163.61004398099521</v>
      </c>
      <c r="F91" s="362">
        <f t="shared" si="9"/>
        <v>-2.2680520836595951E-2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623</v>
      </c>
      <c r="C92" s="353">
        <f>C91*C88</f>
        <v>524665.4521101258</v>
      </c>
      <c r="D92" s="353">
        <f>LN_IC9*LN_IC6</f>
        <v>543292.57396532979</v>
      </c>
      <c r="E92" s="353">
        <f t="shared" si="8"/>
        <v>18627.121855203994</v>
      </c>
      <c r="F92" s="362">
        <f t="shared" si="9"/>
        <v>3.550285573461813E-2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242</v>
      </c>
      <c r="D93" s="369">
        <v>398</v>
      </c>
      <c r="E93" s="369">
        <f t="shared" si="8"/>
        <v>156</v>
      </c>
      <c r="F93" s="362">
        <f t="shared" si="9"/>
        <v>0.64462809917355368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607</v>
      </c>
      <c r="C94" s="411">
        <f>IF(C93=0,0,C84/C93)</f>
        <v>307.67768595041321</v>
      </c>
      <c r="D94" s="411">
        <f>IF(LN_IC11=0,0,LN_IC2/LN_IC11)</f>
        <v>369.7437185929648</v>
      </c>
      <c r="E94" s="411">
        <f t="shared" si="8"/>
        <v>62.06603264255159</v>
      </c>
      <c r="F94" s="362">
        <f t="shared" si="9"/>
        <v>0.20172419215527526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608</v>
      </c>
      <c r="C95" s="379">
        <f>IF(C86=0,0,C93/C86)</f>
        <v>2.7816091954022988</v>
      </c>
      <c r="D95" s="379">
        <f>IF(LN_IC4=0,0,LN_IC11/LN_IC4)</f>
        <v>3.7547169811320753</v>
      </c>
      <c r="E95" s="379">
        <f t="shared" si="8"/>
        <v>0.97310778572977652</v>
      </c>
      <c r="F95" s="362">
        <f t="shared" si="9"/>
        <v>0.34983627007640727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639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610</v>
      </c>
      <c r="C98" s="361">
        <v>3276135</v>
      </c>
      <c r="D98" s="361">
        <v>3290522</v>
      </c>
      <c r="E98" s="361">
        <f t="shared" ref="E98:E106" si="10">D98-C98</f>
        <v>14387</v>
      </c>
      <c r="F98" s="362">
        <f t="shared" ref="F98:F106" si="11">IF(C98=0,0,E98/C98)</f>
        <v>4.391455175076729E-3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611</v>
      </c>
      <c r="C99" s="361">
        <v>176601</v>
      </c>
      <c r="D99" s="361">
        <v>155386</v>
      </c>
      <c r="E99" s="361">
        <f t="shared" si="10"/>
        <v>-21215</v>
      </c>
      <c r="F99" s="362">
        <f t="shared" si="11"/>
        <v>-0.12012955759027412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612</v>
      </c>
      <c r="C100" s="366">
        <f>IF(C98=0,0,C99/C98)</f>
        <v>5.3905287785759745E-2</v>
      </c>
      <c r="D100" s="366">
        <f>IF(LN_IC14=0,0,LN_IC15/LN_IC14)</f>
        <v>4.7222294821307985E-2</v>
      </c>
      <c r="E100" s="367">
        <f t="shared" si="10"/>
        <v>-6.6829929644517602E-3</v>
      </c>
      <c r="F100" s="362">
        <f t="shared" si="11"/>
        <v>-0.12397657519263293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613</v>
      </c>
      <c r="C101" s="366">
        <f>IF(C83=0,0,C98/C83)</f>
        <v>3.5559490769132247</v>
      </c>
      <c r="D101" s="366">
        <f>IF(LN_IC1=0,0,LN_IC14/LN_IC1)</f>
        <v>2.0985498705993249</v>
      </c>
      <c r="E101" s="367">
        <f t="shared" si="10"/>
        <v>-1.4573992063138999</v>
      </c>
      <c r="F101" s="362">
        <f t="shared" si="11"/>
        <v>-0.40984816564893245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614</v>
      </c>
      <c r="C102" s="376">
        <f>C101*C86</f>
        <v>309.36756969145057</v>
      </c>
      <c r="D102" s="376">
        <f>LN_IC17*LN_IC4</f>
        <v>222.44628628352842</v>
      </c>
      <c r="E102" s="376">
        <f t="shared" si="10"/>
        <v>-86.921283407922147</v>
      </c>
      <c r="F102" s="362">
        <f t="shared" si="11"/>
        <v>-0.2809644317101937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615</v>
      </c>
      <c r="C103" s="378">
        <f>IF(C102=0,0,C99/C102)</f>
        <v>570.84522523202406</v>
      </c>
      <c r="D103" s="378">
        <f>IF(LN_IC18=0,0,LN_IC15/LN_IC18)</f>
        <v>698.53267769076683</v>
      </c>
      <c r="E103" s="378">
        <f t="shared" si="10"/>
        <v>127.68745245874277</v>
      </c>
      <c r="F103" s="362">
        <f t="shared" si="11"/>
        <v>0.22368138825518477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640</v>
      </c>
      <c r="C104" s="378">
        <f>C61-C103</f>
        <v>4193.0275420694607</v>
      </c>
      <c r="D104" s="378">
        <f>LN_IB18-LN_IC19</f>
        <v>4805.4386072600591</v>
      </c>
      <c r="E104" s="378">
        <f t="shared" si="10"/>
        <v>612.41106519059849</v>
      </c>
      <c r="F104" s="362">
        <f t="shared" si="11"/>
        <v>0.14605462498067545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641</v>
      </c>
      <c r="C105" s="378">
        <f>C32-C103</f>
        <v>3684.7515889436827</v>
      </c>
      <c r="D105" s="378">
        <f>LN_IA16-LN_IC19</f>
        <v>3888.5384972597521</v>
      </c>
      <c r="E105" s="378">
        <f t="shared" si="10"/>
        <v>203.78690831606946</v>
      </c>
      <c r="F105" s="362">
        <f t="shared" si="11"/>
        <v>5.5305467247112196E-2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626</v>
      </c>
      <c r="C106" s="361">
        <f>C105*C102</f>
        <v>1139942.6439882179</v>
      </c>
      <c r="D106" s="361">
        <f>LN_IC21*LN_IC18</f>
        <v>864990.94778596424</v>
      </c>
      <c r="E106" s="361">
        <f t="shared" si="10"/>
        <v>-274951.69620225369</v>
      </c>
      <c r="F106" s="362">
        <f t="shared" si="11"/>
        <v>-0.24119783363863306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642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617</v>
      </c>
      <c r="C109" s="361">
        <f>C83+C98</f>
        <v>4197446</v>
      </c>
      <c r="D109" s="361">
        <f>LN_IC1+LN_IC14</f>
        <v>4858520</v>
      </c>
      <c r="E109" s="361">
        <f>D109-C109</f>
        <v>661074</v>
      </c>
      <c r="F109" s="362">
        <f>IF(C109=0,0,E109/C109)</f>
        <v>0.15749434298856971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618</v>
      </c>
      <c r="C110" s="361">
        <f>C84+C99</f>
        <v>251059</v>
      </c>
      <c r="D110" s="361">
        <f>LN_IC2+LN_IC15</f>
        <v>302544</v>
      </c>
      <c r="E110" s="361">
        <f>D110-C110</f>
        <v>51485</v>
      </c>
      <c r="F110" s="362">
        <f>IF(C110=0,0,E110/C110)</f>
        <v>0.20507131789738667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619</v>
      </c>
      <c r="C111" s="361">
        <f>C109-C110</f>
        <v>3946387</v>
      </c>
      <c r="D111" s="361">
        <f>LN_IC23-LN_IC24</f>
        <v>4555976</v>
      </c>
      <c r="E111" s="361">
        <f>D111-C111</f>
        <v>609589</v>
      </c>
      <c r="F111" s="362">
        <f>IF(C111=0,0,E111/C111)</f>
        <v>0.15446761810233006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628</v>
      </c>
      <c r="C113" s="361">
        <f>C92+C106</f>
        <v>1664608.0960983438</v>
      </c>
      <c r="D113" s="361">
        <f>LN_IC10+LN_IC22</f>
        <v>1408283.5217512939</v>
      </c>
      <c r="E113" s="361">
        <f>D113-C113</f>
        <v>-256324.57434704993</v>
      </c>
      <c r="F113" s="362">
        <f>IF(C113=0,0,E113/C113)</f>
        <v>-0.15398493792493634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643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644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601</v>
      </c>
      <c r="C118" s="361">
        <v>8797246</v>
      </c>
      <c r="D118" s="361">
        <v>10036189</v>
      </c>
      <c r="E118" s="361">
        <f t="shared" ref="E118:E130" si="12">D118-C118</f>
        <v>1238943</v>
      </c>
      <c r="F118" s="362">
        <f t="shared" ref="F118:F130" si="13">IF(C118=0,0,E118/C118)</f>
        <v>0.14083305161638085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602</v>
      </c>
      <c r="C119" s="361">
        <v>4524924</v>
      </c>
      <c r="D119" s="361">
        <v>5043975</v>
      </c>
      <c r="E119" s="361">
        <f t="shared" si="12"/>
        <v>519051</v>
      </c>
      <c r="F119" s="362">
        <f t="shared" si="13"/>
        <v>0.11470932992465729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603</v>
      </c>
      <c r="C120" s="366">
        <f>IF(C118=0,0,C119/C118)</f>
        <v>0.51435687941430763</v>
      </c>
      <c r="D120" s="366">
        <f>IF(LN_ID1=0,0,LN_1D2/LN_ID1)</f>
        <v>0.50257871787787178</v>
      </c>
      <c r="E120" s="367">
        <f t="shared" si="12"/>
        <v>-1.1778161536435849E-2</v>
      </c>
      <c r="F120" s="362">
        <f t="shared" si="13"/>
        <v>-2.2898812104637366E-2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961</v>
      </c>
      <c r="D121" s="369">
        <v>1061</v>
      </c>
      <c r="E121" s="369">
        <f t="shared" si="12"/>
        <v>100</v>
      </c>
      <c r="F121" s="362">
        <f t="shared" si="13"/>
        <v>0.1040582726326743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604</v>
      </c>
      <c r="C122" s="372">
        <v>0.74890000000000001</v>
      </c>
      <c r="D122" s="372">
        <v>0.81640000000000001</v>
      </c>
      <c r="E122" s="373">
        <f t="shared" si="12"/>
        <v>6.7500000000000004E-2</v>
      </c>
      <c r="F122" s="362">
        <f t="shared" si="13"/>
        <v>9.0132193884363734E-2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605</v>
      </c>
      <c r="C123" s="376">
        <f>C121*C122</f>
        <v>719.69290000000001</v>
      </c>
      <c r="D123" s="376">
        <f>LN_ID4*LN_ID5</f>
        <v>866.20040000000006</v>
      </c>
      <c r="E123" s="376">
        <f t="shared" si="12"/>
        <v>146.50750000000005</v>
      </c>
      <c r="F123" s="362">
        <f t="shared" si="13"/>
        <v>0.20356946692123828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606</v>
      </c>
      <c r="C124" s="378">
        <f>IF(C123=0,0,C119/C123)</f>
        <v>6287.2983740703849</v>
      </c>
      <c r="D124" s="378">
        <f>IF(LN_ID6=0,0,LN_1D2/LN_ID6)</f>
        <v>5823.1039837894323</v>
      </c>
      <c r="E124" s="378">
        <f t="shared" si="12"/>
        <v>-464.19439028095258</v>
      </c>
      <c r="F124" s="362">
        <f t="shared" si="13"/>
        <v>-7.3830501220579742E-2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645</v>
      </c>
      <c r="C125" s="378">
        <f>C48-C124</f>
        <v>391.40628371382991</v>
      </c>
      <c r="D125" s="378">
        <f>LN_IB7-LN_ID7</f>
        <v>1210.3499099613164</v>
      </c>
      <c r="E125" s="378">
        <f t="shared" si="12"/>
        <v>818.94362624748646</v>
      </c>
      <c r="F125" s="362">
        <f t="shared" si="13"/>
        <v>2.092310880849944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646</v>
      </c>
      <c r="C126" s="378">
        <f>C21-C124</f>
        <v>1950.1136606615883</v>
      </c>
      <c r="D126" s="378">
        <f>LN_IA7-LN_ID7</f>
        <v>3136.5723023870205</v>
      </c>
      <c r="E126" s="378">
        <f t="shared" si="12"/>
        <v>1186.4586417254322</v>
      </c>
      <c r="F126" s="362">
        <f t="shared" si="13"/>
        <v>0.60840486667988303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623</v>
      </c>
      <c r="C127" s="391">
        <f>C126*C123</f>
        <v>1403482.9557711545</v>
      </c>
      <c r="D127" s="391">
        <f>LN_ID9*LN_ID6</f>
        <v>2716900.1829565582</v>
      </c>
      <c r="E127" s="391">
        <f t="shared" si="12"/>
        <v>1313417.2271854037</v>
      </c>
      <c r="F127" s="362">
        <f t="shared" si="13"/>
        <v>0.93582698798343189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3054</v>
      </c>
      <c r="D128" s="369">
        <v>3359</v>
      </c>
      <c r="E128" s="369">
        <f t="shared" si="12"/>
        <v>305</v>
      </c>
      <c r="F128" s="362">
        <f t="shared" si="13"/>
        <v>9.9869024230517356E-2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607</v>
      </c>
      <c r="C129" s="378">
        <f>IF(C128=0,0,C119/C128)</f>
        <v>1481.6385068762279</v>
      </c>
      <c r="D129" s="378">
        <f>IF(LN_ID11=0,0,LN_1D2/LN_ID11)</f>
        <v>1501.6299493896993</v>
      </c>
      <c r="E129" s="378">
        <f t="shared" si="12"/>
        <v>19.991442513471384</v>
      </c>
      <c r="F129" s="362">
        <f t="shared" si="13"/>
        <v>1.3492793566508876E-2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608</v>
      </c>
      <c r="C130" s="379">
        <f>IF(C121=0,0,C128/C121)</f>
        <v>3.1779396462018732</v>
      </c>
      <c r="D130" s="379">
        <f>IF(LN_ID4=0,0,LN_ID11/LN_ID4)</f>
        <v>3.1658812441093307</v>
      </c>
      <c r="E130" s="379">
        <f t="shared" si="12"/>
        <v>-1.2058402092542497E-2</v>
      </c>
      <c r="F130" s="362">
        <f t="shared" si="13"/>
        <v>-3.7944087789565616E-3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647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610</v>
      </c>
      <c r="C133" s="361">
        <v>17239057</v>
      </c>
      <c r="D133" s="361">
        <v>21255395</v>
      </c>
      <c r="E133" s="361">
        <f t="shared" ref="E133:E141" si="14">D133-C133</f>
        <v>4016338</v>
      </c>
      <c r="F133" s="362">
        <f t="shared" ref="F133:F141" si="15">IF(C133=0,0,E133/C133)</f>
        <v>0.23297898487138827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611</v>
      </c>
      <c r="C134" s="361">
        <v>5025171</v>
      </c>
      <c r="D134" s="361">
        <v>5743696</v>
      </c>
      <c r="E134" s="361">
        <f t="shared" si="14"/>
        <v>718525</v>
      </c>
      <c r="F134" s="362">
        <f t="shared" si="15"/>
        <v>0.14298518398677379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612</v>
      </c>
      <c r="C135" s="366">
        <f>IF(C133=0,0,C134/C133)</f>
        <v>0.29149918119071128</v>
      </c>
      <c r="D135" s="366">
        <f>IF(LN_ID14=0,0,LN_ID15/LN_ID14)</f>
        <v>0.27022297162673287</v>
      </c>
      <c r="E135" s="367">
        <f t="shared" si="14"/>
        <v>-2.127620956397841E-2</v>
      </c>
      <c r="F135" s="362">
        <f t="shared" si="15"/>
        <v>-7.2988917077124141E-2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613</v>
      </c>
      <c r="C136" s="366">
        <f>IF(C118=0,0,C133/C118)</f>
        <v>1.9595970147930386</v>
      </c>
      <c r="D136" s="366">
        <f>IF(LN_ID1=0,0,LN_ID14/LN_ID1)</f>
        <v>2.1178751217220002</v>
      </c>
      <c r="E136" s="367">
        <f t="shared" si="14"/>
        <v>0.1582781069289616</v>
      </c>
      <c r="F136" s="362">
        <f t="shared" si="15"/>
        <v>8.0770743032428038E-2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614</v>
      </c>
      <c r="C137" s="376">
        <f>C136*C121</f>
        <v>1883.1727312161102</v>
      </c>
      <c r="D137" s="376">
        <f>LN_ID17*LN_ID4</f>
        <v>2247.0655041470422</v>
      </c>
      <c r="E137" s="376">
        <f t="shared" si="14"/>
        <v>363.8927729309321</v>
      </c>
      <c r="F137" s="362">
        <f t="shared" si="15"/>
        <v>0.19323387966431438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615</v>
      </c>
      <c r="C138" s="378">
        <f>IF(C137=0,0,C134/C137)</f>
        <v>2668.4599435309678</v>
      </c>
      <c r="D138" s="378">
        <f>IF(LN_ID18=0,0,LN_ID15/LN_ID18)</f>
        <v>2556.0874791588394</v>
      </c>
      <c r="E138" s="378">
        <f t="shared" si="14"/>
        <v>-112.37246437212843</v>
      </c>
      <c r="F138" s="362">
        <f t="shared" si="15"/>
        <v>-4.2111355144958479E-2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648</v>
      </c>
      <c r="C139" s="378">
        <f>C61-C138</f>
        <v>2095.4128237705168</v>
      </c>
      <c r="D139" s="378">
        <f>LN_IB18-LN_ID19</f>
        <v>2947.8838057919866</v>
      </c>
      <c r="E139" s="378">
        <f t="shared" si="14"/>
        <v>852.47098202146981</v>
      </c>
      <c r="F139" s="362">
        <f t="shared" si="15"/>
        <v>0.40682722390116949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649</v>
      </c>
      <c r="C140" s="378">
        <f>C32-C138</f>
        <v>1587.1368706447388</v>
      </c>
      <c r="D140" s="378">
        <f>LN_IA16-LN_ID19</f>
        <v>2030.9836957916796</v>
      </c>
      <c r="E140" s="378">
        <f t="shared" si="14"/>
        <v>443.84682514694077</v>
      </c>
      <c r="F140" s="362">
        <f t="shared" si="15"/>
        <v>0.2796525198023016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626</v>
      </c>
      <c r="C141" s="353">
        <f>C140*C137</f>
        <v>2988852.8755058427</v>
      </c>
      <c r="D141" s="353">
        <f>LN_ID21*LN_ID18</f>
        <v>4563753.4022985538</v>
      </c>
      <c r="E141" s="353">
        <f t="shared" si="14"/>
        <v>1574900.5267927111</v>
      </c>
      <c r="F141" s="362">
        <f t="shared" si="15"/>
        <v>0.52692474082591634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650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617</v>
      </c>
      <c r="C144" s="361">
        <f>C118+C133</f>
        <v>26036303</v>
      </c>
      <c r="D144" s="361">
        <f>LN_ID1+LN_ID14</f>
        <v>31291584</v>
      </c>
      <c r="E144" s="361">
        <f>D144-C144</f>
        <v>5255281</v>
      </c>
      <c r="F144" s="362">
        <f>IF(C144=0,0,E144/C144)</f>
        <v>0.20184436323390459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618</v>
      </c>
      <c r="C145" s="361">
        <f>C119+C134</f>
        <v>9550095</v>
      </c>
      <c r="D145" s="361">
        <f>LN_1D2+LN_ID15</f>
        <v>10787671</v>
      </c>
      <c r="E145" s="361">
        <f>D145-C145</f>
        <v>1237576</v>
      </c>
      <c r="F145" s="362">
        <f>IF(C145=0,0,E145/C145)</f>
        <v>0.12958782085413811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619</v>
      </c>
      <c r="C146" s="361">
        <f>C144-C145</f>
        <v>16486208</v>
      </c>
      <c r="D146" s="361">
        <f>LN_ID23-LN_ID24</f>
        <v>20503913</v>
      </c>
      <c r="E146" s="361">
        <f>D146-C146</f>
        <v>4017705</v>
      </c>
      <c r="F146" s="362">
        <f>IF(C146=0,0,E146/C146)</f>
        <v>0.24370097720470346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628</v>
      </c>
      <c r="C148" s="361">
        <f>C127+C141</f>
        <v>4392335.831276997</v>
      </c>
      <c r="D148" s="361">
        <f>LN_ID10+LN_ID22</f>
        <v>7280653.5852551125</v>
      </c>
      <c r="E148" s="361">
        <f>D148-C148</f>
        <v>2888317.7539781155</v>
      </c>
      <c r="F148" s="415">
        <f>IF(C148=0,0,E148/C148)</f>
        <v>0.65758126539663664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651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652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601</v>
      </c>
      <c r="C153" s="361">
        <v>3005404</v>
      </c>
      <c r="D153" s="361">
        <v>2069554</v>
      </c>
      <c r="E153" s="361">
        <f t="shared" ref="E153:E165" si="16">D153-C153</f>
        <v>-935850</v>
      </c>
      <c r="F153" s="362">
        <f t="shared" ref="F153:F165" si="17">IF(C153=0,0,E153/C153)</f>
        <v>-0.3113890844625215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602</v>
      </c>
      <c r="C154" s="361">
        <v>689247</v>
      </c>
      <c r="D154" s="361">
        <v>646001</v>
      </c>
      <c r="E154" s="361">
        <f t="shared" si="16"/>
        <v>-43246</v>
      </c>
      <c r="F154" s="362">
        <f t="shared" si="17"/>
        <v>-6.274383493870847E-2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603</v>
      </c>
      <c r="C155" s="366">
        <f>IF(C153=0,0,C154/C153)</f>
        <v>0.22933588961750234</v>
      </c>
      <c r="D155" s="366">
        <f>IF(LN_IE1=0,0,LN_IE2/LN_IE1)</f>
        <v>0.31214503221467038</v>
      </c>
      <c r="E155" s="367">
        <f t="shared" si="16"/>
        <v>8.2809142597168039E-2</v>
      </c>
      <c r="F155" s="362">
        <f t="shared" si="17"/>
        <v>0.36108235276772943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234</v>
      </c>
      <c r="D156" s="419">
        <v>127</v>
      </c>
      <c r="E156" s="419">
        <f t="shared" si="16"/>
        <v>-107</v>
      </c>
      <c r="F156" s="362">
        <f t="shared" si="17"/>
        <v>-0.45726495726495725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604</v>
      </c>
      <c r="C157" s="372">
        <v>0.90524000000000004</v>
      </c>
      <c r="D157" s="372">
        <v>1.2438</v>
      </c>
      <c r="E157" s="373">
        <f t="shared" si="16"/>
        <v>0.33855999999999997</v>
      </c>
      <c r="F157" s="362">
        <f t="shared" si="17"/>
        <v>0.37400026512306123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605</v>
      </c>
      <c r="C158" s="376">
        <f>C156*C157</f>
        <v>211.82616000000002</v>
      </c>
      <c r="D158" s="376">
        <f>LN_IE4*LN_IE5</f>
        <v>157.96260000000001</v>
      </c>
      <c r="E158" s="376">
        <f t="shared" si="16"/>
        <v>-53.863560000000007</v>
      </c>
      <c r="F158" s="362">
        <f t="shared" si="17"/>
        <v>-0.25428190739047529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606</v>
      </c>
      <c r="C159" s="378">
        <f>IF(C158=0,0,C154/C158)</f>
        <v>3253.8332375944497</v>
      </c>
      <c r="D159" s="378">
        <f>IF(LN_IE6=0,0,LN_IE2/LN_IE6)</f>
        <v>4089.5819643383938</v>
      </c>
      <c r="E159" s="378">
        <f t="shared" si="16"/>
        <v>835.74872674394419</v>
      </c>
      <c r="F159" s="362">
        <f t="shared" si="17"/>
        <v>0.25685051006541781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653</v>
      </c>
      <c r="C160" s="378">
        <f>C48-C159</f>
        <v>3424.8714201897651</v>
      </c>
      <c r="D160" s="378">
        <f>LN_IB7-LN_IE7</f>
        <v>2943.8719294123548</v>
      </c>
      <c r="E160" s="378">
        <f t="shared" si="16"/>
        <v>-480.9994907774103</v>
      </c>
      <c r="F160" s="362">
        <f t="shared" si="17"/>
        <v>-0.14044307997722119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654</v>
      </c>
      <c r="C161" s="378">
        <f>C21-C159</f>
        <v>4983.578797137523</v>
      </c>
      <c r="D161" s="378">
        <f>LN_IA7-LN_IE7</f>
        <v>4870.0943218380589</v>
      </c>
      <c r="E161" s="378">
        <f t="shared" si="16"/>
        <v>-113.48447529946407</v>
      </c>
      <c r="F161" s="362">
        <f t="shared" si="17"/>
        <v>-2.2771682744265522E-2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623</v>
      </c>
      <c r="C162" s="391">
        <f>C161*C158</f>
        <v>1055652.3596550606</v>
      </c>
      <c r="D162" s="391">
        <f>LN_IE9*LN_IE6</f>
        <v>769292.76132277655</v>
      </c>
      <c r="E162" s="391">
        <f t="shared" si="16"/>
        <v>-286359.59833228402</v>
      </c>
      <c r="F162" s="362">
        <f t="shared" si="17"/>
        <v>-0.27126316321203825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777</v>
      </c>
      <c r="D163" s="369">
        <v>622</v>
      </c>
      <c r="E163" s="419">
        <f t="shared" si="16"/>
        <v>-155</v>
      </c>
      <c r="F163" s="362">
        <f t="shared" si="17"/>
        <v>-0.19948519948519949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607</v>
      </c>
      <c r="C164" s="378">
        <f>IF(C163=0,0,C154/C163)</f>
        <v>887.06177606177607</v>
      </c>
      <c r="D164" s="378">
        <f>IF(LN_IE11=0,0,LN_IE2/LN_IE11)</f>
        <v>1038.5868167202573</v>
      </c>
      <c r="E164" s="378">
        <f t="shared" si="16"/>
        <v>151.5250406584812</v>
      </c>
      <c r="F164" s="362">
        <f t="shared" si="17"/>
        <v>0.17081678497206357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608</v>
      </c>
      <c r="C165" s="379">
        <f>IF(C156=0,0,C163/C156)</f>
        <v>3.3205128205128207</v>
      </c>
      <c r="D165" s="379">
        <f>IF(LN_IE4=0,0,LN_IE11/LN_IE4)</f>
        <v>4.8976377952755907</v>
      </c>
      <c r="E165" s="379">
        <f t="shared" si="16"/>
        <v>1.57712497476277</v>
      </c>
      <c r="F165" s="362">
        <f t="shared" si="17"/>
        <v>0.47496427811388436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655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610</v>
      </c>
      <c r="C168" s="424">
        <v>6827399</v>
      </c>
      <c r="D168" s="424">
        <v>4338737</v>
      </c>
      <c r="E168" s="424">
        <f t="shared" ref="E168:E176" si="18">D168-C168</f>
        <v>-2488662</v>
      </c>
      <c r="F168" s="362">
        <f t="shared" ref="F168:F176" si="19">IF(C168=0,0,E168/C168)</f>
        <v>-0.36451099459691749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611</v>
      </c>
      <c r="C169" s="424">
        <v>945338</v>
      </c>
      <c r="D169" s="424">
        <v>715045</v>
      </c>
      <c r="E169" s="424">
        <f t="shared" si="18"/>
        <v>-230293</v>
      </c>
      <c r="F169" s="362">
        <f t="shared" si="19"/>
        <v>-0.24360916412965522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612</v>
      </c>
      <c r="C170" s="366">
        <f>IF(C168=0,0,C169/C168)</f>
        <v>0.13846239248650913</v>
      </c>
      <c r="D170" s="366">
        <f>IF(LN_IE14=0,0,LN_IE15/LN_IE14)</f>
        <v>0.16480487293882989</v>
      </c>
      <c r="E170" s="367">
        <f t="shared" si="18"/>
        <v>2.6342480452320766E-2</v>
      </c>
      <c r="F170" s="362">
        <f t="shared" si="19"/>
        <v>0.19025007425671492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613</v>
      </c>
      <c r="C171" s="366">
        <f>IF(C153=0,0,C168/C153)</f>
        <v>2.2717075641078539</v>
      </c>
      <c r="D171" s="366">
        <f>IF(LN_IE1=0,0,LN_IE14/LN_IE1)</f>
        <v>2.096459913585246</v>
      </c>
      <c r="E171" s="367">
        <f t="shared" si="18"/>
        <v>-0.17524765052260793</v>
      </c>
      <c r="F171" s="362">
        <f t="shared" si="19"/>
        <v>-7.7143578377541419E-2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614</v>
      </c>
      <c r="C172" s="376">
        <f>C171*C156</f>
        <v>531.57957000123781</v>
      </c>
      <c r="D172" s="376">
        <f>LN_IE17*LN_IE4</f>
        <v>266.25040902532623</v>
      </c>
      <c r="E172" s="376">
        <f t="shared" si="18"/>
        <v>-265.32916097591158</v>
      </c>
      <c r="F172" s="362">
        <f t="shared" si="19"/>
        <v>-0.49913348057242635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615</v>
      </c>
      <c r="C173" s="378">
        <f>IF(C172=0,0,C169/C172)</f>
        <v>1778.3565308911302</v>
      </c>
      <c r="D173" s="378">
        <f>IF(LN_IE18=0,0,LN_IE15/LN_IE18)</f>
        <v>2685.6108977169069</v>
      </c>
      <c r="E173" s="378">
        <f t="shared" si="18"/>
        <v>907.25436682577674</v>
      </c>
      <c r="F173" s="362">
        <f t="shared" si="19"/>
        <v>0.51016449798801244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656</v>
      </c>
      <c r="C174" s="378">
        <f>C61-C173</f>
        <v>2985.5162364103544</v>
      </c>
      <c r="D174" s="378">
        <f>LN_IB18-LN_IE19</f>
        <v>2818.360387233919</v>
      </c>
      <c r="E174" s="378">
        <f t="shared" si="18"/>
        <v>-167.15584917643537</v>
      </c>
      <c r="F174" s="362">
        <f t="shared" si="19"/>
        <v>-5.5988926517249751E-2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657</v>
      </c>
      <c r="C175" s="378">
        <f>C32-C173</f>
        <v>2477.2402832845764</v>
      </c>
      <c r="D175" s="378">
        <f>LN_IA16-LN_IE19</f>
        <v>1901.460277233612</v>
      </c>
      <c r="E175" s="378">
        <f t="shared" si="18"/>
        <v>-575.7800060509644</v>
      </c>
      <c r="F175" s="362">
        <f t="shared" si="19"/>
        <v>-0.23242800060054605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626</v>
      </c>
      <c r="C176" s="353">
        <f>C175*C172</f>
        <v>1316850.3245781597</v>
      </c>
      <c r="D176" s="353">
        <f>LN_IE21*LN_IE18</f>
        <v>506264.57655885944</v>
      </c>
      <c r="E176" s="353">
        <f t="shared" si="18"/>
        <v>-810585.74801930028</v>
      </c>
      <c r="F176" s="362">
        <f t="shared" si="19"/>
        <v>-0.61554888425073184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658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617</v>
      </c>
      <c r="C179" s="361">
        <f>C153+C168</f>
        <v>9832803</v>
      </c>
      <c r="D179" s="361">
        <f>LN_IE1+LN_IE14</f>
        <v>6408291</v>
      </c>
      <c r="E179" s="361">
        <f>D179-C179</f>
        <v>-3424512</v>
      </c>
      <c r="F179" s="362">
        <f>IF(C179=0,0,E179/C179)</f>
        <v>-0.34827424082431024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618</v>
      </c>
      <c r="C180" s="361">
        <f>C154+C169</f>
        <v>1634585</v>
      </c>
      <c r="D180" s="361">
        <f>LN_IE15+LN_IE2</f>
        <v>1361046</v>
      </c>
      <c r="E180" s="361">
        <f>D180-C180</f>
        <v>-273539</v>
      </c>
      <c r="F180" s="362">
        <f>IF(C180=0,0,E180/C180)</f>
        <v>-0.16734461652346008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619</v>
      </c>
      <c r="C181" s="361">
        <f>C179-C180</f>
        <v>8198218</v>
      </c>
      <c r="D181" s="361">
        <f>LN_IE23-LN_IE24</f>
        <v>5047245</v>
      </c>
      <c r="E181" s="361">
        <f>D181-C181</f>
        <v>-3150973</v>
      </c>
      <c r="F181" s="362">
        <f>IF(C181=0,0,E181/C181)</f>
        <v>-0.38434852549663839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659</v>
      </c>
      <c r="C183" s="361">
        <f>C162+C176</f>
        <v>2372502.6842332203</v>
      </c>
      <c r="D183" s="361">
        <f>LN_IE10+LN_IE22</f>
        <v>1275557.3378816359</v>
      </c>
      <c r="E183" s="353">
        <f>D183-C183</f>
        <v>-1096945.3463515844</v>
      </c>
      <c r="F183" s="362">
        <f>IF(C183=0,0,E183/C183)</f>
        <v>-0.46235789474190248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660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661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601</v>
      </c>
      <c r="C188" s="361">
        <f>C118+C153</f>
        <v>11802650</v>
      </c>
      <c r="D188" s="361">
        <f>LN_ID1+LN_IE1</f>
        <v>12105743</v>
      </c>
      <c r="E188" s="361">
        <f t="shared" ref="E188:E200" si="20">D188-C188</f>
        <v>303093</v>
      </c>
      <c r="F188" s="362">
        <f t="shared" ref="F188:F200" si="21">IF(C188=0,0,E188/C188)</f>
        <v>2.5680080320944872E-2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602</v>
      </c>
      <c r="C189" s="361">
        <f>C119+C154</f>
        <v>5214171</v>
      </c>
      <c r="D189" s="361">
        <f>LN_1D2+LN_IE2</f>
        <v>5689976</v>
      </c>
      <c r="E189" s="361">
        <f t="shared" si="20"/>
        <v>475805</v>
      </c>
      <c r="F189" s="362">
        <f t="shared" si="21"/>
        <v>9.1252281522796241E-2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603</v>
      </c>
      <c r="C190" s="366">
        <f>IF(C188=0,0,C189/C188)</f>
        <v>0.44177968507072563</v>
      </c>
      <c r="D190" s="366">
        <f>IF(LN_IF1=0,0,LN_IF2/LN_IF1)</f>
        <v>0.47002286435454643</v>
      </c>
      <c r="E190" s="367">
        <f t="shared" si="20"/>
        <v>2.8243179283820807E-2</v>
      </c>
      <c r="F190" s="362">
        <f t="shared" si="21"/>
        <v>6.3930461807675212E-2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1195</v>
      </c>
      <c r="D191" s="369">
        <f>LN_ID4+LN_IE4</f>
        <v>1188</v>
      </c>
      <c r="E191" s="369">
        <f t="shared" si="20"/>
        <v>-7</v>
      </c>
      <c r="F191" s="362">
        <f t="shared" si="21"/>
        <v>-5.8577405857740588E-3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604</v>
      </c>
      <c r="C192" s="372">
        <f>IF((C121+C156)=0,0,(C123+C158)/(C121+C156))</f>
        <v>0.77951385774058579</v>
      </c>
      <c r="D192" s="372">
        <f>IF((LN_ID4+LN_IE4)=0,0,(LN_ID6+LN_IE6)/(LN_ID4+LN_IE4))</f>
        <v>0.86209006734006732</v>
      </c>
      <c r="E192" s="373">
        <f t="shared" si="20"/>
        <v>8.2576209599481531E-2</v>
      </c>
      <c r="F192" s="362">
        <f t="shared" si="21"/>
        <v>0.10593295908661324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605</v>
      </c>
      <c r="C193" s="376">
        <f>C123+C158</f>
        <v>931.51906000000008</v>
      </c>
      <c r="D193" s="376">
        <f>LN_IF4*LN_IF5</f>
        <v>1024.163</v>
      </c>
      <c r="E193" s="376">
        <f t="shared" si="20"/>
        <v>92.64393999999993</v>
      </c>
      <c r="F193" s="362">
        <f t="shared" si="21"/>
        <v>9.9454690707026353E-2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606</v>
      </c>
      <c r="C194" s="378">
        <f>IF(C193=0,0,C189/C193)</f>
        <v>5597.4925515748437</v>
      </c>
      <c r="D194" s="378">
        <f>IF(LN_IF6=0,0,LN_IF2/LN_IF6)</f>
        <v>5555.7328276846556</v>
      </c>
      <c r="E194" s="378">
        <f t="shared" si="20"/>
        <v>-41.75972389018807</v>
      </c>
      <c r="F194" s="362">
        <f t="shared" si="21"/>
        <v>-7.4604340256672697E-3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662</v>
      </c>
      <c r="C195" s="378">
        <f>C48-C194</f>
        <v>1081.2121062093711</v>
      </c>
      <c r="D195" s="378">
        <f>LN_IB7-LN_IF7</f>
        <v>1477.721066066093</v>
      </c>
      <c r="E195" s="378">
        <f t="shared" si="20"/>
        <v>396.50895985672196</v>
      </c>
      <c r="F195" s="362">
        <f t="shared" si="21"/>
        <v>0.36672634127899789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663</v>
      </c>
      <c r="C196" s="378">
        <f>C21-C194</f>
        <v>2639.9194831571294</v>
      </c>
      <c r="D196" s="378">
        <f>LN_IA7-LN_IF7</f>
        <v>3403.9434584917972</v>
      </c>
      <c r="E196" s="378">
        <f t="shared" si="20"/>
        <v>764.02397533466774</v>
      </c>
      <c r="F196" s="362">
        <f t="shared" si="21"/>
        <v>0.289411847675353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623</v>
      </c>
      <c r="C197" s="391">
        <f>C127+C162</f>
        <v>2459135.3154262151</v>
      </c>
      <c r="D197" s="391">
        <f>LN_IF9*LN_IF6</f>
        <v>3486192.9442793345</v>
      </c>
      <c r="E197" s="391">
        <f t="shared" si="20"/>
        <v>1027057.6288531194</v>
      </c>
      <c r="F197" s="362">
        <f t="shared" si="21"/>
        <v>0.41764990417988068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3831</v>
      </c>
      <c r="D198" s="369">
        <f>LN_ID11+LN_IE11</f>
        <v>3981</v>
      </c>
      <c r="E198" s="369">
        <f t="shared" si="20"/>
        <v>150</v>
      </c>
      <c r="F198" s="362">
        <f t="shared" si="21"/>
        <v>3.9154267815191858E-2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607</v>
      </c>
      <c r="C199" s="432">
        <f>IF(C198=0,0,C189/C198)</f>
        <v>1361.0469851213782</v>
      </c>
      <c r="D199" s="432">
        <f>IF(LN_IF11=0,0,LN_IF2/LN_IF11)</f>
        <v>1429.2830946998242</v>
      </c>
      <c r="E199" s="432">
        <f t="shared" si="20"/>
        <v>68.236109578446076</v>
      </c>
      <c r="F199" s="362">
        <f t="shared" si="21"/>
        <v>5.0135013944695508E-2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608</v>
      </c>
      <c r="C200" s="379">
        <f>IF(C191=0,0,C198/C191)</f>
        <v>3.205857740585774</v>
      </c>
      <c r="D200" s="379">
        <f>IF(LN_IF4=0,0,LN_IF11/LN_IF4)</f>
        <v>3.3510101010101012</v>
      </c>
      <c r="E200" s="379">
        <f t="shared" si="20"/>
        <v>0.14515236042432722</v>
      </c>
      <c r="F200" s="362">
        <f t="shared" si="21"/>
        <v>4.5277230672688865E-2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664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610</v>
      </c>
      <c r="C203" s="361">
        <f>C133+C168</f>
        <v>24066456</v>
      </c>
      <c r="D203" s="361">
        <f>LN_ID14+LN_IE14</f>
        <v>25594132</v>
      </c>
      <c r="E203" s="361">
        <f t="shared" ref="E203:E211" si="22">D203-C203</f>
        <v>1527676</v>
      </c>
      <c r="F203" s="362">
        <f t="shared" ref="F203:F211" si="23">IF(C203=0,0,E203/C203)</f>
        <v>6.3477397752290568E-2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611</v>
      </c>
      <c r="C204" s="361">
        <f>C134+C169</f>
        <v>5970509</v>
      </c>
      <c r="D204" s="361">
        <f>LN_ID15+LN_IE15</f>
        <v>6458741</v>
      </c>
      <c r="E204" s="361">
        <f t="shared" si="22"/>
        <v>488232</v>
      </c>
      <c r="F204" s="362">
        <f t="shared" si="23"/>
        <v>8.1773932507261948E-2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612</v>
      </c>
      <c r="C205" s="366">
        <f>IF(C203=0,0,C204/C203)</f>
        <v>0.24808426300906125</v>
      </c>
      <c r="D205" s="366">
        <f>IF(LN_IF14=0,0,LN_IF15/LN_IF14)</f>
        <v>0.25235241421744642</v>
      </c>
      <c r="E205" s="367">
        <f t="shared" si="22"/>
        <v>4.268151208385168E-3</v>
      </c>
      <c r="F205" s="362">
        <f t="shared" si="23"/>
        <v>1.7204441574068221E-2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613</v>
      </c>
      <c r="C206" s="366">
        <f>IF(C188=0,0,C203/C188)</f>
        <v>2.0390722422506808</v>
      </c>
      <c r="D206" s="366">
        <f>IF(LN_IF1=0,0,LN_IF14/LN_IF1)</f>
        <v>2.1142140552628614</v>
      </c>
      <c r="E206" s="367">
        <f t="shared" si="22"/>
        <v>7.5141813012180592E-2</v>
      </c>
      <c r="F206" s="362">
        <f t="shared" si="23"/>
        <v>3.6850981272365711E-2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614</v>
      </c>
      <c r="C207" s="376">
        <f>C137+C172</f>
        <v>2414.7523012173478</v>
      </c>
      <c r="D207" s="376">
        <f>LN_ID18+LN_IE18</f>
        <v>2513.3159131723687</v>
      </c>
      <c r="E207" s="376">
        <f t="shared" si="22"/>
        <v>98.56361195502086</v>
      </c>
      <c r="F207" s="362">
        <f t="shared" si="23"/>
        <v>4.081727633320073E-2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615</v>
      </c>
      <c r="C208" s="378">
        <f>IF(C207=0,0,C204/C207)</f>
        <v>2472.5140533006597</v>
      </c>
      <c r="D208" s="378">
        <f>IF(LN_IF18=0,0,LN_IF15/LN_IF18)</f>
        <v>2569.808660403387</v>
      </c>
      <c r="E208" s="378">
        <f t="shared" si="22"/>
        <v>97.294607102727241</v>
      </c>
      <c r="F208" s="362">
        <f t="shared" si="23"/>
        <v>3.9350476885194934E-2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665</v>
      </c>
      <c r="C209" s="378">
        <f>C61-C208</f>
        <v>2291.3587140008249</v>
      </c>
      <c r="D209" s="378">
        <f>LN_IB18-LN_IF19</f>
        <v>2934.162624547439</v>
      </c>
      <c r="E209" s="378">
        <f t="shared" si="22"/>
        <v>642.80391054661413</v>
      </c>
      <c r="F209" s="362">
        <f t="shared" si="23"/>
        <v>0.2805339498433429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666</v>
      </c>
      <c r="C210" s="378">
        <f>C32-C208</f>
        <v>1783.0827608750469</v>
      </c>
      <c r="D210" s="378">
        <f>LN_IA16-LN_IF19</f>
        <v>2017.262514547132</v>
      </c>
      <c r="E210" s="378">
        <f t="shared" si="22"/>
        <v>234.1797536720851</v>
      </c>
      <c r="F210" s="362">
        <f t="shared" si="23"/>
        <v>0.13133420321845382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626</v>
      </c>
      <c r="C211" s="391">
        <f>C141+C176</f>
        <v>4305703.2000840027</v>
      </c>
      <c r="D211" s="353">
        <f>LN_IF21*LN_IF18</f>
        <v>5070017.9788574139</v>
      </c>
      <c r="E211" s="353">
        <f t="shared" si="22"/>
        <v>764314.77877341118</v>
      </c>
      <c r="F211" s="362">
        <f t="shared" si="23"/>
        <v>0.1775121840164226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667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617</v>
      </c>
      <c r="C214" s="361">
        <f>C188+C203</f>
        <v>35869106</v>
      </c>
      <c r="D214" s="361">
        <f>LN_IF1+LN_IF14</f>
        <v>37699875</v>
      </c>
      <c r="E214" s="361">
        <f>D214-C214</f>
        <v>1830769</v>
      </c>
      <c r="F214" s="362">
        <f>IF(C214=0,0,E214/C214)</f>
        <v>5.1040274045302383E-2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618</v>
      </c>
      <c r="C215" s="361">
        <f>C189+C204</f>
        <v>11184680</v>
      </c>
      <c r="D215" s="361">
        <f>LN_IF2+LN_IF15</f>
        <v>12148717</v>
      </c>
      <c r="E215" s="361">
        <f>D215-C215</f>
        <v>964037</v>
      </c>
      <c r="F215" s="362">
        <f>IF(C215=0,0,E215/C215)</f>
        <v>8.6192631349309948E-2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619</v>
      </c>
      <c r="C216" s="361">
        <f>C214-C215</f>
        <v>24684426</v>
      </c>
      <c r="D216" s="361">
        <f>LN_IF23-LN_IF24</f>
        <v>25551158</v>
      </c>
      <c r="E216" s="361">
        <f>D216-C216</f>
        <v>866732</v>
      </c>
      <c r="F216" s="362">
        <f>IF(C216=0,0,E216/C216)</f>
        <v>3.5112503730084711E-2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668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669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601</v>
      </c>
      <c r="C221" s="361">
        <v>176391</v>
      </c>
      <c r="D221" s="361">
        <v>136260</v>
      </c>
      <c r="E221" s="361">
        <f t="shared" ref="E221:E230" si="24">D221-C221</f>
        <v>-40131</v>
      </c>
      <c r="F221" s="362">
        <f t="shared" ref="F221:F230" si="25">IF(C221=0,0,E221/C221)</f>
        <v>-0.22751160773508852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602</v>
      </c>
      <c r="C222" s="361">
        <v>62014</v>
      </c>
      <c r="D222" s="361">
        <v>57058</v>
      </c>
      <c r="E222" s="361">
        <f t="shared" si="24"/>
        <v>-4956</v>
      </c>
      <c r="F222" s="362">
        <f t="shared" si="25"/>
        <v>-7.9917437997871446E-2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603</v>
      </c>
      <c r="C223" s="366">
        <f>IF(C221=0,0,C222/C221)</f>
        <v>0.35157122528927215</v>
      </c>
      <c r="D223" s="366">
        <f>IF(LN_IG1=0,0,LN_IG2/LN_IG1)</f>
        <v>0.41874357845295757</v>
      </c>
      <c r="E223" s="367">
        <f t="shared" si="24"/>
        <v>6.7172353163685417E-2</v>
      </c>
      <c r="F223" s="362">
        <f t="shared" si="25"/>
        <v>0.19106328485334978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13</v>
      </c>
      <c r="D224" s="369">
        <v>14</v>
      </c>
      <c r="E224" s="369">
        <f t="shared" si="24"/>
        <v>1</v>
      </c>
      <c r="F224" s="362">
        <f t="shared" si="25"/>
        <v>7.6923076923076927E-2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604</v>
      </c>
      <c r="C225" s="372">
        <v>0.95499999999999996</v>
      </c>
      <c r="D225" s="372">
        <v>0.99129999999999996</v>
      </c>
      <c r="E225" s="373">
        <f t="shared" si="24"/>
        <v>3.6299999999999999E-2</v>
      </c>
      <c r="F225" s="362">
        <f t="shared" si="25"/>
        <v>3.8010471204188483E-2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605</v>
      </c>
      <c r="C226" s="376">
        <f>C224*C225</f>
        <v>12.414999999999999</v>
      </c>
      <c r="D226" s="376">
        <f>LN_IG3*LN_IG4</f>
        <v>13.8782</v>
      </c>
      <c r="E226" s="376">
        <f t="shared" si="24"/>
        <v>1.4632000000000005</v>
      </c>
      <c r="F226" s="362">
        <f t="shared" si="25"/>
        <v>0.11785743052758764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606</v>
      </c>
      <c r="C227" s="378">
        <f>IF(C226=0,0,C222/C226)</f>
        <v>4995.086588803867</v>
      </c>
      <c r="D227" s="378">
        <f>IF(LN_IG5=0,0,LN_IG2/LN_IG5)</f>
        <v>4111.3400873312103</v>
      </c>
      <c r="E227" s="378">
        <f t="shared" si="24"/>
        <v>-883.74650147265675</v>
      </c>
      <c r="F227" s="362">
        <f t="shared" si="25"/>
        <v>-0.17692315954112026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28</v>
      </c>
      <c r="D228" s="369">
        <v>38</v>
      </c>
      <c r="E228" s="369">
        <f t="shared" si="24"/>
        <v>10</v>
      </c>
      <c r="F228" s="362">
        <f t="shared" si="25"/>
        <v>0.35714285714285715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607</v>
      </c>
      <c r="C229" s="378">
        <f>IF(C228=0,0,C222/C228)</f>
        <v>2214.7857142857142</v>
      </c>
      <c r="D229" s="378">
        <f>IF(LN_IG6=0,0,LN_IG2/LN_IG6)</f>
        <v>1501.5263157894738</v>
      </c>
      <c r="E229" s="378">
        <f t="shared" si="24"/>
        <v>-713.25939849624046</v>
      </c>
      <c r="F229" s="362">
        <f t="shared" si="25"/>
        <v>-0.32204442799843153</v>
      </c>
      <c r="Q229" s="330"/>
      <c r="U229" s="375"/>
    </row>
    <row r="230" spans="1:21" ht="11.25" customHeight="1" x14ac:dyDescent="0.2">
      <c r="A230" s="364">
        <v>10</v>
      </c>
      <c r="B230" s="360" t="s">
        <v>608</v>
      </c>
      <c r="C230" s="379">
        <f>IF(C224=0,0,C228/C224)</f>
        <v>2.1538461538461537</v>
      </c>
      <c r="D230" s="379">
        <f>IF(LN_IG3=0,0,LN_IG6/LN_IG3)</f>
        <v>2.7142857142857144</v>
      </c>
      <c r="E230" s="379">
        <f t="shared" si="24"/>
        <v>0.56043956043956067</v>
      </c>
      <c r="F230" s="362">
        <f t="shared" si="25"/>
        <v>0.26020408163265318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670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610</v>
      </c>
      <c r="C233" s="361">
        <v>412560</v>
      </c>
      <c r="D233" s="361">
        <v>473205</v>
      </c>
      <c r="E233" s="361">
        <f>D233-C233</f>
        <v>60645</v>
      </c>
      <c r="F233" s="362">
        <f>IF(C233=0,0,E233/C233)</f>
        <v>0.14699680046538685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611</v>
      </c>
      <c r="C234" s="361">
        <v>167114</v>
      </c>
      <c r="D234" s="361">
        <v>170553</v>
      </c>
      <c r="E234" s="361">
        <f>D234-C234</f>
        <v>3439</v>
      </c>
      <c r="F234" s="362">
        <f>IF(C234=0,0,E234/C234)</f>
        <v>2.0578766590471174E-2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671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617</v>
      </c>
      <c r="C237" s="361">
        <f>C221+C233</f>
        <v>588951</v>
      </c>
      <c r="D237" s="361">
        <f>LN_IG1+LN_IG9</f>
        <v>609465</v>
      </c>
      <c r="E237" s="361">
        <f>D237-C237</f>
        <v>20514</v>
      </c>
      <c r="F237" s="362">
        <f>IF(C237=0,0,E237/C237)</f>
        <v>3.4831420610543153E-2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618</v>
      </c>
      <c r="C238" s="361">
        <f>C222+C234</f>
        <v>229128</v>
      </c>
      <c r="D238" s="361">
        <f>LN_IG2+LN_IG10</f>
        <v>227611</v>
      </c>
      <c r="E238" s="361">
        <f>D238-C238</f>
        <v>-1517</v>
      </c>
      <c r="F238" s="362">
        <f>IF(C238=0,0,E238/C238)</f>
        <v>-6.6207534653119652E-3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619</v>
      </c>
      <c r="C239" s="361">
        <f>C237-C238</f>
        <v>359823</v>
      </c>
      <c r="D239" s="361">
        <f>LN_IG13-LN_IG14</f>
        <v>381854</v>
      </c>
      <c r="E239" s="361">
        <f>D239-C239</f>
        <v>22031</v>
      </c>
      <c r="F239" s="362">
        <f>IF(C239=0,0,E239/C239)</f>
        <v>6.122732565733708E-2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672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673</v>
      </c>
      <c r="C243" s="361">
        <v>0</v>
      </c>
      <c r="D243" s="361">
        <v>2622664</v>
      </c>
      <c r="E243" s="353">
        <f>D243-C243</f>
        <v>2622664</v>
      </c>
      <c r="F243" s="415">
        <f>IF(C243=0,0,E243/C243)</f>
        <v>0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674</v>
      </c>
      <c r="C244" s="361">
        <v>85401157</v>
      </c>
      <c r="D244" s="361">
        <v>91501818</v>
      </c>
      <c r="E244" s="353">
        <f>D244-C244</f>
        <v>6100661</v>
      </c>
      <c r="F244" s="415">
        <f>IF(C244=0,0,E244/C244)</f>
        <v>7.1435343668704632E-2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675</v>
      </c>
      <c r="C245" s="400">
        <v>494828</v>
      </c>
      <c r="D245" s="400">
        <v>587594</v>
      </c>
      <c r="E245" s="400">
        <f>D245-C245</f>
        <v>92766</v>
      </c>
      <c r="F245" s="401">
        <f>IF(C245=0,0,E245/C245)</f>
        <v>0.18747120211467419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676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677</v>
      </c>
      <c r="C248" s="353">
        <v>2094259</v>
      </c>
      <c r="D248" s="353">
        <v>2446867</v>
      </c>
      <c r="E248" s="353">
        <f>D248-C248</f>
        <v>352608</v>
      </c>
      <c r="F248" s="362">
        <f>IF(C248=0,0,E248/C248)</f>
        <v>0.1683688598210632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678</v>
      </c>
      <c r="C249" s="353">
        <v>4141249</v>
      </c>
      <c r="D249" s="353">
        <v>3867045</v>
      </c>
      <c r="E249" s="353">
        <f>D249-C249</f>
        <v>-274204</v>
      </c>
      <c r="F249" s="362">
        <f>IF(C249=0,0,E249/C249)</f>
        <v>-6.6212874425082863E-2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679</v>
      </c>
      <c r="C250" s="353">
        <f>C248+C249</f>
        <v>6235508</v>
      </c>
      <c r="D250" s="353">
        <f>LN_IH4+LN_IH5</f>
        <v>6313912</v>
      </c>
      <c r="E250" s="353">
        <f>D250-C250</f>
        <v>78404</v>
      </c>
      <c r="F250" s="362">
        <f>IF(C250=0,0,E250/C250)</f>
        <v>1.2573795110197919E-2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680</v>
      </c>
      <c r="C251" s="353">
        <f>C250*C313</f>
        <v>2607503.4894561851</v>
      </c>
      <c r="D251" s="353">
        <f>LN_IH6*LN_III10</f>
        <v>2715769.7724533645</v>
      </c>
      <c r="E251" s="353">
        <f>D251-C251</f>
        <v>108266.28299717931</v>
      </c>
      <c r="F251" s="362">
        <f>IF(C251=0,0,E251/C251)</f>
        <v>4.1521050090621001E-2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681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617</v>
      </c>
      <c r="C254" s="353">
        <f>C188+C203</f>
        <v>35869106</v>
      </c>
      <c r="D254" s="353">
        <f>LN_IF23</f>
        <v>37699875</v>
      </c>
      <c r="E254" s="353">
        <f>D254-C254</f>
        <v>1830769</v>
      </c>
      <c r="F254" s="362">
        <f>IF(C254=0,0,E254/C254)</f>
        <v>5.1040274045302383E-2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618</v>
      </c>
      <c r="C255" s="353">
        <f>C189+C204</f>
        <v>11184680</v>
      </c>
      <c r="D255" s="353">
        <f>LN_IF24</f>
        <v>12148717</v>
      </c>
      <c r="E255" s="353">
        <f>D255-C255</f>
        <v>964037</v>
      </c>
      <c r="F255" s="362">
        <f>IF(C255=0,0,E255/C255)</f>
        <v>8.6192631349309948E-2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682</v>
      </c>
      <c r="C256" s="353">
        <f>C254*C313</f>
        <v>14999390.435979521</v>
      </c>
      <c r="D256" s="353">
        <f>LN_IH8*LN_III10</f>
        <v>16215649.022392185</v>
      </c>
      <c r="E256" s="353">
        <f>D256-C256</f>
        <v>1216258.5864126645</v>
      </c>
      <c r="F256" s="362">
        <f>IF(C256=0,0,E256/C256)</f>
        <v>8.108720095019234E-2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683</v>
      </c>
      <c r="C257" s="353">
        <f>C256-C255</f>
        <v>3814710.4359795209</v>
      </c>
      <c r="D257" s="353">
        <f>LN_IH10-LN_IH9</f>
        <v>4066932.0223921854</v>
      </c>
      <c r="E257" s="353">
        <f>D257-C257</f>
        <v>252221.5864126645</v>
      </c>
      <c r="F257" s="362">
        <f>IF(C257=0,0,E257/C257)</f>
        <v>6.6118147273713165E-2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684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685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686</v>
      </c>
      <c r="C261" s="361">
        <f>C15+C42+C188+C221</f>
        <v>72446212</v>
      </c>
      <c r="D261" s="361">
        <f>LN_IA1+LN_IB1+LN_IF1+LN_IG1</f>
        <v>73484780</v>
      </c>
      <c r="E261" s="361">
        <f t="shared" ref="E261:E274" si="26">D261-C261</f>
        <v>1038568</v>
      </c>
      <c r="F261" s="415">
        <f t="shared" ref="F261:F274" si="27">IF(C261=0,0,E261/C261)</f>
        <v>1.433571157592063E-2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687</v>
      </c>
      <c r="C262" s="361">
        <f>C16+C43+C189+C222</f>
        <v>40046266</v>
      </c>
      <c r="D262" s="361">
        <f>+LN_IA2+LN_IB2+LN_IF2+LN_IG2</f>
        <v>41352892</v>
      </c>
      <c r="E262" s="361">
        <f t="shared" si="26"/>
        <v>1306626</v>
      </c>
      <c r="F262" s="415">
        <f t="shared" si="27"/>
        <v>3.2627910926826487E-2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688</v>
      </c>
      <c r="C263" s="366">
        <f>IF(C261=0,0,C262/C261)</f>
        <v>0.55277239339994755</v>
      </c>
      <c r="D263" s="366">
        <f>IF(LN_IIA1=0,0,LN_IIA2/LN_IIA1)</f>
        <v>0.56274091043070418</v>
      </c>
      <c r="E263" s="367">
        <f t="shared" si="26"/>
        <v>9.9685170307566295E-3</v>
      </c>
      <c r="F263" s="371">
        <f t="shared" si="27"/>
        <v>1.8033673804589055E-2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689</v>
      </c>
      <c r="C264" s="369">
        <f>C18+C45+C191+C224</f>
        <v>5343</v>
      </c>
      <c r="D264" s="369">
        <f>LN_IA4+LN_IB4+LN_IF4+LN_IG3</f>
        <v>5100</v>
      </c>
      <c r="E264" s="369">
        <f t="shared" si="26"/>
        <v>-243</v>
      </c>
      <c r="F264" s="415">
        <f t="shared" si="27"/>
        <v>-4.5480067377877596E-2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690</v>
      </c>
      <c r="C265" s="439">
        <f>IF(C264=0,0,C266/C264)</f>
        <v>1.0200832603406325</v>
      </c>
      <c r="D265" s="439">
        <f>IF(LN_IIA4=0,0,LN_IIA6/LN_IIA4)</f>
        <v>1.0366803529411766</v>
      </c>
      <c r="E265" s="439">
        <f t="shared" si="26"/>
        <v>1.6597092600544094E-2</v>
      </c>
      <c r="F265" s="415">
        <f t="shared" si="27"/>
        <v>1.6270331301193878E-2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691</v>
      </c>
      <c r="C266" s="376">
        <f>C20+C47+C193+C226</f>
        <v>5450.3048599999993</v>
      </c>
      <c r="D266" s="376">
        <f>LN_IA6+LN_IB6+LN_IF6+LN_IG5</f>
        <v>5287.0698000000002</v>
      </c>
      <c r="E266" s="376">
        <f t="shared" si="26"/>
        <v>-163.23505999999907</v>
      </c>
      <c r="F266" s="415">
        <f t="shared" si="27"/>
        <v>-2.9949711840522458E-2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692</v>
      </c>
      <c r="C267" s="361">
        <f>C27+C56+C203+C233</f>
        <v>117737661</v>
      </c>
      <c r="D267" s="361">
        <f>LN_IA11+LN_IB13+LN_IF14+LN_IG9</f>
        <v>120470784</v>
      </c>
      <c r="E267" s="361">
        <f t="shared" si="26"/>
        <v>2733123</v>
      </c>
      <c r="F267" s="415">
        <f t="shared" si="27"/>
        <v>2.3213668224647335E-2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613</v>
      </c>
      <c r="C268" s="366">
        <f>IF(C261=0,0,C267/C261)</f>
        <v>1.6251734597248508</v>
      </c>
      <c r="D268" s="366">
        <f>IF(LN_IIA1=0,0,LN_IIA7/LN_IIA1)</f>
        <v>1.6393977637274004</v>
      </c>
      <c r="E268" s="367">
        <f t="shared" si="26"/>
        <v>1.4224304002549593E-2</v>
      </c>
      <c r="F268" s="371">
        <f t="shared" si="27"/>
        <v>8.7524835687126171E-3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693</v>
      </c>
      <c r="C269" s="361">
        <f>C28+C57+C204+C234</f>
        <v>38922476</v>
      </c>
      <c r="D269" s="361">
        <f>LN_IA12+LN_IB14+LN_IF15+LN_IG10</f>
        <v>41135175</v>
      </c>
      <c r="E269" s="361">
        <f t="shared" si="26"/>
        <v>2212699</v>
      </c>
      <c r="F269" s="415">
        <f t="shared" si="27"/>
        <v>5.6848875698452483E-2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612</v>
      </c>
      <c r="C270" s="366">
        <f>IF(C267=0,0,C269/C267)</f>
        <v>0.33058645525495872</v>
      </c>
      <c r="D270" s="366">
        <f>IF(LN_IIA7=0,0,LN_IIA9/LN_IIA7)</f>
        <v>0.34145353449347521</v>
      </c>
      <c r="E270" s="367">
        <f t="shared" si="26"/>
        <v>1.0867079238516486E-2</v>
      </c>
      <c r="F270" s="371">
        <f t="shared" si="27"/>
        <v>3.2872124873160491E-2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694</v>
      </c>
      <c r="C271" s="353">
        <f>C261+C267</f>
        <v>190183873</v>
      </c>
      <c r="D271" s="353">
        <f>LN_IIA1+LN_IIA7</f>
        <v>193955564</v>
      </c>
      <c r="E271" s="353">
        <f t="shared" si="26"/>
        <v>3771691</v>
      </c>
      <c r="F271" s="415">
        <f t="shared" si="27"/>
        <v>1.9831812973963359E-2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695</v>
      </c>
      <c r="C272" s="353">
        <f>C262+C269</f>
        <v>78968742</v>
      </c>
      <c r="D272" s="353">
        <f>LN_IIA2+LN_IIA9</f>
        <v>82488067</v>
      </c>
      <c r="E272" s="353">
        <f t="shared" si="26"/>
        <v>3519325</v>
      </c>
      <c r="F272" s="415">
        <f t="shared" si="27"/>
        <v>4.456605121049035E-2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696</v>
      </c>
      <c r="C273" s="366">
        <f>IF(C271=0,0,C272/C271)</f>
        <v>0.41522312462319033</v>
      </c>
      <c r="D273" s="366">
        <f>IF(LN_IIA11=0,0,LN_IIA12/LN_IIA11)</f>
        <v>0.42529363581443841</v>
      </c>
      <c r="E273" s="367">
        <f t="shared" si="26"/>
        <v>1.0070511191248077E-2</v>
      </c>
      <c r="F273" s="371">
        <f t="shared" si="27"/>
        <v>2.4253252273429948E-2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20696</v>
      </c>
      <c r="D274" s="421">
        <f>LN_IA8+LN_IB10+LN_IF11+LN_IG6</f>
        <v>20850</v>
      </c>
      <c r="E274" s="442">
        <f t="shared" si="26"/>
        <v>154</v>
      </c>
      <c r="F274" s="371">
        <f t="shared" si="27"/>
        <v>7.441051410900657E-3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697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698</v>
      </c>
      <c r="C277" s="361">
        <f>C15+C188+C221</f>
        <v>53638576</v>
      </c>
      <c r="D277" s="361">
        <f>LN_IA1+LN_IF1+LN_IG1</f>
        <v>55643652</v>
      </c>
      <c r="E277" s="361">
        <f t="shared" ref="E277:E291" si="28">D277-C277</f>
        <v>2005076</v>
      </c>
      <c r="F277" s="415">
        <f t="shared" ref="F277:F291" si="29">IF(C277=0,0,E277/C277)</f>
        <v>3.7381231000614183E-2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699</v>
      </c>
      <c r="C278" s="361">
        <f>C16+C189+C222</f>
        <v>29973831</v>
      </c>
      <c r="D278" s="361">
        <f>LN_IA2+LN_IF2+LN_IG2</f>
        <v>32355555</v>
      </c>
      <c r="E278" s="361">
        <f t="shared" si="28"/>
        <v>2381724</v>
      </c>
      <c r="F278" s="415">
        <f t="shared" si="29"/>
        <v>7.9460113056619291E-2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700</v>
      </c>
      <c r="C279" s="366">
        <f>IF(C277=0,0,C278/C277)</f>
        <v>0.55881108775147204</v>
      </c>
      <c r="D279" s="366">
        <f>IF(D277=0,0,LN_IIB2/D277)</f>
        <v>0.58147791952979655</v>
      </c>
      <c r="E279" s="367">
        <f t="shared" si="28"/>
        <v>2.2666831778324514E-2</v>
      </c>
      <c r="F279" s="371">
        <f t="shared" si="29"/>
        <v>4.0562602058471425E-2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701</v>
      </c>
      <c r="C280" s="369">
        <f>C18+C191+C224</f>
        <v>3742</v>
      </c>
      <c r="D280" s="369">
        <f>LN_IA4+LN_IF4+LN_IG3</f>
        <v>3719</v>
      </c>
      <c r="E280" s="369">
        <f t="shared" si="28"/>
        <v>-23</v>
      </c>
      <c r="F280" s="415">
        <f t="shared" si="29"/>
        <v>-6.1464457509353291E-3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702</v>
      </c>
      <c r="C281" s="439">
        <f>IF(C280=0,0,C282/C280)</f>
        <v>1.0534908765366113</v>
      </c>
      <c r="D281" s="439">
        <f>IF(LN_IIB4=0,0,LN_IIB6/LN_IIB4)</f>
        <v>1.077668593707986</v>
      </c>
      <c r="E281" s="439">
        <f t="shared" si="28"/>
        <v>2.4177717171374624E-2</v>
      </c>
      <c r="F281" s="415">
        <f t="shared" si="29"/>
        <v>2.2950096398423239E-2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703</v>
      </c>
      <c r="C282" s="376">
        <f>C20+C193+C226</f>
        <v>3942.1628599999999</v>
      </c>
      <c r="D282" s="376">
        <f>LN_IA6+LN_IF6+LN_IG5</f>
        <v>4007.8494999999998</v>
      </c>
      <c r="E282" s="376">
        <f t="shared" si="28"/>
        <v>65.686639999999898</v>
      </c>
      <c r="F282" s="415">
        <f t="shared" si="29"/>
        <v>1.6662589124996196E-2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704</v>
      </c>
      <c r="C283" s="361">
        <f>C27+C203+C233</f>
        <v>58799325</v>
      </c>
      <c r="D283" s="361">
        <f>LN_IA11+LN_IF14+LN_IG9</f>
        <v>61772622</v>
      </c>
      <c r="E283" s="361">
        <f t="shared" si="28"/>
        <v>2973297</v>
      </c>
      <c r="F283" s="415">
        <f t="shared" si="29"/>
        <v>5.0566855997071392E-2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705</v>
      </c>
      <c r="C284" s="366">
        <f>IF(C277=0,0,C283/C277)</f>
        <v>1.0962133856797391</v>
      </c>
      <c r="D284" s="366">
        <f>IF(D277=0,0,LN_IIB7/D277)</f>
        <v>1.1101467962598861</v>
      </c>
      <c r="E284" s="367">
        <f t="shared" si="28"/>
        <v>1.3933410580146965E-2</v>
      </c>
      <c r="F284" s="371">
        <f t="shared" si="29"/>
        <v>1.271049118918316E-2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706</v>
      </c>
      <c r="C285" s="361">
        <f>C28+C204+C234</f>
        <v>15021527</v>
      </c>
      <c r="D285" s="361">
        <f>LN_IA12+LN_IF15+LN_IG10</f>
        <v>16127574</v>
      </c>
      <c r="E285" s="361">
        <f t="shared" si="28"/>
        <v>1106047</v>
      </c>
      <c r="F285" s="415">
        <f t="shared" si="29"/>
        <v>7.3630796656025718E-2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707</v>
      </c>
      <c r="C286" s="366">
        <f>IF(C283=0,0,C285/C283)</f>
        <v>0.25547107896221599</v>
      </c>
      <c r="D286" s="366">
        <f>IF(LN_IIB7=0,0,LN_IIB9/LN_IIB7)</f>
        <v>0.26107964139841755</v>
      </c>
      <c r="E286" s="367">
        <f t="shared" si="28"/>
        <v>5.6085624362015585E-3</v>
      </c>
      <c r="F286" s="371">
        <f t="shared" si="29"/>
        <v>2.1953805726209273E-2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708</v>
      </c>
      <c r="C287" s="353">
        <f>C277+C283</f>
        <v>112437901</v>
      </c>
      <c r="D287" s="353">
        <f>D277+LN_IIB7</f>
        <v>117416274</v>
      </c>
      <c r="E287" s="353">
        <f t="shared" si="28"/>
        <v>4978373</v>
      </c>
      <c r="F287" s="415">
        <f t="shared" si="29"/>
        <v>4.4276644758781118E-2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709</v>
      </c>
      <c r="C288" s="353">
        <f>C278+C285</f>
        <v>44995358</v>
      </c>
      <c r="D288" s="353">
        <f>LN_IIB2+LN_IIB9</f>
        <v>48483129</v>
      </c>
      <c r="E288" s="353">
        <f t="shared" si="28"/>
        <v>3487771</v>
      </c>
      <c r="F288" s="415">
        <f t="shared" si="29"/>
        <v>7.751401822383544E-2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710</v>
      </c>
      <c r="C289" s="366">
        <f>IF(C287=0,0,C288/C287)</f>
        <v>0.4001796333782503</v>
      </c>
      <c r="D289" s="366">
        <f>IF(LN_IIB11=0,0,LN_IIB12/LN_IIB11)</f>
        <v>0.41291660302557376</v>
      </c>
      <c r="E289" s="367">
        <f t="shared" si="28"/>
        <v>1.2736969647323459E-2</v>
      </c>
      <c r="F289" s="371">
        <f t="shared" si="29"/>
        <v>3.1828130631736722E-2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15852</v>
      </c>
      <c r="D290" s="421">
        <f>LN_IA8+LN_IF11+LN_IG6</f>
        <v>16359</v>
      </c>
      <c r="E290" s="442">
        <f t="shared" si="28"/>
        <v>507</v>
      </c>
      <c r="F290" s="371">
        <f t="shared" si="29"/>
        <v>3.198334595003785E-2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711</v>
      </c>
      <c r="C291" s="361">
        <f>C287-C288</f>
        <v>67442543</v>
      </c>
      <c r="D291" s="429">
        <f>LN_IIB11-LN_IIB12</f>
        <v>68933145</v>
      </c>
      <c r="E291" s="353">
        <f t="shared" si="28"/>
        <v>1490602</v>
      </c>
      <c r="F291" s="415">
        <f t="shared" si="29"/>
        <v>2.2101805977274611E-2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608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599</v>
      </c>
      <c r="C294" s="379">
        <f>IF(C18=0,0,C22/C18)</f>
        <v>4.7328334648776638</v>
      </c>
      <c r="D294" s="379">
        <f>IF(LN_IA4=0,0,LN_IA8/LN_IA4)</f>
        <v>4.9026618990862136</v>
      </c>
      <c r="E294" s="379">
        <f t="shared" ref="E294:E300" si="30">D294-C294</f>
        <v>0.16982843420854987</v>
      </c>
      <c r="F294" s="415">
        <f t="shared" ref="F294:F300" si="31">IF(C294=0,0,E294/C294)</f>
        <v>3.5883036128113513E-2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620</v>
      </c>
      <c r="C295" s="379">
        <f>IF(C45=0,0,C51/C45)</f>
        <v>3.0256089943785134</v>
      </c>
      <c r="D295" s="379">
        <f>IF(LN_IB4=0,0,(LN_IB10)/(LN_IB4))</f>
        <v>3.2519913106444607</v>
      </c>
      <c r="E295" s="379">
        <f t="shared" si="30"/>
        <v>0.22638231626594729</v>
      </c>
      <c r="F295" s="415">
        <f t="shared" si="31"/>
        <v>7.4822066131664255E-2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635</v>
      </c>
      <c r="C296" s="379">
        <f>IF(C86=0,0,C93/C86)</f>
        <v>2.7816091954022988</v>
      </c>
      <c r="D296" s="379">
        <f>IF(LN_IC4=0,0,LN_IC11/LN_IC4)</f>
        <v>3.7547169811320753</v>
      </c>
      <c r="E296" s="379">
        <f t="shared" si="30"/>
        <v>0.97310778572977652</v>
      </c>
      <c r="F296" s="415">
        <f t="shared" si="31"/>
        <v>0.34983627007640727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3.1779396462018732</v>
      </c>
      <c r="D297" s="379">
        <f>IF(LN_ID4=0,0,LN_ID11/LN_ID4)</f>
        <v>3.1658812441093307</v>
      </c>
      <c r="E297" s="379">
        <f t="shared" si="30"/>
        <v>-1.2058402092542497E-2</v>
      </c>
      <c r="F297" s="415">
        <f t="shared" si="31"/>
        <v>-3.7944087789565616E-3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712</v>
      </c>
      <c r="C298" s="379">
        <f>IF(C156=0,0,C163/C156)</f>
        <v>3.3205128205128207</v>
      </c>
      <c r="D298" s="379">
        <f>IF(LN_IE4=0,0,LN_IE11/LN_IE4)</f>
        <v>4.8976377952755907</v>
      </c>
      <c r="E298" s="379">
        <f t="shared" si="30"/>
        <v>1.57712497476277</v>
      </c>
      <c r="F298" s="415">
        <f t="shared" si="31"/>
        <v>0.47496427811388436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2.1538461538461537</v>
      </c>
      <c r="D299" s="379">
        <f>IF(LN_IG3=0,0,LN_IG6/LN_IG3)</f>
        <v>2.7142857142857144</v>
      </c>
      <c r="E299" s="379">
        <f t="shared" si="30"/>
        <v>0.56043956043956067</v>
      </c>
      <c r="F299" s="415">
        <f t="shared" si="31"/>
        <v>0.26020408163265318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713</v>
      </c>
      <c r="C300" s="379">
        <f>IF(C264=0,0,C274/C264)</f>
        <v>3.8734793187347933</v>
      </c>
      <c r="D300" s="379">
        <f>IF(LN_IIA4=0,0,LN_IIA14/LN_IIA4)</f>
        <v>4.0882352941176467</v>
      </c>
      <c r="E300" s="379">
        <f t="shared" si="30"/>
        <v>0.2147559753828534</v>
      </c>
      <c r="F300" s="415">
        <f t="shared" si="31"/>
        <v>5.5442654448714039E-2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714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708</v>
      </c>
      <c r="C304" s="353">
        <f>C35+C66+C214+C221+C233</f>
        <v>190183873</v>
      </c>
      <c r="D304" s="353">
        <f>LN_IIA11</f>
        <v>193955564</v>
      </c>
      <c r="E304" s="353">
        <f t="shared" ref="E304:E316" si="32">D304-C304</f>
        <v>3771691</v>
      </c>
      <c r="F304" s="362">
        <f>IF(C304=0,0,E304/C304)</f>
        <v>1.9831812973963359E-2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711</v>
      </c>
      <c r="C305" s="353">
        <f>C291</f>
        <v>67442543</v>
      </c>
      <c r="D305" s="353">
        <f>LN_IIB14</f>
        <v>68933145</v>
      </c>
      <c r="E305" s="353">
        <f t="shared" si="32"/>
        <v>1490602</v>
      </c>
      <c r="F305" s="362">
        <f>IF(C305=0,0,E305/C305)</f>
        <v>2.2101805977274611E-2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715</v>
      </c>
      <c r="C306" s="353">
        <f>C250</f>
        <v>6235508</v>
      </c>
      <c r="D306" s="353">
        <f>LN_IH6</f>
        <v>6313912</v>
      </c>
      <c r="E306" s="353">
        <f t="shared" si="32"/>
        <v>78404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716</v>
      </c>
      <c r="C307" s="353">
        <f>C73-C74</f>
        <v>35545014</v>
      </c>
      <c r="D307" s="353">
        <f>LN_IB32-LN_IB33</f>
        <v>34194802</v>
      </c>
      <c r="E307" s="353">
        <f t="shared" si="32"/>
        <v>-1350212</v>
      </c>
      <c r="F307" s="362">
        <f t="shared" ref="F307:F316" si="33">IF(C307=0,0,E307/C307)</f>
        <v>-3.7985974629240547E-2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717</v>
      </c>
      <c r="C308" s="353">
        <v>1926412</v>
      </c>
      <c r="D308" s="353">
        <v>1676212</v>
      </c>
      <c r="E308" s="353">
        <f t="shared" si="32"/>
        <v>-250200</v>
      </c>
      <c r="F308" s="362">
        <f t="shared" si="33"/>
        <v>-0.12987875906088625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718</v>
      </c>
      <c r="C309" s="353">
        <f>C305+C307+C308+C306</f>
        <v>111149477</v>
      </c>
      <c r="D309" s="353">
        <f>LN_III2+LN_III3+LN_III4+LN_III5</f>
        <v>111118071</v>
      </c>
      <c r="E309" s="353">
        <f t="shared" si="32"/>
        <v>-31406</v>
      </c>
      <c r="F309" s="362">
        <f t="shared" si="33"/>
        <v>-2.8255643524080639E-4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719</v>
      </c>
      <c r="C310" s="353">
        <f>C304-C309</f>
        <v>79034396</v>
      </c>
      <c r="D310" s="353">
        <f>LN_III1-LN_III6</f>
        <v>82837493</v>
      </c>
      <c r="E310" s="353">
        <f t="shared" si="32"/>
        <v>3803097</v>
      </c>
      <c r="F310" s="362">
        <f t="shared" si="33"/>
        <v>4.8119517481983412E-2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720</v>
      </c>
      <c r="C311" s="353">
        <f>C245</f>
        <v>494828</v>
      </c>
      <c r="D311" s="353">
        <f>LN_IH3</f>
        <v>587594</v>
      </c>
      <c r="E311" s="353">
        <f t="shared" si="32"/>
        <v>92766</v>
      </c>
      <c r="F311" s="362">
        <f t="shared" si="33"/>
        <v>0.18747120211467419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721</v>
      </c>
      <c r="C312" s="353">
        <f>C310+C311</f>
        <v>79529224</v>
      </c>
      <c r="D312" s="353">
        <f>LN_III7+LN_III8</f>
        <v>83425087</v>
      </c>
      <c r="E312" s="353">
        <f t="shared" si="32"/>
        <v>3895863</v>
      </c>
      <c r="F312" s="362">
        <f t="shared" si="33"/>
        <v>4.8986558701993622E-2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722</v>
      </c>
      <c r="C313" s="448">
        <f>IF(C304=0,0,C312/C304)</f>
        <v>0.4181701778678153</v>
      </c>
      <c r="D313" s="448">
        <f>IF(LN_III1=0,0,LN_III9/LN_III1)</f>
        <v>0.4301247423868696</v>
      </c>
      <c r="E313" s="448">
        <f t="shared" si="32"/>
        <v>1.19545645190543E-2</v>
      </c>
      <c r="F313" s="362">
        <f t="shared" si="33"/>
        <v>2.8587797867386827E-2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680</v>
      </c>
      <c r="C314" s="353">
        <f>C306*C313</f>
        <v>2607503.4894561851</v>
      </c>
      <c r="D314" s="353">
        <f>D313*LN_III5</f>
        <v>2715769.7724533645</v>
      </c>
      <c r="E314" s="353">
        <f t="shared" si="32"/>
        <v>108266.28299717931</v>
      </c>
      <c r="F314" s="362">
        <f t="shared" si="33"/>
        <v>4.1521050090621001E-2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683</v>
      </c>
      <c r="C315" s="353">
        <f>(C214*C313)-C215</f>
        <v>3814710.4359795209</v>
      </c>
      <c r="D315" s="353">
        <f>D313*LN_IH8-LN_IH9</f>
        <v>4066932.0223921854</v>
      </c>
      <c r="E315" s="353">
        <f t="shared" si="32"/>
        <v>252221.5864126645</v>
      </c>
      <c r="F315" s="362">
        <f t="shared" si="33"/>
        <v>6.6118147273713165E-2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723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724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725</v>
      </c>
      <c r="C318" s="353">
        <f>C314+C315+C316</f>
        <v>6422213.925435706</v>
      </c>
      <c r="D318" s="353">
        <f>D314+D315+D316</f>
        <v>6782701.7948455494</v>
      </c>
      <c r="E318" s="353">
        <f>D318-C318</f>
        <v>360487.86940984335</v>
      </c>
      <c r="F318" s="362">
        <f>IF(C318=0,0,E318/C318)</f>
        <v>5.6131401662299275E-2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726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2988852.8755058427</v>
      </c>
      <c r="D322" s="353">
        <f>LN_ID22</f>
        <v>4563753.4022985538</v>
      </c>
      <c r="E322" s="353">
        <f>LN_IV2-C322</f>
        <v>1574900.5267927111</v>
      </c>
      <c r="F322" s="362">
        <f>IF(C322=0,0,E322/C322)</f>
        <v>0.52692474082591634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712</v>
      </c>
      <c r="C323" s="353">
        <f>C162+C176</f>
        <v>2372502.6842332203</v>
      </c>
      <c r="D323" s="353">
        <f>LN_IE10+LN_IE22</f>
        <v>1275557.3378816359</v>
      </c>
      <c r="E323" s="353">
        <f>LN_IV3-C323</f>
        <v>-1096945.3463515844</v>
      </c>
      <c r="F323" s="362">
        <f>IF(C323=0,0,E323/C323)</f>
        <v>-0.46235789474190248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727</v>
      </c>
      <c r="C324" s="353">
        <f>C92+C106</f>
        <v>1664608.0960983438</v>
      </c>
      <c r="D324" s="353">
        <f>LN_IC10+LN_IC22</f>
        <v>1408283.5217512939</v>
      </c>
      <c r="E324" s="353">
        <f>LN_IV1-C324</f>
        <v>-256324.57434704993</v>
      </c>
      <c r="F324" s="362">
        <f>IF(C324=0,0,E324/C324)</f>
        <v>-0.15398493792493634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728</v>
      </c>
      <c r="C325" s="429">
        <f>C324+C322+C323</f>
        <v>7025963.6558374073</v>
      </c>
      <c r="D325" s="429">
        <f>LN_IV1+LN_IV2+LN_IV3</f>
        <v>7247594.2619314836</v>
      </c>
      <c r="E325" s="353">
        <f>LN_IV4-C325</f>
        <v>221630.6060940763</v>
      </c>
      <c r="F325" s="362">
        <f>IF(C325=0,0,E325/C325)</f>
        <v>3.1544513599915669E-2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729</v>
      </c>
      <c r="B327" s="446" t="s">
        <v>730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731</v>
      </c>
      <c r="C329" s="431">
        <v>3496497</v>
      </c>
      <c r="D329" s="431">
        <v>3173244</v>
      </c>
      <c r="E329" s="431">
        <f t="shared" ref="E329:E335" si="34">D329-C329</f>
        <v>-323253</v>
      </c>
      <c r="F329" s="462">
        <f t="shared" ref="F329:F335" si="35">IF(C329=0,0,E329/C329)</f>
        <v>-9.2450529773084322E-2</v>
      </c>
    </row>
    <row r="330" spans="1:22" s="333" customFormat="1" ht="11.25" customHeight="1" x14ac:dyDescent="0.2">
      <c r="A330" s="364">
        <v>2</v>
      </c>
      <c r="B330" s="360" t="s">
        <v>732</v>
      </c>
      <c r="C330" s="429">
        <v>4141249</v>
      </c>
      <c r="D330" s="429">
        <v>3867045</v>
      </c>
      <c r="E330" s="431">
        <f t="shared" si="34"/>
        <v>-274204</v>
      </c>
      <c r="F330" s="463">
        <f t="shared" si="35"/>
        <v>-6.6212874425082863E-2</v>
      </c>
    </row>
    <row r="331" spans="1:22" s="333" customFormat="1" ht="11.25" customHeight="1" x14ac:dyDescent="0.2">
      <c r="A331" s="339">
        <v>3</v>
      </c>
      <c r="B331" s="360" t="s">
        <v>733</v>
      </c>
      <c r="C331" s="429">
        <v>83605148</v>
      </c>
      <c r="D331" s="429">
        <v>86942706</v>
      </c>
      <c r="E331" s="431">
        <f t="shared" si="34"/>
        <v>3337558</v>
      </c>
      <c r="F331" s="462">
        <f t="shared" si="35"/>
        <v>3.9920484322329051E-2</v>
      </c>
    </row>
    <row r="332" spans="1:22" s="333" customFormat="1" ht="11.25" customHeight="1" x14ac:dyDescent="0.2">
      <c r="A332" s="364">
        <v>4</v>
      </c>
      <c r="B332" s="360" t="s">
        <v>734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735</v>
      </c>
      <c r="C333" s="429">
        <v>190183873</v>
      </c>
      <c r="D333" s="429">
        <v>193955564</v>
      </c>
      <c r="E333" s="431">
        <f t="shared" si="34"/>
        <v>3771691</v>
      </c>
      <c r="F333" s="462">
        <f t="shared" si="35"/>
        <v>1.9831812973963359E-2</v>
      </c>
    </row>
    <row r="334" spans="1:22" s="333" customFormat="1" ht="11.25" customHeight="1" x14ac:dyDescent="0.2">
      <c r="A334" s="339">
        <v>6</v>
      </c>
      <c r="B334" s="360" t="s">
        <v>736</v>
      </c>
      <c r="C334" s="429">
        <v>519470</v>
      </c>
      <c r="D334" s="429">
        <v>1691625</v>
      </c>
      <c r="E334" s="429">
        <f t="shared" si="34"/>
        <v>1172155</v>
      </c>
      <c r="F334" s="463">
        <f t="shared" si="35"/>
        <v>2.2564440679923767</v>
      </c>
    </row>
    <row r="335" spans="1:22" s="333" customFormat="1" ht="11.25" customHeight="1" x14ac:dyDescent="0.2">
      <c r="A335" s="364">
        <v>7</v>
      </c>
      <c r="B335" s="360" t="s">
        <v>737</v>
      </c>
      <c r="C335" s="429">
        <v>6754978</v>
      </c>
      <c r="D335" s="429">
        <v>8005538</v>
      </c>
      <c r="E335" s="429">
        <f t="shared" si="34"/>
        <v>1250560</v>
      </c>
      <c r="F335" s="462">
        <f t="shared" si="35"/>
        <v>0.18513161700896733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FILING&amp;RWINDHAM COMMUNITY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>
      <selection activeCell="A3" sqref="A3:E3"/>
    </sheetView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590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738</v>
      </c>
      <c r="B5" s="710"/>
      <c r="C5" s="710"/>
      <c r="D5" s="710"/>
      <c r="E5" s="710"/>
    </row>
    <row r="6" spans="1:5" s="338" customFormat="1" ht="15.75" customHeight="1" x14ac:dyDescent="0.25">
      <c r="A6" s="710" t="s">
        <v>739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740</v>
      </c>
      <c r="D9" s="494" t="s">
        <v>741</v>
      </c>
      <c r="E9" s="495" t="s">
        <v>742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743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744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620</v>
      </c>
      <c r="C14" s="513">
        <v>18807636</v>
      </c>
      <c r="D14" s="513">
        <v>17841128</v>
      </c>
      <c r="E14" s="514">
        <f t="shared" ref="E14:E22" si="0">D14-C14</f>
        <v>-966508</v>
      </c>
    </row>
    <row r="15" spans="1:5" s="506" customFormat="1" x14ac:dyDescent="0.2">
      <c r="A15" s="512">
        <v>2</v>
      </c>
      <c r="B15" s="511" t="s">
        <v>599</v>
      </c>
      <c r="C15" s="513">
        <v>41659535</v>
      </c>
      <c r="D15" s="515">
        <v>43401649</v>
      </c>
      <c r="E15" s="514">
        <f t="shared" si="0"/>
        <v>1742114</v>
      </c>
    </row>
    <row r="16" spans="1:5" s="506" customFormat="1" x14ac:dyDescent="0.2">
      <c r="A16" s="512">
        <v>3</v>
      </c>
      <c r="B16" s="511" t="s">
        <v>745</v>
      </c>
      <c r="C16" s="513">
        <v>11802650</v>
      </c>
      <c r="D16" s="515">
        <v>12105743</v>
      </c>
      <c r="E16" s="514">
        <f t="shared" si="0"/>
        <v>303093</v>
      </c>
    </row>
    <row r="17" spans="1:5" s="506" customFormat="1" x14ac:dyDescent="0.2">
      <c r="A17" s="512">
        <v>4</v>
      </c>
      <c r="B17" s="511" t="s">
        <v>114</v>
      </c>
      <c r="C17" s="513">
        <v>8797246</v>
      </c>
      <c r="D17" s="515">
        <v>10036189</v>
      </c>
      <c r="E17" s="514">
        <f t="shared" si="0"/>
        <v>1238943</v>
      </c>
    </row>
    <row r="18" spans="1:5" s="506" customFormat="1" x14ac:dyDescent="0.2">
      <c r="A18" s="512">
        <v>5</v>
      </c>
      <c r="B18" s="511" t="s">
        <v>712</v>
      </c>
      <c r="C18" s="513">
        <v>3005404</v>
      </c>
      <c r="D18" s="515">
        <v>2069554</v>
      </c>
      <c r="E18" s="514">
        <f t="shared" si="0"/>
        <v>-935850</v>
      </c>
    </row>
    <row r="19" spans="1:5" s="506" customFormat="1" x14ac:dyDescent="0.2">
      <c r="A19" s="512">
        <v>6</v>
      </c>
      <c r="B19" s="511" t="s">
        <v>418</v>
      </c>
      <c r="C19" s="513">
        <v>176391</v>
      </c>
      <c r="D19" s="515">
        <v>136260</v>
      </c>
      <c r="E19" s="514">
        <f t="shared" si="0"/>
        <v>-40131</v>
      </c>
    </row>
    <row r="20" spans="1:5" s="506" customFormat="1" x14ac:dyDescent="0.2">
      <c r="A20" s="512">
        <v>7</v>
      </c>
      <c r="B20" s="511" t="s">
        <v>727</v>
      </c>
      <c r="C20" s="513">
        <v>921311</v>
      </c>
      <c r="D20" s="515">
        <v>1567998</v>
      </c>
      <c r="E20" s="514">
        <f t="shared" si="0"/>
        <v>646687</v>
      </c>
    </row>
    <row r="21" spans="1:5" s="506" customFormat="1" x14ac:dyDescent="0.2">
      <c r="A21" s="512"/>
      <c r="B21" s="516" t="s">
        <v>746</v>
      </c>
      <c r="C21" s="517">
        <f>SUM(C15+C16+C19)</f>
        <v>53638576</v>
      </c>
      <c r="D21" s="517">
        <f>SUM(D15+D16+D19)</f>
        <v>55643652</v>
      </c>
      <c r="E21" s="517">
        <f t="shared" si="0"/>
        <v>2005076</v>
      </c>
    </row>
    <row r="22" spans="1:5" s="506" customFormat="1" x14ac:dyDescent="0.2">
      <c r="A22" s="512"/>
      <c r="B22" s="516" t="s">
        <v>686</v>
      </c>
      <c r="C22" s="517">
        <f>SUM(C14+C21)</f>
        <v>72446212</v>
      </c>
      <c r="D22" s="517">
        <f>SUM(D14+D21)</f>
        <v>73484780</v>
      </c>
      <c r="E22" s="517">
        <f t="shared" si="0"/>
        <v>1038568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747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620</v>
      </c>
      <c r="C25" s="513">
        <v>58938336</v>
      </c>
      <c r="D25" s="513">
        <v>58698162</v>
      </c>
      <c r="E25" s="514">
        <f t="shared" ref="E25:E33" si="1">D25-C25</f>
        <v>-240174</v>
      </c>
    </row>
    <row r="26" spans="1:5" s="506" customFormat="1" x14ac:dyDescent="0.2">
      <c r="A26" s="512">
        <v>2</v>
      </c>
      <c r="B26" s="511" t="s">
        <v>599</v>
      </c>
      <c r="C26" s="513">
        <v>34320309</v>
      </c>
      <c r="D26" s="515">
        <v>35705285</v>
      </c>
      <c r="E26" s="514">
        <f t="shared" si="1"/>
        <v>1384976</v>
      </c>
    </row>
    <row r="27" spans="1:5" s="506" customFormat="1" x14ac:dyDescent="0.2">
      <c r="A27" s="512">
        <v>3</v>
      </c>
      <c r="B27" s="511" t="s">
        <v>745</v>
      </c>
      <c r="C27" s="513">
        <v>24066456</v>
      </c>
      <c r="D27" s="515">
        <v>25594132</v>
      </c>
      <c r="E27" s="514">
        <f t="shared" si="1"/>
        <v>1527676</v>
      </c>
    </row>
    <row r="28" spans="1:5" s="506" customFormat="1" x14ac:dyDescent="0.2">
      <c r="A28" s="512">
        <v>4</v>
      </c>
      <c r="B28" s="511" t="s">
        <v>114</v>
      </c>
      <c r="C28" s="513">
        <v>17239057</v>
      </c>
      <c r="D28" s="515">
        <v>21255395</v>
      </c>
      <c r="E28" s="514">
        <f t="shared" si="1"/>
        <v>4016338</v>
      </c>
    </row>
    <row r="29" spans="1:5" s="506" customFormat="1" x14ac:dyDescent="0.2">
      <c r="A29" s="512">
        <v>5</v>
      </c>
      <c r="B29" s="511" t="s">
        <v>712</v>
      </c>
      <c r="C29" s="513">
        <v>6827399</v>
      </c>
      <c r="D29" s="515">
        <v>4338737</v>
      </c>
      <c r="E29" s="514">
        <f t="shared" si="1"/>
        <v>-2488662</v>
      </c>
    </row>
    <row r="30" spans="1:5" s="506" customFormat="1" x14ac:dyDescent="0.2">
      <c r="A30" s="512">
        <v>6</v>
      </c>
      <c r="B30" s="511" t="s">
        <v>418</v>
      </c>
      <c r="C30" s="513">
        <v>412560</v>
      </c>
      <c r="D30" s="515">
        <v>473205</v>
      </c>
      <c r="E30" s="514">
        <f t="shared" si="1"/>
        <v>60645</v>
      </c>
    </row>
    <row r="31" spans="1:5" s="506" customFormat="1" x14ac:dyDescent="0.2">
      <c r="A31" s="512">
        <v>7</v>
      </c>
      <c r="B31" s="511" t="s">
        <v>727</v>
      </c>
      <c r="C31" s="514">
        <v>3276135</v>
      </c>
      <c r="D31" s="518">
        <v>3290522</v>
      </c>
      <c r="E31" s="514">
        <f t="shared" si="1"/>
        <v>14387</v>
      </c>
    </row>
    <row r="32" spans="1:5" s="506" customFormat="1" x14ac:dyDescent="0.2">
      <c r="A32" s="512"/>
      <c r="B32" s="516" t="s">
        <v>748</v>
      </c>
      <c r="C32" s="517">
        <f>SUM(C26+C27+C30)</f>
        <v>58799325</v>
      </c>
      <c r="D32" s="517">
        <f>SUM(D26+D27+D30)</f>
        <v>61772622</v>
      </c>
      <c r="E32" s="517">
        <f t="shared" si="1"/>
        <v>2973297</v>
      </c>
    </row>
    <row r="33" spans="1:5" s="506" customFormat="1" x14ac:dyDescent="0.2">
      <c r="A33" s="512"/>
      <c r="B33" s="516" t="s">
        <v>692</v>
      </c>
      <c r="C33" s="517">
        <f>SUM(C25+C32)</f>
        <v>117737661</v>
      </c>
      <c r="D33" s="517">
        <f>SUM(D25+D32)</f>
        <v>120470784</v>
      </c>
      <c r="E33" s="517">
        <f t="shared" si="1"/>
        <v>2733123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617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749</v>
      </c>
      <c r="C36" s="514">
        <f t="shared" ref="C36:D42" si="2">C14+C25</f>
        <v>77745972</v>
      </c>
      <c r="D36" s="514">
        <f t="shared" si="2"/>
        <v>76539290</v>
      </c>
      <c r="E36" s="514">
        <f t="shared" ref="E36:E44" si="3">D36-C36</f>
        <v>-1206682</v>
      </c>
    </row>
    <row r="37" spans="1:5" s="506" customFormat="1" x14ac:dyDescent="0.2">
      <c r="A37" s="512">
        <v>2</v>
      </c>
      <c r="B37" s="511" t="s">
        <v>750</v>
      </c>
      <c r="C37" s="514">
        <f t="shared" si="2"/>
        <v>75979844</v>
      </c>
      <c r="D37" s="514">
        <f t="shared" si="2"/>
        <v>79106934</v>
      </c>
      <c r="E37" s="514">
        <f t="shared" si="3"/>
        <v>3127090</v>
      </c>
    </row>
    <row r="38" spans="1:5" s="506" customFormat="1" x14ac:dyDescent="0.2">
      <c r="A38" s="512">
        <v>3</v>
      </c>
      <c r="B38" s="511" t="s">
        <v>751</v>
      </c>
      <c r="C38" s="514">
        <f t="shared" si="2"/>
        <v>35869106</v>
      </c>
      <c r="D38" s="514">
        <f t="shared" si="2"/>
        <v>37699875</v>
      </c>
      <c r="E38" s="514">
        <f t="shared" si="3"/>
        <v>1830769</v>
      </c>
    </row>
    <row r="39" spans="1:5" s="506" customFormat="1" x14ac:dyDescent="0.2">
      <c r="A39" s="512">
        <v>4</v>
      </c>
      <c r="B39" s="511" t="s">
        <v>752</v>
      </c>
      <c r="C39" s="514">
        <f t="shared" si="2"/>
        <v>26036303</v>
      </c>
      <c r="D39" s="514">
        <f t="shared" si="2"/>
        <v>31291584</v>
      </c>
      <c r="E39" s="514">
        <f t="shared" si="3"/>
        <v>5255281</v>
      </c>
    </row>
    <row r="40" spans="1:5" s="506" customFormat="1" x14ac:dyDescent="0.2">
      <c r="A40" s="512">
        <v>5</v>
      </c>
      <c r="B40" s="511" t="s">
        <v>753</v>
      </c>
      <c r="C40" s="514">
        <f t="shared" si="2"/>
        <v>9832803</v>
      </c>
      <c r="D40" s="514">
        <f t="shared" si="2"/>
        <v>6408291</v>
      </c>
      <c r="E40" s="514">
        <f t="shared" si="3"/>
        <v>-3424512</v>
      </c>
    </row>
    <row r="41" spans="1:5" s="506" customFormat="1" x14ac:dyDescent="0.2">
      <c r="A41" s="512">
        <v>6</v>
      </c>
      <c r="B41" s="511" t="s">
        <v>754</v>
      </c>
      <c r="C41" s="514">
        <f t="shared" si="2"/>
        <v>588951</v>
      </c>
      <c r="D41" s="514">
        <f t="shared" si="2"/>
        <v>609465</v>
      </c>
      <c r="E41" s="514">
        <f t="shared" si="3"/>
        <v>20514</v>
      </c>
    </row>
    <row r="42" spans="1:5" s="506" customFormat="1" x14ac:dyDescent="0.2">
      <c r="A42" s="512">
        <v>7</v>
      </c>
      <c r="B42" s="511" t="s">
        <v>755</v>
      </c>
      <c r="C42" s="514">
        <f t="shared" si="2"/>
        <v>4197446</v>
      </c>
      <c r="D42" s="514">
        <f t="shared" si="2"/>
        <v>4858520</v>
      </c>
      <c r="E42" s="514">
        <f t="shared" si="3"/>
        <v>661074</v>
      </c>
    </row>
    <row r="43" spans="1:5" s="506" customFormat="1" x14ac:dyDescent="0.2">
      <c r="A43" s="512"/>
      <c r="B43" s="516" t="s">
        <v>756</v>
      </c>
      <c r="C43" s="517">
        <f>SUM(C37+C38+C41)</f>
        <v>112437901</v>
      </c>
      <c r="D43" s="517">
        <f>SUM(D37+D38+D41)</f>
        <v>117416274</v>
      </c>
      <c r="E43" s="517">
        <f t="shared" si="3"/>
        <v>4978373</v>
      </c>
    </row>
    <row r="44" spans="1:5" s="506" customFormat="1" x14ac:dyDescent="0.2">
      <c r="A44" s="512"/>
      <c r="B44" s="516" t="s">
        <v>694</v>
      </c>
      <c r="C44" s="517">
        <f>SUM(C36+C43)</f>
        <v>190183873</v>
      </c>
      <c r="D44" s="517">
        <f>SUM(D36+D43)</f>
        <v>193955564</v>
      </c>
      <c r="E44" s="517">
        <f t="shared" si="3"/>
        <v>3771691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757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620</v>
      </c>
      <c r="C47" s="513">
        <v>10072435</v>
      </c>
      <c r="D47" s="513">
        <v>8997337</v>
      </c>
      <c r="E47" s="514">
        <f t="shared" ref="E47:E55" si="4">D47-C47</f>
        <v>-1075098</v>
      </c>
    </row>
    <row r="48" spans="1:5" s="506" customFormat="1" x14ac:dyDescent="0.2">
      <c r="A48" s="512">
        <v>2</v>
      </c>
      <c r="B48" s="511" t="s">
        <v>599</v>
      </c>
      <c r="C48" s="513">
        <v>24697646</v>
      </c>
      <c r="D48" s="515">
        <v>26608521</v>
      </c>
      <c r="E48" s="514">
        <f t="shared" si="4"/>
        <v>1910875</v>
      </c>
    </row>
    <row r="49" spans="1:5" s="506" customFormat="1" x14ac:dyDescent="0.2">
      <c r="A49" s="512">
        <v>3</v>
      </c>
      <c r="B49" s="511" t="s">
        <v>745</v>
      </c>
      <c r="C49" s="513">
        <v>5214171</v>
      </c>
      <c r="D49" s="515">
        <v>5689976</v>
      </c>
      <c r="E49" s="514">
        <f t="shared" si="4"/>
        <v>475805</v>
      </c>
    </row>
    <row r="50" spans="1:5" s="506" customFormat="1" x14ac:dyDescent="0.2">
      <c r="A50" s="512">
        <v>4</v>
      </c>
      <c r="B50" s="511" t="s">
        <v>114</v>
      </c>
      <c r="C50" s="513">
        <v>4524924</v>
      </c>
      <c r="D50" s="515">
        <v>5043975</v>
      </c>
      <c r="E50" s="514">
        <f t="shared" si="4"/>
        <v>519051</v>
      </c>
    </row>
    <row r="51" spans="1:5" s="506" customFormat="1" x14ac:dyDescent="0.2">
      <c r="A51" s="512">
        <v>5</v>
      </c>
      <c r="B51" s="511" t="s">
        <v>712</v>
      </c>
      <c r="C51" s="513">
        <v>689247</v>
      </c>
      <c r="D51" s="515">
        <v>646001</v>
      </c>
      <c r="E51" s="514">
        <f t="shared" si="4"/>
        <v>-43246</v>
      </c>
    </row>
    <row r="52" spans="1:5" s="506" customFormat="1" x14ac:dyDescent="0.2">
      <c r="A52" s="512">
        <v>6</v>
      </c>
      <c r="B52" s="511" t="s">
        <v>418</v>
      </c>
      <c r="C52" s="513">
        <v>62014</v>
      </c>
      <c r="D52" s="515">
        <v>57058</v>
      </c>
      <c r="E52" s="514">
        <f t="shared" si="4"/>
        <v>-4956</v>
      </c>
    </row>
    <row r="53" spans="1:5" s="506" customFormat="1" x14ac:dyDescent="0.2">
      <c r="A53" s="512">
        <v>7</v>
      </c>
      <c r="B53" s="511" t="s">
        <v>727</v>
      </c>
      <c r="C53" s="513">
        <v>74458</v>
      </c>
      <c r="D53" s="515">
        <v>147158</v>
      </c>
      <c r="E53" s="514">
        <f t="shared" si="4"/>
        <v>72700</v>
      </c>
    </row>
    <row r="54" spans="1:5" s="506" customFormat="1" x14ac:dyDescent="0.2">
      <c r="A54" s="512"/>
      <c r="B54" s="516" t="s">
        <v>758</v>
      </c>
      <c r="C54" s="517">
        <f>SUM(C48+C49+C52)</f>
        <v>29973831</v>
      </c>
      <c r="D54" s="517">
        <f>SUM(D48+D49+D52)</f>
        <v>32355555</v>
      </c>
      <c r="E54" s="517">
        <f t="shared" si="4"/>
        <v>2381724</v>
      </c>
    </row>
    <row r="55" spans="1:5" s="506" customFormat="1" x14ac:dyDescent="0.2">
      <c r="A55" s="512"/>
      <c r="B55" s="516" t="s">
        <v>687</v>
      </c>
      <c r="C55" s="517">
        <f>SUM(C47+C54)</f>
        <v>40046266</v>
      </c>
      <c r="D55" s="517">
        <f>SUM(D47+D54)</f>
        <v>41352892</v>
      </c>
      <c r="E55" s="517">
        <f t="shared" si="4"/>
        <v>1306626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759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620</v>
      </c>
      <c r="C58" s="513">
        <v>23900949</v>
      </c>
      <c r="D58" s="513">
        <v>25007601</v>
      </c>
      <c r="E58" s="514">
        <f t="shared" ref="E58:E66" si="5">D58-C58</f>
        <v>1106652</v>
      </c>
    </row>
    <row r="59" spans="1:5" s="506" customFormat="1" x14ac:dyDescent="0.2">
      <c r="A59" s="512">
        <v>2</v>
      </c>
      <c r="B59" s="511" t="s">
        <v>599</v>
      </c>
      <c r="C59" s="513">
        <v>8883904</v>
      </c>
      <c r="D59" s="515">
        <v>9498280</v>
      </c>
      <c r="E59" s="514">
        <f t="shared" si="5"/>
        <v>614376</v>
      </c>
    </row>
    <row r="60" spans="1:5" s="506" customFormat="1" x14ac:dyDescent="0.2">
      <c r="A60" s="512">
        <v>3</v>
      </c>
      <c r="B60" s="511" t="s">
        <v>745</v>
      </c>
      <c r="C60" s="513">
        <f>C61+C62</f>
        <v>5970509</v>
      </c>
      <c r="D60" s="515">
        <f>D61+D62</f>
        <v>6458741</v>
      </c>
      <c r="E60" s="514">
        <f t="shared" si="5"/>
        <v>488232</v>
      </c>
    </row>
    <row r="61" spans="1:5" s="506" customFormat="1" x14ac:dyDescent="0.2">
      <c r="A61" s="512">
        <v>4</v>
      </c>
      <c r="B61" s="511" t="s">
        <v>114</v>
      </c>
      <c r="C61" s="513">
        <v>5025171</v>
      </c>
      <c r="D61" s="515">
        <v>5743696</v>
      </c>
      <c r="E61" s="514">
        <f t="shared" si="5"/>
        <v>718525</v>
      </c>
    </row>
    <row r="62" spans="1:5" s="506" customFormat="1" x14ac:dyDescent="0.2">
      <c r="A62" s="512">
        <v>5</v>
      </c>
      <c r="B62" s="511" t="s">
        <v>712</v>
      </c>
      <c r="C62" s="513">
        <v>945338</v>
      </c>
      <c r="D62" s="515">
        <v>715045</v>
      </c>
      <c r="E62" s="514">
        <f t="shared" si="5"/>
        <v>-230293</v>
      </c>
    </row>
    <row r="63" spans="1:5" s="506" customFormat="1" x14ac:dyDescent="0.2">
      <c r="A63" s="512">
        <v>6</v>
      </c>
      <c r="B63" s="511" t="s">
        <v>418</v>
      </c>
      <c r="C63" s="513">
        <v>167114</v>
      </c>
      <c r="D63" s="515">
        <v>170553</v>
      </c>
      <c r="E63" s="514">
        <f t="shared" si="5"/>
        <v>3439</v>
      </c>
    </row>
    <row r="64" spans="1:5" s="506" customFormat="1" x14ac:dyDescent="0.2">
      <c r="A64" s="512">
        <v>7</v>
      </c>
      <c r="B64" s="511" t="s">
        <v>727</v>
      </c>
      <c r="C64" s="513">
        <v>176601</v>
      </c>
      <c r="D64" s="515">
        <v>155386</v>
      </c>
      <c r="E64" s="514">
        <f t="shared" si="5"/>
        <v>-21215</v>
      </c>
    </row>
    <row r="65" spans="1:5" s="506" customFormat="1" x14ac:dyDescent="0.2">
      <c r="A65" s="512"/>
      <c r="B65" s="516" t="s">
        <v>760</v>
      </c>
      <c r="C65" s="517">
        <f>SUM(C59+C60+C63)</f>
        <v>15021527</v>
      </c>
      <c r="D65" s="517">
        <f>SUM(D59+D60+D63)</f>
        <v>16127574</v>
      </c>
      <c r="E65" s="517">
        <f t="shared" si="5"/>
        <v>1106047</v>
      </c>
    </row>
    <row r="66" spans="1:5" s="506" customFormat="1" x14ac:dyDescent="0.2">
      <c r="A66" s="512"/>
      <c r="B66" s="516" t="s">
        <v>693</v>
      </c>
      <c r="C66" s="517">
        <f>SUM(C58+C65)</f>
        <v>38922476</v>
      </c>
      <c r="D66" s="517">
        <f>SUM(D58+D65)</f>
        <v>41135175</v>
      </c>
      <c r="E66" s="517">
        <f t="shared" si="5"/>
        <v>2212699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618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749</v>
      </c>
      <c r="C69" s="514">
        <f t="shared" ref="C69:D75" si="6">C47+C58</f>
        <v>33973384</v>
      </c>
      <c r="D69" s="514">
        <f t="shared" si="6"/>
        <v>34004938</v>
      </c>
      <c r="E69" s="514">
        <f t="shared" ref="E69:E77" si="7">D69-C69</f>
        <v>31554</v>
      </c>
    </row>
    <row r="70" spans="1:5" s="506" customFormat="1" x14ac:dyDescent="0.2">
      <c r="A70" s="512">
        <v>2</v>
      </c>
      <c r="B70" s="511" t="s">
        <v>750</v>
      </c>
      <c r="C70" s="514">
        <f t="shared" si="6"/>
        <v>33581550</v>
      </c>
      <c r="D70" s="514">
        <f t="shared" si="6"/>
        <v>36106801</v>
      </c>
      <c r="E70" s="514">
        <f t="shared" si="7"/>
        <v>2525251</v>
      </c>
    </row>
    <row r="71" spans="1:5" s="506" customFormat="1" x14ac:dyDescent="0.2">
      <c r="A71" s="512">
        <v>3</v>
      </c>
      <c r="B71" s="511" t="s">
        <v>751</v>
      </c>
      <c r="C71" s="514">
        <f t="shared" si="6"/>
        <v>11184680</v>
      </c>
      <c r="D71" s="514">
        <f t="shared" si="6"/>
        <v>12148717</v>
      </c>
      <c r="E71" s="514">
        <f t="shared" si="7"/>
        <v>964037</v>
      </c>
    </row>
    <row r="72" spans="1:5" s="506" customFormat="1" x14ac:dyDescent="0.2">
      <c r="A72" s="512">
        <v>4</v>
      </c>
      <c r="B72" s="511" t="s">
        <v>752</v>
      </c>
      <c r="C72" s="514">
        <f t="shared" si="6"/>
        <v>9550095</v>
      </c>
      <c r="D72" s="514">
        <f t="shared" si="6"/>
        <v>10787671</v>
      </c>
      <c r="E72" s="514">
        <f t="shared" si="7"/>
        <v>1237576</v>
      </c>
    </row>
    <row r="73" spans="1:5" s="506" customFormat="1" x14ac:dyDescent="0.2">
      <c r="A73" s="512">
        <v>5</v>
      </c>
      <c r="B73" s="511" t="s">
        <v>753</v>
      </c>
      <c r="C73" s="514">
        <f t="shared" si="6"/>
        <v>1634585</v>
      </c>
      <c r="D73" s="514">
        <f t="shared" si="6"/>
        <v>1361046</v>
      </c>
      <c r="E73" s="514">
        <f t="shared" si="7"/>
        <v>-273539</v>
      </c>
    </row>
    <row r="74" spans="1:5" s="506" customFormat="1" x14ac:dyDescent="0.2">
      <c r="A74" s="512">
        <v>6</v>
      </c>
      <c r="B74" s="511" t="s">
        <v>754</v>
      </c>
      <c r="C74" s="514">
        <f t="shared" si="6"/>
        <v>229128</v>
      </c>
      <c r="D74" s="514">
        <f t="shared" si="6"/>
        <v>227611</v>
      </c>
      <c r="E74" s="514">
        <f t="shared" si="7"/>
        <v>-1517</v>
      </c>
    </row>
    <row r="75" spans="1:5" s="506" customFormat="1" x14ac:dyDescent="0.2">
      <c r="A75" s="512">
        <v>7</v>
      </c>
      <c r="B75" s="511" t="s">
        <v>755</v>
      </c>
      <c r="C75" s="514">
        <f t="shared" si="6"/>
        <v>251059</v>
      </c>
      <c r="D75" s="514">
        <f t="shared" si="6"/>
        <v>302544</v>
      </c>
      <c r="E75" s="514">
        <f t="shared" si="7"/>
        <v>51485</v>
      </c>
    </row>
    <row r="76" spans="1:5" s="506" customFormat="1" x14ac:dyDescent="0.2">
      <c r="A76" s="512"/>
      <c r="B76" s="516" t="s">
        <v>761</v>
      </c>
      <c r="C76" s="517">
        <f>SUM(C70+C71+C74)</f>
        <v>44995358</v>
      </c>
      <c r="D76" s="517">
        <f>SUM(D70+D71+D74)</f>
        <v>48483129</v>
      </c>
      <c r="E76" s="517">
        <f t="shared" si="7"/>
        <v>3487771</v>
      </c>
    </row>
    <row r="77" spans="1:5" s="506" customFormat="1" x14ac:dyDescent="0.2">
      <c r="A77" s="512"/>
      <c r="B77" s="516" t="s">
        <v>695</v>
      </c>
      <c r="C77" s="517">
        <f>SUM(C69+C76)</f>
        <v>78968742</v>
      </c>
      <c r="D77" s="517">
        <f>SUM(D69+D76)</f>
        <v>82488067</v>
      </c>
      <c r="E77" s="517">
        <f t="shared" si="7"/>
        <v>3519325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762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763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620</v>
      </c>
      <c r="C83" s="523">
        <f t="shared" ref="C83:D89" si="8">IF(C$44=0,0,C14/C$44)</f>
        <v>9.8891855041778443E-2</v>
      </c>
      <c r="D83" s="523">
        <f t="shared" si="8"/>
        <v>9.1985646774227117E-2</v>
      </c>
      <c r="E83" s="523">
        <f t="shared" ref="E83:E91" si="9">D83-C83</f>
        <v>-6.9062082675513253E-3</v>
      </c>
    </row>
    <row r="84" spans="1:5" s="506" customFormat="1" x14ac:dyDescent="0.2">
      <c r="A84" s="512">
        <v>2</v>
      </c>
      <c r="B84" s="511" t="s">
        <v>599</v>
      </c>
      <c r="C84" s="523">
        <f t="shared" si="8"/>
        <v>0.21904872554572491</v>
      </c>
      <c r="D84" s="523">
        <f t="shared" si="8"/>
        <v>0.22377109532160674</v>
      </c>
      <c r="E84" s="523">
        <f t="shared" si="9"/>
        <v>4.722369775881835E-3</v>
      </c>
    </row>
    <row r="85" spans="1:5" s="506" customFormat="1" x14ac:dyDescent="0.2">
      <c r="A85" s="512">
        <v>3</v>
      </c>
      <c r="B85" s="511" t="s">
        <v>745</v>
      </c>
      <c r="C85" s="523">
        <f t="shared" si="8"/>
        <v>6.2059152618056106E-2</v>
      </c>
      <c r="D85" s="523">
        <f t="shared" si="8"/>
        <v>6.2415033373314312E-2</v>
      </c>
      <c r="E85" s="523">
        <f t="shared" si="9"/>
        <v>3.5588075525820606E-4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4.6256529858343984E-2</v>
      </c>
      <c r="D86" s="523">
        <f t="shared" si="8"/>
        <v>5.1744785212761414E-2</v>
      </c>
      <c r="E86" s="523">
        <f t="shared" si="9"/>
        <v>5.4882553544174303E-3</v>
      </c>
    </row>
    <row r="87" spans="1:5" s="506" customFormat="1" x14ac:dyDescent="0.2">
      <c r="A87" s="512">
        <v>5</v>
      </c>
      <c r="B87" s="511" t="s">
        <v>712</v>
      </c>
      <c r="C87" s="523">
        <f t="shared" si="8"/>
        <v>1.5802622759712122E-2</v>
      </c>
      <c r="D87" s="523">
        <f t="shared" si="8"/>
        <v>1.0670248160552899E-2</v>
      </c>
      <c r="E87" s="523">
        <f t="shared" si="9"/>
        <v>-5.1323745991592225E-3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9.274761167578073E-4</v>
      </c>
      <c r="D88" s="523">
        <f t="shared" si="8"/>
        <v>7.0253205007307759E-4</v>
      </c>
      <c r="E88" s="523">
        <f t="shared" si="9"/>
        <v>-2.2494406668472971E-4</v>
      </c>
    </row>
    <row r="89" spans="1:5" s="506" customFormat="1" x14ac:dyDescent="0.2">
      <c r="A89" s="512">
        <v>7</v>
      </c>
      <c r="B89" s="511" t="s">
        <v>727</v>
      </c>
      <c r="C89" s="523">
        <f t="shared" si="8"/>
        <v>4.8443171624757055E-3</v>
      </c>
      <c r="D89" s="523">
        <f t="shared" si="8"/>
        <v>8.0843156425252135E-3</v>
      </c>
      <c r="E89" s="523">
        <f t="shared" si="9"/>
        <v>3.239998480049508E-3</v>
      </c>
    </row>
    <row r="90" spans="1:5" s="506" customFormat="1" x14ac:dyDescent="0.2">
      <c r="A90" s="512"/>
      <c r="B90" s="516" t="s">
        <v>764</v>
      </c>
      <c r="C90" s="524">
        <f>SUM(C84+C85+C88)</f>
        <v>0.28203535428053883</v>
      </c>
      <c r="D90" s="524">
        <f>SUM(D84+D85+D88)</f>
        <v>0.28688866074499414</v>
      </c>
      <c r="E90" s="525">
        <f t="shared" si="9"/>
        <v>4.8533064644553092E-3</v>
      </c>
    </row>
    <row r="91" spans="1:5" s="506" customFormat="1" x14ac:dyDescent="0.2">
      <c r="A91" s="512"/>
      <c r="B91" s="516" t="s">
        <v>765</v>
      </c>
      <c r="C91" s="524">
        <f>SUM(C83+C90)</f>
        <v>0.38092720932231727</v>
      </c>
      <c r="D91" s="524">
        <f>SUM(D83+D90)</f>
        <v>0.37887430751922124</v>
      </c>
      <c r="E91" s="525">
        <f t="shared" si="9"/>
        <v>-2.05290180309603E-3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766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620</v>
      </c>
      <c r="C95" s="523">
        <f t="shared" ref="C95:D101" si="10">IF(C$44=0,0,C25/C$44)</f>
        <v>0.30990186008042858</v>
      </c>
      <c r="D95" s="523">
        <f t="shared" si="10"/>
        <v>0.30263716487143416</v>
      </c>
      <c r="E95" s="523">
        <f t="shared" ref="E95:E103" si="11">D95-C95</f>
        <v>-7.2646952089944206E-3</v>
      </c>
    </row>
    <row r="96" spans="1:5" s="506" customFormat="1" x14ac:dyDescent="0.2">
      <c r="A96" s="512">
        <v>2</v>
      </c>
      <c r="B96" s="511" t="s">
        <v>599</v>
      </c>
      <c r="C96" s="523">
        <f t="shared" si="10"/>
        <v>0.18045856601100976</v>
      </c>
      <c r="D96" s="523">
        <f t="shared" si="10"/>
        <v>0.18409002693008591</v>
      </c>
      <c r="E96" s="523">
        <f t="shared" si="11"/>
        <v>3.6314609190761515E-3</v>
      </c>
    </row>
    <row r="97" spans="1:5" s="506" customFormat="1" x14ac:dyDescent="0.2">
      <c r="A97" s="512">
        <v>3</v>
      </c>
      <c r="B97" s="511" t="s">
        <v>745</v>
      </c>
      <c r="C97" s="523">
        <f t="shared" si="10"/>
        <v>0.12654309548107689</v>
      </c>
      <c r="D97" s="523">
        <f t="shared" si="10"/>
        <v>0.1319587408175617</v>
      </c>
      <c r="E97" s="523">
        <f t="shared" si="11"/>
        <v>5.4156453364848089E-3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9.0644157825095925E-2</v>
      </c>
      <c r="D98" s="523">
        <f t="shared" si="10"/>
        <v>0.10958899328095584</v>
      </c>
      <c r="E98" s="523">
        <f t="shared" si="11"/>
        <v>1.8944835455859912E-2</v>
      </c>
    </row>
    <row r="99" spans="1:5" s="506" customFormat="1" x14ac:dyDescent="0.2">
      <c r="A99" s="512">
        <v>5</v>
      </c>
      <c r="B99" s="511" t="s">
        <v>712</v>
      </c>
      <c r="C99" s="523">
        <f t="shared" si="10"/>
        <v>3.5898937655980956E-2</v>
      </c>
      <c r="D99" s="523">
        <f t="shared" si="10"/>
        <v>2.2369747536605859E-2</v>
      </c>
      <c r="E99" s="523">
        <f t="shared" si="11"/>
        <v>-1.3529190119375097E-2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2.1692691051675029E-3</v>
      </c>
      <c r="D100" s="523">
        <f t="shared" si="10"/>
        <v>2.4397598616969812E-3</v>
      </c>
      <c r="E100" s="523">
        <f t="shared" si="11"/>
        <v>2.7049075652947835E-4</v>
      </c>
    </row>
    <row r="101" spans="1:5" s="506" customFormat="1" x14ac:dyDescent="0.2">
      <c r="A101" s="512">
        <v>7</v>
      </c>
      <c r="B101" s="511" t="s">
        <v>727</v>
      </c>
      <c r="C101" s="523">
        <f t="shared" si="10"/>
        <v>1.7226145142180377E-2</v>
      </c>
      <c r="D101" s="523">
        <f t="shared" si="10"/>
        <v>1.6965339545505383E-2</v>
      </c>
      <c r="E101" s="523">
        <f t="shared" si="11"/>
        <v>-2.6080559667499351E-4</v>
      </c>
    </row>
    <row r="102" spans="1:5" s="506" customFormat="1" x14ac:dyDescent="0.2">
      <c r="A102" s="512"/>
      <c r="B102" s="516" t="s">
        <v>767</v>
      </c>
      <c r="C102" s="524">
        <f>SUM(C96+C97+C100)</f>
        <v>0.30917093059725415</v>
      </c>
      <c r="D102" s="524">
        <f>SUM(D96+D97+D100)</f>
        <v>0.3184885276093446</v>
      </c>
      <c r="E102" s="525">
        <f t="shared" si="11"/>
        <v>9.3175970120904505E-3</v>
      </c>
    </row>
    <row r="103" spans="1:5" s="506" customFormat="1" x14ac:dyDescent="0.2">
      <c r="A103" s="512"/>
      <c r="B103" s="516" t="s">
        <v>768</v>
      </c>
      <c r="C103" s="524">
        <f>SUM(C95+C102)</f>
        <v>0.61907279067768273</v>
      </c>
      <c r="D103" s="524">
        <f>SUM(D95+D102)</f>
        <v>0.62112569248077876</v>
      </c>
      <c r="E103" s="525">
        <f t="shared" si="11"/>
        <v>2.05290180309603E-3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769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770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620</v>
      </c>
      <c r="C109" s="523">
        <f t="shared" ref="C109:D115" si="12">IF(C$77=0,0,C47/C$77)</f>
        <v>0.12754964489620463</v>
      </c>
      <c r="D109" s="523">
        <f t="shared" si="12"/>
        <v>0.10907440708969456</v>
      </c>
      <c r="E109" s="523">
        <f t="shared" ref="E109:E117" si="13">D109-C109</f>
        <v>-1.8475237806510073E-2</v>
      </c>
    </row>
    <row r="110" spans="1:5" s="506" customFormat="1" x14ac:dyDescent="0.2">
      <c r="A110" s="512">
        <v>2</v>
      </c>
      <c r="B110" s="511" t="s">
        <v>599</v>
      </c>
      <c r="C110" s="523">
        <f t="shared" si="12"/>
        <v>0.31275217731086563</v>
      </c>
      <c r="D110" s="523">
        <f t="shared" si="12"/>
        <v>0.32257418518487041</v>
      </c>
      <c r="E110" s="523">
        <f t="shared" si="13"/>
        <v>9.8220078740047789E-3</v>
      </c>
    </row>
    <row r="111" spans="1:5" s="506" customFormat="1" x14ac:dyDescent="0.2">
      <c r="A111" s="512">
        <v>3</v>
      </c>
      <c r="B111" s="511" t="s">
        <v>745</v>
      </c>
      <c r="C111" s="523">
        <f t="shared" si="12"/>
        <v>6.6028290028983874E-2</v>
      </c>
      <c r="D111" s="523">
        <f t="shared" si="12"/>
        <v>6.8979383405844627E-2</v>
      </c>
      <c r="E111" s="523">
        <f t="shared" si="13"/>
        <v>2.9510933768607528E-3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5.7300191004688916E-2</v>
      </c>
      <c r="D112" s="523">
        <f t="shared" si="12"/>
        <v>6.1147935494718288E-2</v>
      </c>
      <c r="E112" s="523">
        <f t="shared" si="13"/>
        <v>3.8477444900293714E-3</v>
      </c>
    </row>
    <row r="113" spans="1:5" s="506" customFormat="1" x14ac:dyDescent="0.2">
      <c r="A113" s="512">
        <v>5</v>
      </c>
      <c r="B113" s="511" t="s">
        <v>712</v>
      </c>
      <c r="C113" s="523">
        <f t="shared" si="12"/>
        <v>8.7280990242949545E-3</v>
      </c>
      <c r="D113" s="523">
        <f t="shared" si="12"/>
        <v>7.8314479111263446E-3</v>
      </c>
      <c r="E113" s="523">
        <f t="shared" si="13"/>
        <v>-8.9665111316860995E-4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7.8529806135192075E-4</v>
      </c>
      <c r="D114" s="523">
        <f t="shared" si="12"/>
        <v>6.9171217213757723E-4</v>
      </c>
      <c r="E114" s="523">
        <f t="shared" si="13"/>
        <v>-9.3585889214343521E-5</v>
      </c>
    </row>
    <row r="115" spans="1:5" s="506" customFormat="1" x14ac:dyDescent="0.2">
      <c r="A115" s="512">
        <v>7</v>
      </c>
      <c r="B115" s="511" t="s">
        <v>727</v>
      </c>
      <c r="C115" s="523">
        <f t="shared" si="12"/>
        <v>9.4287939904120544E-4</v>
      </c>
      <c r="D115" s="523">
        <f t="shared" si="12"/>
        <v>1.7839913741705209E-3</v>
      </c>
      <c r="E115" s="523">
        <f t="shared" si="13"/>
        <v>8.4111197512931547E-4</v>
      </c>
    </row>
    <row r="116" spans="1:5" s="506" customFormat="1" x14ac:dyDescent="0.2">
      <c r="A116" s="512"/>
      <c r="B116" s="516" t="s">
        <v>764</v>
      </c>
      <c r="C116" s="524">
        <f>SUM(C110+C111+C114)</f>
        <v>0.3795657654012014</v>
      </c>
      <c r="D116" s="524">
        <f>SUM(D110+D111+D114)</f>
        <v>0.39224528076285264</v>
      </c>
      <c r="E116" s="525">
        <f t="shared" si="13"/>
        <v>1.2679515361651239E-2</v>
      </c>
    </row>
    <row r="117" spans="1:5" s="506" customFormat="1" x14ac:dyDescent="0.2">
      <c r="A117" s="512"/>
      <c r="B117" s="516" t="s">
        <v>765</v>
      </c>
      <c r="C117" s="524">
        <f>SUM(C109+C116)</f>
        <v>0.50711541029740603</v>
      </c>
      <c r="D117" s="524">
        <f>SUM(D109+D116)</f>
        <v>0.50131968785254721</v>
      </c>
      <c r="E117" s="525">
        <f t="shared" si="13"/>
        <v>-5.7957224448588196E-3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771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620</v>
      </c>
      <c r="C121" s="523">
        <f t="shared" ref="C121:D127" si="14">IF(C$77=0,0,C58/C$77)</f>
        <v>0.30266341332878266</v>
      </c>
      <c r="D121" s="523">
        <f t="shared" si="14"/>
        <v>0.30316628707034682</v>
      </c>
      <c r="E121" s="523">
        <f t="shared" ref="E121:E129" si="15">D121-C121</f>
        <v>5.0287374156415821E-4</v>
      </c>
    </row>
    <row r="122" spans="1:5" s="506" customFormat="1" x14ac:dyDescent="0.2">
      <c r="A122" s="512">
        <v>2</v>
      </c>
      <c r="B122" s="511" t="s">
        <v>599</v>
      </c>
      <c r="C122" s="523">
        <f t="shared" si="14"/>
        <v>0.11249899358913429</v>
      </c>
      <c r="D122" s="523">
        <f t="shared" si="14"/>
        <v>0.11514732185444472</v>
      </c>
      <c r="E122" s="523">
        <f t="shared" si="15"/>
        <v>2.6483282653104318E-3</v>
      </c>
    </row>
    <row r="123" spans="1:5" s="506" customFormat="1" x14ac:dyDescent="0.2">
      <c r="A123" s="512">
        <v>3</v>
      </c>
      <c r="B123" s="511" t="s">
        <v>745</v>
      </c>
      <c r="C123" s="523">
        <f t="shared" si="14"/>
        <v>7.5605978375595753E-2</v>
      </c>
      <c r="D123" s="523">
        <f t="shared" si="14"/>
        <v>7.8299095067896299E-2</v>
      </c>
      <c r="E123" s="523">
        <f t="shared" si="15"/>
        <v>2.6931166923005456E-3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6.3634937985969184E-2</v>
      </c>
      <c r="D124" s="523">
        <f t="shared" si="14"/>
        <v>6.9630629118754839E-2</v>
      </c>
      <c r="E124" s="523">
        <f t="shared" si="15"/>
        <v>5.9956911327856549E-3</v>
      </c>
    </row>
    <row r="125" spans="1:5" s="506" customFormat="1" x14ac:dyDescent="0.2">
      <c r="A125" s="512">
        <v>5</v>
      </c>
      <c r="B125" s="511" t="s">
        <v>712</v>
      </c>
      <c r="C125" s="523">
        <f t="shared" si="14"/>
        <v>1.1971040389626569E-2</v>
      </c>
      <c r="D125" s="523">
        <f t="shared" si="14"/>
        <v>8.6684659491414687E-3</v>
      </c>
      <c r="E125" s="523">
        <f t="shared" si="15"/>
        <v>-3.3025744404851006E-3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2.1162044090812541E-3</v>
      </c>
      <c r="D126" s="523">
        <f t="shared" si="14"/>
        <v>2.0676081547649793E-3</v>
      </c>
      <c r="E126" s="523">
        <f t="shared" si="15"/>
        <v>-4.8596254316274779E-5</v>
      </c>
    </row>
    <row r="127" spans="1:5" s="506" customFormat="1" x14ac:dyDescent="0.2">
      <c r="A127" s="512">
        <v>7</v>
      </c>
      <c r="B127" s="511" t="s">
        <v>727</v>
      </c>
      <c r="C127" s="523">
        <f t="shared" si="14"/>
        <v>2.236340551049933E-3</v>
      </c>
      <c r="D127" s="523">
        <f t="shared" si="14"/>
        <v>1.8837391352618312E-3</v>
      </c>
      <c r="E127" s="523">
        <f t="shared" si="15"/>
        <v>-3.5260141578810178E-4</v>
      </c>
    </row>
    <row r="128" spans="1:5" s="506" customFormat="1" x14ac:dyDescent="0.2">
      <c r="A128" s="512"/>
      <c r="B128" s="516" t="s">
        <v>767</v>
      </c>
      <c r="C128" s="524">
        <f>SUM(C122+C123+C126)</f>
        <v>0.19022117637381128</v>
      </c>
      <c r="D128" s="524">
        <f>SUM(D122+D123+D126)</f>
        <v>0.195514025077106</v>
      </c>
      <c r="E128" s="525">
        <f t="shared" si="15"/>
        <v>5.2928487032947169E-3</v>
      </c>
    </row>
    <row r="129" spans="1:5" s="506" customFormat="1" x14ac:dyDescent="0.2">
      <c r="A129" s="512"/>
      <c r="B129" s="516" t="s">
        <v>768</v>
      </c>
      <c r="C129" s="524">
        <f>SUM(C121+C128)</f>
        <v>0.49288458970259397</v>
      </c>
      <c r="D129" s="524">
        <f>SUM(D121+D128)</f>
        <v>0.49868031214745279</v>
      </c>
      <c r="E129" s="525">
        <f t="shared" si="15"/>
        <v>5.7957224448588196E-3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772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773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774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620</v>
      </c>
      <c r="C137" s="530">
        <v>1601</v>
      </c>
      <c r="D137" s="530">
        <v>1381</v>
      </c>
      <c r="E137" s="531">
        <f t="shared" ref="E137:E145" si="16">D137-C137</f>
        <v>-220</v>
      </c>
    </row>
    <row r="138" spans="1:5" s="506" customFormat="1" x14ac:dyDescent="0.2">
      <c r="A138" s="512">
        <v>2</v>
      </c>
      <c r="B138" s="511" t="s">
        <v>599</v>
      </c>
      <c r="C138" s="530">
        <v>2534</v>
      </c>
      <c r="D138" s="530">
        <v>2517</v>
      </c>
      <c r="E138" s="531">
        <f t="shared" si="16"/>
        <v>-17</v>
      </c>
    </row>
    <row r="139" spans="1:5" s="506" customFormat="1" x14ac:dyDescent="0.2">
      <c r="A139" s="512">
        <v>3</v>
      </c>
      <c r="B139" s="511" t="s">
        <v>745</v>
      </c>
      <c r="C139" s="530">
        <f>C140+C141</f>
        <v>1195</v>
      </c>
      <c r="D139" s="530">
        <f>D140+D141</f>
        <v>1188</v>
      </c>
      <c r="E139" s="531">
        <f t="shared" si="16"/>
        <v>-7</v>
      </c>
    </row>
    <row r="140" spans="1:5" s="506" customFormat="1" x14ac:dyDescent="0.2">
      <c r="A140" s="512">
        <v>4</v>
      </c>
      <c r="B140" s="511" t="s">
        <v>114</v>
      </c>
      <c r="C140" s="530">
        <v>961</v>
      </c>
      <c r="D140" s="530">
        <v>1061</v>
      </c>
      <c r="E140" s="531">
        <f t="shared" si="16"/>
        <v>100</v>
      </c>
    </row>
    <row r="141" spans="1:5" s="506" customFormat="1" x14ac:dyDescent="0.2">
      <c r="A141" s="512">
        <v>5</v>
      </c>
      <c r="B141" s="511" t="s">
        <v>712</v>
      </c>
      <c r="C141" s="530">
        <v>234</v>
      </c>
      <c r="D141" s="530">
        <v>127</v>
      </c>
      <c r="E141" s="531">
        <f t="shared" si="16"/>
        <v>-107</v>
      </c>
    </row>
    <row r="142" spans="1:5" s="506" customFormat="1" x14ac:dyDescent="0.2">
      <c r="A142" s="512">
        <v>6</v>
      </c>
      <c r="B142" s="511" t="s">
        <v>418</v>
      </c>
      <c r="C142" s="530">
        <v>13</v>
      </c>
      <c r="D142" s="530">
        <v>14</v>
      </c>
      <c r="E142" s="531">
        <f t="shared" si="16"/>
        <v>1</v>
      </c>
    </row>
    <row r="143" spans="1:5" s="506" customFormat="1" x14ac:dyDescent="0.2">
      <c r="A143" s="512">
        <v>7</v>
      </c>
      <c r="B143" s="511" t="s">
        <v>727</v>
      </c>
      <c r="C143" s="530">
        <v>87</v>
      </c>
      <c r="D143" s="530">
        <v>106</v>
      </c>
      <c r="E143" s="531">
        <f t="shared" si="16"/>
        <v>19</v>
      </c>
    </row>
    <row r="144" spans="1:5" s="506" customFormat="1" x14ac:dyDescent="0.2">
      <c r="A144" s="512"/>
      <c r="B144" s="516" t="s">
        <v>775</v>
      </c>
      <c r="C144" s="532">
        <f>SUM(C138+C139+C142)</f>
        <v>3742</v>
      </c>
      <c r="D144" s="532">
        <f>SUM(D138+D139+D142)</f>
        <v>3719</v>
      </c>
      <c r="E144" s="533">
        <f t="shared" si="16"/>
        <v>-23</v>
      </c>
    </row>
    <row r="145" spans="1:5" s="506" customFormat="1" x14ac:dyDescent="0.2">
      <c r="A145" s="512"/>
      <c r="B145" s="516" t="s">
        <v>689</v>
      </c>
      <c r="C145" s="532">
        <f>SUM(C137+C144)</f>
        <v>5343</v>
      </c>
      <c r="D145" s="532">
        <f>SUM(D137+D144)</f>
        <v>5100</v>
      </c>
      <c r="E145" s="533">
        <f t="shared" si="16"/>
        <v>-243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620</v>
      </c>
      <c r="C149" s="534">
        <v>4844</v>
      </c>
      <c r="D149" s="534">
        <v>4491</v>
      </c>
      <c r="E149" s="531">
        <f t="shared" ref="E149:E157" si="17">D149-C149</f>
        <v>-353</v>
      </c>
    </row>
    <row r="150" spans="1:5" s="506" customFormat="1" x14ac:dyDescent="0.2">
      <c r="A150" s="512">
        <v>2</v>
      </c>
      <c r="B150" s="511" t="s">
        <v>599</v>
      </c>
      <c r="C150" s="534">
        <v>11993</v>
      </c>
      <c r="D150" s="534">
        <v>12340</v>
      </c>
      <c r="E150" s="531">
        <f t="shared" si="17"/>
        <v>347</v>
      </c>
    </row>
    <row r="151" spans="1:5" s="506" customFormat="1" x14ac:dyDescent="0.2">
      <c r="A151" s="512">
        <v>3</v>
      </c>
      <c r="B151" s="511" t="s">
        <v>745</v>
      </c>
      <c r="C151" s="534">
        <f>C152+C153</f>
        <v>3831</v>
      </c>
      <c r="D151" s="534">
        <f>D152+D153</f>
        <v>3981</v>
      </c>
      <c r="E151" s="531">
        <f t="shared" si="17"/>
        <v>150</v>
      </c>
    </row>
    <row r="152" spans="1:5" s="506" customFormat="1" x14ac:dyDescent="0.2">
      <c r="A152" s="512">
        <v>4</v>
      </c>
      <c r="B152" s="511" t="s">
        <v>114</v>
      </c>
      <c r="C152" s="534">
        <v>3054</v>
      </c>
      <c r="D152" s="534">
        <v>3359</v>
      </c>
      <c r="E152" s="531">
        <f t="shared" si="17"/>
        <v>305</v>
      </c>
    </row>
    <row r="153" spans="1:5" s="506" customFormat="1" x14ac:dyDescent="0.2">
      <c r="A153" s="512">
        <v>5</v>
      </c>
      <c r="B153" s="511" t="s">
        <v>712</v>
      </c>
      <c r="C153" s="535">
        <v>777</v>
      </c>
      <c r="D153" s="534">
        <v>622</v>
      </c>
      <c r="E153" s="531">
        <f t="shared" si="17"/>
        <v>-155</v>
      </c>
    </row>
    <row r="154" spans="1:5" s="506" customFormat="1" x14ac:dyDescent="0.2">
      <c r="A154" s="512">
        <v>6</v>
      </c>
      <c r="B154" s="511" t="s">
        <v>418</v>
      </c>
      <c r="C154" s="534">
        <v>28</v>
      </c>
      <c r="D154" s="534">
        <v>38</v>
      </c>
      <c r="E154" s="531">
        <f t="shared" si="17"/>
        <v>10</v>
      </c>
    </row>
    <row r="155" spans="1:5" s="506" customFormat="1" x14ac:dyDescent="0.2">
      <c r="A155" s="512">
        <v>7</v>
      </c>
      <c r="B155" s="511" t="s">
        <v>727</v>
      </c>
      <c r="C155" s="534">
        <v>242</v>
      </c>
      <c r="D155" s="534">
        <v>398</v>
      </c>
      <c r="E155" s="531">
        <f t="shared" si="17"/>
        <v>156</v>
      </c>
    </row>
    <row r="156" spans="1:5" s="506" customFormat="1" x14ac:dyDescent="0.2">
      <c r="A156" s="512"/>
      <c r="B156" s="516" t="s">
        <v>776</v>
      </c>
      <c r="C156" s="532">
        <f>SUM(C150+C151+C154)</f>
        <v>15852</v>
      </c>
      <c r="D156" s="532">
        <f>SUM(D150+D151+D154)</f>
        <v>16359</v>
      </c>
      <c r="E156" s="533">
        <f t="shared" si="17"/>
        <v>507</v>
      </c>
    </row>
    <row r="157" spans="1:5" s="506" customFormat="1" x14ac:dyDescent="0.2">
      <c r="A157" s="512"/>
      <c r="B157" s="516" t="s">
        <v>777</v>
      </c>
      <c r="C157" s="532">
        <f>SUM(C149+C156)</f>
        <v>20696</v>
      </c>
      <c r="D157" s="532">
        <f>SUM(D149+D156)</f>
        <v>20850</v>
      </c>
      <c r="E157" s="533">
        <f t="shared" si="17"/>
        <v>154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778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620</v>
      </c>
      <c r="C161" s="536">
        <f t="shared" ref="C161:D169" si="18">IF(C137=0,0,C149/C137)</f>
        <v>3.0256089943785134</v>
      </c>
      <c r="D161" s="536">
        <f t="shared" si="18"/>
        <v>3.2519913106444607</v>
      </c>
      <c r="E161" s="537">
        <f t="shared" ref="E161:E169" si="19">D161-C161</f>
        <v>0.22638231626594729</v>
      </c>
    </row>
    <row r="162" spans="1:5" s="506" customFormat="1" x14ac:dyDescent="0.2">
      <c r="A162" s="512">
        <v>2</v>
      </c>
      <c r="B162" s="511" t="s">
        <v>599</v>
      </c>
      <c r="C162" s="536">
        <f t="shared" si="18"/>
        <v>4.7328334648776638</v>
      </c>
      <c r="D162" s="536">
        <f t="shared" si="18"/>
        <v>4.9026618990862136</v>
      </c>
      <c r="E162" s="537">
        <f t="shared" si="19"/>
        <v>0.16982843420854987</v>
      </c>
    </row>
    <row r="163" spans="1:5" s="506" customFormat="1" x14ac:dyDescent="0.2">
      <c r="A163" s="512">
        <v>3</v>
      </c>
      <c r="B163" s="511" t="s">
        <v>745</v>
      </c>
      <c r="C163" s="536">
        <f t="shared" si="18"/>
        <v>3.205857740585774</v>
      </c>
      <c r="D163" s="536">
        <f t="shared" si="18"/>
        <v>3.3510101010101012</v>
      </c>
      <c r="E163" s="537">
        <f t="shared" si="19"/>
        <v>0.14515236042432722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3.1779396462018732</v>
      </c>
      <c r="D164" s="536">
        <f t="shared" si="18"/>
        <v>3.1658812441093307</v>
      </c>
      <c r="E164" s="537">
        <f t="shared" si="19"/>
        <v>-1.2058402092542497E-2</v>
      </c>
    </row>
    <row r="165" spans="1:5" s="506" customFormat="1" x14ac:dyDescent="0.2">
      <c r="A165" s="512">
        <v>5</v>
      </c>
      <c r="B165" s="511" t="s">
        <v>712</v>
      </c>
      <c r="C165" s="536">
        <f t="shared" si="18"/>
        <v>3.3205128205128207</v>
      </c>
      <c r="D165" s="536">
        <f t="shared" si="18"/>
        <v>4.8976377952755907</v>
      </c>
      <c r="E165" s="537">
        <f t="shared" si="19"/>
        <v>1.57712497476277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2.1538461538461537</v>
      </c>
      <c r="D166" s="536">
        <f t="shared" si="18"/>
        <v>2.7142857142857144</v>
      </c>
      <c r="E166" s="537">
        <f t="shared" si="19"/>
        <v>0.56043956043956067</v>
      </c>
    </row>
    <row r="167" spans="1:5" s="506" customFormat="1" x14ac:dyDescent="0.2">
      <c r="A167" s="512">
        <v>7</v>
      </c>
      <c r="B167" s="511" t="s">
        <v>727</v>
      </c>
      <c r="C167" s="536">
        <f t="shared" si="18"/>
        <v>2.7816091954022988</v>
      </c>
      <c r="D167" s="536">
        <f t="shared" si="18"/>
        <v>3.7547169811320753</v>
      </c>
      <c r="E167" s="537">
        <f t="shared" si="19"/>
        <v>0.97310778572977652</v>
      </c>
    </row>
    <row r="168" spans="1:5" s="506" customFormat="1" x14ac:dyDescent="0.2">
      <c r="A168" s="512"/>
      <c r="B168" s="516" t="s">
        <v>779</v>
      </c>
      <c r="C168" s="538">
        <f t="shared" si="18"/>
        <v>4.2362373062533401</v>
      </c>
      <c r="D168" s="538">
        <f t="shared" si="18"/>
        <v>4.3987631083624628</v>
      </c>
      <c r="E168" s="539">
        <f t="shared" si="19"/>
        <v>0.16252580210912271</v>
      </c>
    </row>
    <row r="169" spans="1:5" s="506" customFormat="1" x14ac:dyDescent="0.2">
      <c r="A169" s="512"/>
      <c r="B169" s="516" t="s">
        <v>713</v>
      </c>
      <c r="C169" s="538">
        <f t="shared" si="18"/>
        <v>3.8734793187347933</v>
      </c>
      <c r="D169" s="538">
        <f t="shared" si="18"/>
        <v>4.0882352941176467</v>
      </c>
      <c r="E169" s="539">
        <f t="shared" si="19"/>
        <v>0.2147559753828534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780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620</v>
      </c>
      <c r="C173" s="541">
        <f t="shared" ref="C173:D181" si="20">IF(C137=0,0,C203/C137)</f>
        <v>0.94199999999999984</v>
      </c>
      <c r="D173" s="541">
        <f t="shared" si="20"/>
        <v>0.92630000000000001</v>
      </c>
      <c r="E173" s="542">
        <f t="shared" ref="E173:E181" si="21">D173-C173</f>
        <v>-1.5699999999999825E-2</v>
      </c>
    </row>
    <row r="174" spans="1:5" s="506" customFormat="1" x14ac:dyDescent="0.2">
      <c r="A174" s="512">
        <v>2</v>
      </c>
      <c r="B174" s="511" t="s">
        <v>599</v>
      </c>
      <c r="C174" s="541">
        <f t="shared" si="20"/>
        <v>1.1832</v>
      </c>
      <c r="D174" s="541">
        <f t="shared" si="20"/>
        <v>1.1798999999999999</v>
      </c>
      <c r="E174" s="542">
        <f t="shared" si="21"/>
        <v>-3.3000000000000806E-3</v>
      </c>
    </row>
    <row r="175" spans="1:5" s="506" customFormat="1" x14ac:dyDescent="0.2">
      <c r="A175" s="512">
        <v>0</v>
      </c>
      <c r="B175" s="511" t="s">
        <v>745</v>
      </c>
      <c r="C175" s="541">
        <f t="shared" si="20"/>
        <v>0.77951385774058579</v>
      </c>
      <c r="D175" s="541">
        <f t="shared" si="20"/>
        <v>0.86209006734006732</v>
      </c>
      <c r="E175" s="542">
        <f t="shared" si="21"/>
        <v>8.2576209599481531E-2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0.74890000000000001</v>
      </c>
      <c r="D176" s="541">
        <f t="shared" si="20"/>
        <v>0.81640000000000001</v>
      </c>
      <c r="E176" s="542">
        <f t="shared" si="21"/>
        <v>6.7500000000000004E-2</v>
      </c>
    </row>
    <row r="177" spans="1:5" s="506" customFormat="1" x14ac:dyDescent="0.2">
      <c r="A177" s="512">
        <v>5</v>
      </c>
      <c r="B177" s="511" t="s">
        <v>712</v>
      </c>
      <c r="C177" s="541">
        <f t="shared" si="20"/>
        <v>0.90524000000000004</v>
      </c>
      <c r="D177" s="541">
        <f t="shared" si="20"/>
        <v>1.2438</v>
      </c>
      <c r="E177" s="542">
        <f t="shared" si="21"/>
        <v>0.33855999999999997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0.95499999999999996</v>
      </c>
      <c r="D178" s="541">
        <f t="shared" si="20"/>
        <v>0.99129999999999996</v>
      </c>
      <c r="E178" s="542">
        <f t="shared" si="21"/>
        <v>3.6299999999999999E-2</v>
      </c>
    </row>
    <row r="179" spans="1:5" s="506" customFormat="1" x14ac:dyDescent="0.2">
      <c r="A179" s="512">
        <v>7</v>
      </c>
      <c r="B179" s="511" t="s">
        <v>727</v>
      </c>
      <c r="C179" s="541">
        <f t="shared" si="20"/>
        <v>0.83599999999999997</v>
      </c>
      <c r="D179" s="541">
        <f t="shared" si="20"/>
        <v>0.72699999999999998</v>
      </c>
      <c r="E179" s="542">
        <f t="shared" si="21"/>
        <v>-0.10899999999999999</v>
      </c>
    </row>
    <row r="180" spans="1:5" s="506" customFormat="1" x14ac:dyDescent="0.2">
      <c r="A180" s="512"/>
      <c r="B180" s="516" t="s">
        <v>781</v>
      </c>
      <c r="C180" s="543">
        <f t="shared" si="20"/>
        <v>1.0534908765366113</v>
      </c>
      <c r="D180" s="543">
        <f t="shared" si="20"/>
        <v>1.077668593707986</v>
      </c>
      <c r="E180" s="544">
        <f t="shared" si="21"/>
        <v>2.4177717171374624E-2</v>
      </c>
    </row>
    <row r="181" spans="1:5" s="506" customFormat="1" x14ac:dyDescent="0.2">
      <c r="A181" s="512"/>
      <c r="B181" s="516" t="s">
        <v>690</v>
      </c>
      <c r="C181" s="543">
        <f t="shared" si="20"/>
        <v>1.0200832603406327</v>
      </c>
      <c r="D181" s="543">
        <f t="shared" si="20"/>
        <v>1.0366803529411763</v>
      </c>
      <c r="E181" s="544">
        <f t="shared" si="21"/>
        <v>1.659709260054365E-2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782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783</v>
      </c>
      <c r="C185" s="513">
        <v>68498602</v>
      </c>
      <c r="D185" s="513">
        <v>67897196</v>
      </c>
      <c r="E185" s="514">
        <f>D185-C185</f>
        <v>-601406</v>
      </c>
    </row>
    <row r="186" spans="1:5" s="506" customFormat="1" ht="25.5" x14ac:dyDescent="0.2">
      <c r="A186" s="512">
        <v>2</v>
      </c>
      <c r="B186" s="511" t="s">
        <v>784</v>
      </c>
      <c r="C186" s="513">
        <v>32953588</v>
      </c>
      <c r="D186" s="513">
        <v>33702394</v>
      </c>
      <c r="E186" s="514">
        <f>D186-C186</f>
        <v>748806</v>
      </c>
    </row>
    <row r="187" spans="1:5" s="506" customFormat="1" x14ac:dyDescent="0.2">
      <c r="A187" s="512"/>
      <c r="B187" s="511" t="s">
        <v>632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716</v>
      </c>
      <c r="C188" s="546">
        <f>+C185-C186</f>
        <v>35545014</v>
      </c>
      <c r="D188" s="546">
        <f>+D185-D186</f>
        <v>34194802</v>
      </c>
      <c r="E188" s="514">
        <f t="shared" ref="E188:E197" si="22">D188-C188</f>
        <v>-1350212</v>
      </c>
    </row>
    <row r="189" spans="1:5" s="506" customFormat="1" x14ac:dyDescent="0.2">
      <c r="A189" s="512">
        <v>4</v>
      </c>
      <c r="B189" s="511" t="s">
        <v>634</v>
      </c>
      <c r="C189" s="547">
        <f>IF(C185=0,0,+C188/C185)</f>
        <v>0.51891590429830958</v>
      </c>
      <c r="D189" s="547">
        <f>IF(D185=0,0,+D188/D185)</f>
        <v>0.50362612912615712</v>
      </c>
      <c r="E189" s="523">
        <f t="shared" si="22"/>
        <v>-1.5289775172152464E-2</v>
      </c>
    </row>
    <row r="190" spans="1:5" s="506" customFormat="1" x14ac:dyDescent="0.2">
      <c r="A190" s="512">
        <v>5</v>
      </c>
      <c r="B190" s="511" t="s">
        <v>731</v>
      </c>
      <c r="C190" s="513">
        <v>3496497</v>
      </c>
      <c r="D190" s="513">
        <v>3173244</v>
      </c>
      <c r="E190" s="546">
        <f t="shared" si="22"/>
        <v>-323253</v>
      </c>
    </row>
    <row r="191" spans="1:5" s="506" customFormat="1" x14ac:dyDescent="0.2">
      <c r="A191" s="512">
        <v>6</v>
      </c>
      <c r="B191" s="511" t="s">
        <v>717</v>
      </c>
      <c r="C191" s="513">
        <v>1926412</v>
      </c>
      <c r="D191" s="513">
        <v>1676212</v>
      </c>
      <c r="E191" s="546">
        <f t="shared" si="22"/>
        <v>-250200</v>
      </c>
    </row>
    <row r="192" spans="1:5" ht="29.25" x14ac:dyDescent="0.2">
      <c r="A192" s="512">
        <v>7</v>
      </c>
      <c r="B192" s="548" t="s">
        <v>785</v>
      </c>
      <c r="C192" s="513">
        <v>494828</v>
      </c>
      <c r="D192" s="513">
        <v>587594</v>
      </c>
      <c r="E192" s="546">
        <f t="shared" si="22"/>
        <v>92766</v>
      </c>
    </row>
    <row r="193" spans="1:5" s="506" customFormat="1" x14ac:dyDescent="0.2">
      <c r="A193" s="512">
        <v>8</v>
      </c>
      <c r="B193" s="511" t="s">
        <v>786</v>
      </c>
      <c r="C193" s="513">
        <v>2094259</v>
      </c>
      <c r="D193" s="513">
        <v>2446867</v>
      </c>
      <c r="E193" s="546">
        <f t="shared" si="22"/>
        <v>352608</v>
      </c>
    </row>
    <row r="194" spans="1:5" s="506" customFormat="1" x14ac:dyDescent="0.2">
      <c r="A194" s="512">
        <v>9</v>
      </c>
      <c r="B194" s="511" t="s">
        <v>787</v>
      </c>
      <c r="C194" s="513">
        <v>4141249</v>
      </c>
      <c r="D194" s="513">
        <v>3867045</v>
      </c>
      <c r="E194" s="546">
        <f t="shared" si="22"/>
        <v>-274204</v>
      </c>
    </row>
    <row r="195" spans="1:5" s="506" customFormat="1" x14ac:dyDescent="0.2">
      <c r="A195" s="512">
        <v>10</v>
      </c>
      <c r="B195" s="511" t="s">
        <v>788</v>
      </c>
      <c r="C195" s="513">
        <f>+C193+C194</f>
        <v>6235508</v>
      </c>
      <c r="D195" s="513">
        <f>+D193+D194</f>
        <v>6313912</v>
      </c>
      <c r="E195" s="549">
        <f t="shared" si="22"/>
        <v>78404</v>
      </c>
    </row>
    <row r="196" spans="1:5" s="506" customFormat="1" x14ac:dyDescent="0.2">
      <c r="A196" s="512">
        <v>11</v>
      </c>
      <c r="B196" s="511" t="s">
        <v>789</v>
      </c>
      <c r="C196" s="513">
        <v>68498602</v>
      </c>
      <c r="D196" s="513">
        <v>67897196</v>
      </c>
      <c r="E196" s="546">
        <f t="shared" si="22"/>
        <v>-601406</v>
      </c>
    </row>
    <row r="197" spans="1:5" s="506" customFormat="1" x14ac:dyDescent="0.2">
      <c r="A197" s="512">
        <v>12</v>
      </c>
      <c r="B197" s="511" t="s">
        <v>674</v>
      </c>
      <c r="C197" s="513">
        <v>85401157</v>
      </c>
      <c r="D197" s="513">
        <v>91501818</v>
      </c>
      <c r="E197" s="546">
        <f t="shared" si="22"/>
        <v>6100661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790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791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620</v>
      </c>
      <c r="C203" s="553">
        <v>1508.1419999999998</v>
      </c>
      <c r="D203" s="553">
        <v>1279.2203</v>
      </c>
      <c r="E203" s="554">
        <f t="shared" ref="E203:E211" si="23">D203-C203</f>
        <v>-228.92169999999987</v>
      </c>
    </row>
    <row r="204" spans="1:5" s="506" customFormat="1" x14ac:dyDescent="0.2">
      <c r="A204" s="512">
        <v>2</v>
      </c>
      <c r="B204" s="511" t="s">
        <v>599</v>
      </c>
      <c r="C204" s="553">
        <v>2998.2287999999999</v>
      </c>
      <c r="D204" s="553">
        <v>2969.8082999999997</v>
      </c>
      <c r="E204" s="554">
        <f t="shared" si="23"/>
        <v>-28.420500000000175</v>
      </c>
    </row>
    <row r="205" spans="1:5" s="506" customFormat="1" x14ac:dyDescent="0.2">
      <c r="A205" s="512">
        <v>3</v>
      </c>
      <c r="B205" s="511" t="s">
        <v>745</v>
      </c>
      <c r="C205" s="553">
        <f>C206+C207</f>
        <v>931.51906000000008</v>
      </c>
      <c r="D205" s="553">
        <f>D206+D207</f>
        <v>1024.163</v>
      </c>
      <c r="E205" s="554">
        <f t="shared" si="23"/>
        <v>92.64393999999993</v>
      </c>
    </row>
    <row r="206" spans="1:5" s="506" customFormat="1" x14ac:dyDescent="0.2">
      <c r="A206" s="512">
        <v>4</v>
      </c>
      <c r="B206" s="511" t="s">
        <v>114</v>
      </c>
      <c r="C206" s="553">
        <v>719.69290000000001</v>
      </c>
      <c r="D206" s="553">
        <v>866.20040000000006</v>
      </c>
      <c r="E206" s="554">
        <f t="shared" si="23"/>
        <v>146.50750000000005</v>
      </c>
    </row>
    <row r="207" spans="1:5" s="506" customFormat="1" x14ac:dyDescent="0.2">
      <c r="A207" s="512">
        <v>5</v>
      </c>
      <c r="B207" s="511" t="s">
        <v>712</v>
      </c>
      <c r="C207" s="553">
        <v>211.82616000000002</v>
      </c>
      <c r="D207" s="553">
        <v>157.96260000000001</v>
      </c>
      <c r="E207" s="554">
        <f t="shared" si="23"/>
        <v>-53.863560000000007</v>
      </c>
    </row>
    <row r="208" spans="1:5" s="506" customFormat="1" x14ac:dyDescent="0.2">
      <c r="A208" s="512">
        <v>6</v>
      </c>
      <c r="B208" s="511" t="s">
        <v>418</v>
      </c>
      <c r="C208" s="553">
        <v>12.414999999999999</v>
      </c>
      <c r="D208" s="553">
        <v>13.8782</v>
      </c>
      <c r="E208" s="554">
        <f t="shared" si="23"/>
        <v>1.4632000000000005</v>
      </c>
    </row>
    <row r="209" spans="1:5" s="506" customFormat="1" x14ac:dyDescent="0.2">
      <c r="A209" s="512">
        <v>7</v>
      </c>
      <c r="B209" s="511" t="s">
        <v>727</v>
      </c>
      <c r="C209" s="553">
        <v>72.731999999999999</v>
      </c>
      <c r="D209" s="553">
        <v>77.061999999999998</v>
      </c>
      <c r="E209" s="554">
        <f t="shared" si="23"/>
        <v>4.3299999999999983</v>
      </c>
    </row>
    <row r="210" spans="1:5" s="506" customFormat="1" x14ac:dyDescent="0.2">
      <c r="A210" s="512"/>
      <c r="B210" s="516" t="s">
        <v>792</v>
      </c>
      <c r="C210" s="555">
        <f>C204+C205+C208</f>
        <v>3942.1628599999999</v>
      </c>
      <c r="D210" s="555">
        <f>D204+D205+D208</f>
        <v>4007.8494999999998</v>
      </c>
      <c r="E210" s="556">
        <f t="shared" si="23"/>
        <v>65.686639999999898</v>
      </c>
    </row>
    <row r="211" spans="1:5" s="506" customFormat="1" x14ac:dyDescent="0.2">
      <c r="A211" s="512"/>
      <c r="B211" s="516" t="s">
        <v>691</v>
      </c>
      <c r="C211" s="555">
        <f>C210+C203</f>
        <v>5450.3048600000002</v>
      </c>
      <c r="D211" s="555">
        <f>D210+D203</f>
        <v>5287.0697999999993</v>
      </c>
      <c r="E211" s="556">
        <f t="shared" si="23"/>
        <v>-163.23506000000089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793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620</v>
      </c>
      <c r="C215" s="557">
        <f>IF(C14*C137=0,0,C25/C14*C137)</f>
        <v>5017.1258065606971</v>
      </c>
      <c r="D215" s="557">
        <f>IF(D14*D137=0,0,D25/D14*D137)</f>
        <v>4543.5558627234777</v>
      </c>
      <c r="E215" s="557">
        <f t="shared" ref="E215:E223" si="24">D215-C215</f>
        <v>-473.5699438372194</v>
      </c>
    </row>
    <row r="216" spans="1:5" s="506" customFormat="1" x14ac:dyDescent="0.2">
      <c r="A216" s="512">
        <v>2</v>
      </c>
      <c r="B216" s="511" t="s">
        <v>599</v>
      </c>
      <c r="C216" s="557">
        <f>IF(C15*C138=0,0,C26/C15*C138)</f>
        <v>2087.5812225460509</v>
      </c>
      <c r="D216" s="557">
        <f>IF(D15*D138=0,0,D26/D15*D138)</f>
        <v>2070.6633138524298</v>
      </c>
      <c r="E216" s="557">
        <f t="shared" si="24"/>
        <v>-16.91790869362103</v>
      </c>
    </row>
    <row r="217" spans="1:5" s="506" customFormat="1" x14ac:dyDescent="0.2">
      <c r="A217" s="512">
        <v>3</v>
      </c>
      <c r="B217" s="511" t="s">
        <v>745</v>
      </c>
      <c r="C217" s="557">
        <f>C218+C219</f>
        <v>2414.7523012173478</v>
      </c>
      <c r="D217" s="557">
        <f>D218+D219</f>
        <v>2513.3159131723687</v>
      </c>
      <c r="E217" s="557">
        <f t="shared" si="24"/>
        <v>98.56361195502086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1883.1727312161102</v>
      </c>
      <c r="D218" s="557">
        <f t="shared" si="25"/>
        <v>2247.0655041470422</v>
      </c>
      <c r="E218" s="557">
        <f t="shared" si="24"/>
        <v>363.8927729309321</v>
      </c>
    </row>
    <row r="219" spans="1:5" s="506" customFormat="1" x14ac:dyDescent="0.2">
      <c r="A219" s="512">
        <v>5</v>
      </c>
      <c r="B219" s="511" t="s">
        <v>712</v>
      </c>
      <c r="C219" s="557">
        <f t="shared" si="25"/>
        <v>531.57957000123781</v>
      </c>
      <c r="D219" s="557">
        <f t="shared" si="25"/>
        <v>266.25040902532623</v>
      </c>
      <c r="E219" s="557">
        <f t="shared" si="24"/>
        <v>-265.32916097591158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30.405632940456147</v>
      </c>
      <c r="D220" s="557">
        <f t="shared" si="25"/>
        <v>48.619330691325402</v>
      </c>
      <c r="E220" s="557">
        <f t="shared" si="24"/>
        <v>18.213697750869255</v>
      </c>
    </row>
    <row r="221" spans="1:5" s="506" customFormat="1" x14ac:dyDescent="0.2">
      <c r="A221" s="512">
        <v>7</v>
      </c>
      <c r="B221" s="511" t="s">
        <v>727</v>
      </c>
      <c r="C221" s="557">
        <f t="shared" si="25"/>
        <v>309.36756969145057</v>
      </c>
      <c r="D221" s="557">
        <f t="shared" si="25"/>
        <v>222.44628628352842</v>
      </c>
      <c r="E221" s="557">
        <f t="shared" si="24"/>
        <v>-86.921283407922147</v>
      </c>
    </row>
    <row r="222" spans="1:5" s="506" customFormat="1" x14ac:dyDescent="0.2">
      <c r="A222" s="512"/>
      <c r="B222" s="516" t="s">
        <v>794</v>
      </c>
      <c r="C222" s="558">
        <f>C216+C218+C219+C220</f>
        <v>4532.7391567038558</v>
      </c>
      <c r="D222" s="558">
        <f>D216+D218+D219+D220</f>
        <v>4632.5985577161237</v>
      </c>
      <c r="E222" s="558">
        <f t="shared" si="24"/>
        <v>99.859401012267881</v>
      </c>
    </row>
    <row r="223" spans="1:5" s="506" customFormat="1" x14ac:dyDescent="0.2">
      <c r="A223" s="512"/>
      <c r="B223" s="516" t="s">
        <v>795</v>
      </c>
      <c r="C223" s="558">
        <f>C215+C222</f>
        <v>9549.8649632645538</v>
      </c>
      <c r="D223" s="558">
        <f>D215+D222</f>
        <v>9176.1544204396014</v>
      </c>
      <c r="E223" s="558">
        <f t="shared" si="24"/>
        <v>-373.71054282495243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796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620</v>
      </c>
      <c r="C227" s="560">
        <f t="shared" ref="C227:D235" si="26">IF(C203=0,0,C47/C203)</f>
        <v>6678.7046577842148</v>
      </c>
      <c r="D227" s="560">
        <f t="shared" si="26"/>
        <v>7033.4538937507486</v>
      </c>
      <c r="E227" s="560">
        <f t="shared" ref="E227:E235" si="27">D227-C227</f>
        <v>354.74923596653389</v>
      </c>
    </row>
    <row r="228" spans="1:5" s="506" customFormat="1" x14ac:dyDescent="0.2">
      <c r="A228" s="512">
        <v>2</v>
      </c>
      <c r="B228" s="511" t="s">
        <v>599</v>
      </c>
      <c r="C228" s="560">
        <f t="shared" si="26"/>
        <v>8237.4120347319731</v>
      </c>
      <c r="D228" s="560">
        <f t="shared" si="26"/>
        <v>8959.6762861764528</v>
      </c>
      <c r="E228" s="560">
        <f t="shared" si="27"/>
        <v>722.26425144447967</v>
      </c>
    </row>
    <row r="229" spans="1:5" s="506" customFormat="1" x14ac:dyDescent="0.2">
      <c r="A229" s="512">
        <v>3</v>
      </c>
      <c r="B229" s="511" t="s">
        <v>745</v>
      </c>
      <c r="C229" s="560">
        <f t="shared" si="26"/>
        <v>5597.4925515748437</v>
      </c>
      <c r="D229" s="560">
        <f t="shared" si="26"/>
        <v>5555.7328276846556</v>
      </c>
      <c r="E229" s="560">
        <f t="shared" si="27"/>
        <v>-41.75972389018807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6287.2983740703849</v>
      </c>
      <c r="D230" s="560">
        <f t="shared" si="26"/>
        <v>5823.1039837894323</v>
      </c>
      <c r="E230" s="560">
        <f t="shared" si="27"/>
        <v>-464.19439028095258</v>
      </c>
    </row>
    <row r="231" spans="1:5" s="506" customFormat="1" x14ac:dyDescent="0.2">
      <c r="A231" s="512">
        <v>5</v>
      </c>
      <c r="B231" s="511" t="s">
        <v>712</v>
      </c>
      <c r="C231" s="560">
        <f t="shared" si="26"/>
        <v>3253.8332375944497</v>
      </c>
      <c r="D231" s="560">
        <f t="shared" si="26"/>
        <v>4089.5819643383938</v>
      </c>
      <c r="E231" s="560">
        <f t="shared" si="27"/>
        <v>835.74872674394419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4995.086588803867</v>
      </c>
      <c r="D232" s="560">
        <f t="shared" si="26"/>
        <v>4111.3400873312103</v>
      </c>
      <c r="E232" s="560">
        <f t="shared" si="27"/>
        <v>-883.74650147265675</v>
      </c>
    </row>
    <row r="233" spans="1:5" s="506" customFormat="1" x14ac:dyDescent="0.2">
      <c r="A233" s="512">
        <v>7</v>
      </c>
      <c r="B233" s="511" t="s">
        <v>727</v>
      </c>
      <c r="C233" s="560">
        <f t="shared" si="26"/>
        <v>1023.7309574877632</v>
      </c>
      <c r="D233" s="560">
        <f t="shared" si="26"/>
        <v>1909.6052529132387</v>
      </c>
      <c r="E233" s="560">
        <f t="shared" si="27"/>
        <v>885.87429542547545</v>
      </c>
    </row>
    <row r="234" spans="1:5" x14ac:dyDescent="0.2">
      <c r="A234" s="512"/>
      <c r="B234" s="516" t="s">
        <v>797</v>
      </c>
      <c r="C234" s="561">
        <f t="shared" si="26"/>
        <v>7603.3974405613471</v>
      </c>
      <c r="D234" s="561">
        <f t="shared" si="26"/>
        <v>8073.0464055598895</v>
      </c>
      <c r="E234" s="561">
        <f t="shared" si="27"/>
        <v>469.6489649985424</v>
      </c>
    </row>
    <row r="235" spans="1:5" s="506" customFormat="1" x14ac:dyDescent="0.2">
      <c r="A235" s="512"/>
      <c r="B235" s="516" t="s">
        <v>798</v>
      </c>
      <c r="C235" s="561">
        <f t="shared" si="26"/>
        <v>7347.5277124223103</v>
      </c>
      <c r="D235" s="561">
        <f t="shared" si="26"/>
        <v>7821.5142913377094</v>
      </c>
      <c r="E235" s="561">
        <f t="shared" si="27"/>
        <v>473.98657891539915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799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620</v>
      </c>
      <c r="C239" s="560">
        <f t="shared" ref="C239:D247" si="28">IF(C215=0,0,C58/C215)</f>
        <v>4763.8727673014846</v>
      </c>
      <c r="D239" s="560">
        <f t="shared" si="28"/>
        <v>5503.971284950826</v>
      </c>
      <c r="E239" s="562">
        <f t="shared" ref="E239:E247" si="29">D239-C239</f>
        <v>740.09851764934137</v>
      </c>
    </row>
    <row r="240" spans="1:5" s="506" customFormat="1" x14ac:dyDescent="0.2">
      <c r="A240" s="512">
        <v>2</v>
      </c>
      <c r="B240" s="511" t="s">
        <v>599</v>
      </c>
      <c r="C240" s="560">
        <f t="shared" si="28"/>
        <v>4255.5968141757066</v>
      </c>
      <c r="D240" s="560">
        <f t="shared" si="28"/>
        <v>4587.071174950519</v>
      </c>
      <c r="E240" s="562">
        <f t="shared" si="29"/>
        <v>331.47436077481234</v>
      </c>
    </row>
    <row r="241" spans="1:5" x14ac:dyDescent="0.2">
      <c r="A241" s="512">
        <v>3</v>
      </c>
      <c r="B241" s="511" t="s">
        <v>745</v>
      </c>
      <c r="C241" s="560">
        <f t="shared" si="28"/>
        <v>2472.5140533006597</v>
      </c>
      <c r="D241" s="560">
        <f t="shared" si="28"/>
        <v>2569.808660403387</v>
      </c>
      <c r="E241" s="562">
        <f t="shared" si="29"/>
        <v>97.294607102727241</v>
      </c>
    </row>
    <row r="242" spans="1:5" x14ac:dyDescent="0.2">
      <c r="A242" s="512">
        <v>4</v>
      </c>
      <c r="B242" s="511" t="s">
        <v>114</v>
      </c>
      <c r="C242" s="560">
        <f t="shared" si="28"/>
        <v>2668.4599435309678</v>
      </c>
      <c r="D242" s="560">
        <f t="shared" si="28"/>
        <v>2556.0874791588394</v>
      </c>
      <c r="E242" s="562">
        <f t="shared" si="29"/>
        <v>-112.37246437212843</v>
      </c>
    </row>
    <row r="243" spans="1:5" x14ac:dyDescent="0.2">
      <c r="A243" s="512">
        <v>5</v>
      </c>
      <c r="B243" s="511" t="s">
        <v>712</v>
      </c>
      <c r="C243" s="560">
        <f t="shared" si="28"/>
        <v>1778.3565308911302</v>
      </c>
      <c r="D243" s="560">
        <f t="shared" si="28"/>
        <v>2685.6108977169069</v>
      </c>
      <c r="E243" s="562">
        <f t="shared" si="29"/>
        <v>907.25436682577674</v>
      </c>
    </row>
    <row r="244" spans="1:5" x14ac:dyDescent="0.2">
      <c r="A244" s="512">
        <v>6</v>
      </c>
      <c r="B244" s="511" t="s">
        <v>418</v>
      </c>
      <c r="C244" s="560">
        <f t="shared" si="28"/>
        <v>5496.1526480064431</v>
      </c>
      <c r="D244" s="560">
        <f t="shared" si="28"/>
        <v>3507.925707221425</v>
      </c>
      <c r="E244" s="562">
        <f t="shared" si="29"/>
        <v>-1988.2269407850181</v>
      </c>
    </row>
    <row r="245" spans="1:5" x14ac:dyDescent="0.2">
      <c r="A245" s="512">
        <v>7</v>
      </c>
      <c r="B245" s="511" t="s">
        <v>727</v>
      </c>
      <c r="C245" s="560">
        <f t="shared" si="28"/>
        <v>570.84522523202406</v>
      </c>
      <c r="D245" s="560">
        <f t="shared" si="28"/>
        <v>698.53267769076683</v>
      </c>
      <c r="E245" s="562">
        <f t="shared" si="29"/>
        <v>127.68745245874277</v>
      </c>
    </row>
    <row r="246" spans="1:5" ht="25.5" x14ac:dyDescent="0.2">
      <c r="A246" s="512"/>
      <c r="B246" s="516" t="s">
        <v>800</v>
      </c>
      <c r="C246" s="561">
        <f t="shared" si="28"/>
        <v>3314.0064937960037</v>
      </c>
      <c r="D246" s="561">
        <f t="shared" si="28"/>
        <v>3481.3234514218111</v>
      </c>
      <c r="E246" s="563">
        <f t="shared" si="29"/>
        <v>167.31695762580739</v>
      </c>
    </row>
    <row r="247" spans="1:5" x14ac:dyDescent="0.2">
      <c r="A247" s="512"/>
      <c r="B247" s="516" t="s">
        <v>801</v>
      </c>
      <c r="C247" s="561">
        <f t="shared" si="28"/>
        <v>4075.7095675931555</v>
      </c>
      <c r="D247" s="561">
        <f t="shared" si="28"/>
        <v>4482.8337792978573</v>
      </c>
      <c r="E247" s="563">
        <f t="shared" si="29"/>
        <v>407.12421170470179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729</v>
      </c>
      <c r="B249" s="550" t="s">
        <v>726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2988852.8755058427</v>
      </c>
      <c r="D251" s="546">
        <f>((IF((IF(D15=0,0,D26/D15)*D138)=0,0,D59/(IF(D15=0,0,D26/D15)*D138)))-(IF((IF(D17=0,0,D28/D17)*D140)=0,0,D61/(IF(D17=0,0,D28/D17)*D140))))*(IF(D17=0,0,D28/D17)*D140)</f>
        <v>4563753.4022985538</v>
      </c>
      <c r="E251" s="546">
        <f>D251-C251</f>
        <v>1574900.5267927111</v>
      </c>
    </row>
    <row r="252" spans="1:5" x14ac:dyDescent="0.2">
      <c r="A252" s="512">
        <v>2</v>
      </c>
      <c r="B252" s="511" t="s">
        <v>712</v>
      </c>
      <c r="C252" s="546">
        <f>IF(C231=0,0,(C228-C231)*C207)+IF(C243=0,0,(C240-C243)*C219)</f>
        <v>2372502.6842332203</v>
      </c>
      <c r="D252" s="546">
        <f>IF(D231=0,0,(D228-D231)*D207)+IF(D243=0,0,(D240-D243)*D219)</f>
        <v>1275557.3378816359</v>
      </c>
      <c r="E252" s="546">
        <f>D252-C252</f>
        <v>-1096945.3463515844</v>
      </c>
    </row>
    <row r="253" spans="1:5" x14ac:dyDescent="0.2">
      <c r="A253" s="512">
        <v>3</v>
      </c>
      <c r="B253" s="511" t="s">
        <v>727</v>
      </c>
      <c r="C253" s="546">
        <f>IF(C233=0,0,(C228-C233)*C209+IF(C221=0,0,(C240-C245)*C221))</f>
        <v>1664608.0960983438</v>
      </c>
      <c r="D253" s="546">
        <f>IF(D233=0,0,(D228-D233)*D209+IF(D221=0,0,(D240-D245)*D221))</f>
        <v>1408283.5217512939</v>
      </c>
      <c r="E253" s="546">
        <f>D253-C253</f>
        <v>-256324.57434704993</v>
      </c>
    </row>
    <row r="254" spans="1:5" ht="15" customHeight="1" x14ac:dyDescent="0.2">
      <c r="A254" s="512"/>
      <c r="B254" s="516" t="s">
        <v>728</v>
      </c>
      <c r="C254" s="564">
        <f>+C251+C252+C253</f>
        <v>7025963.6558374064</v>
      </c>
      <c r="D254" s="564">
        <f>+D251+D252+D253</f>
        <v>7247594.2619314836</v>
      </c>
      <c r="E254" s="564">
        <f>D254-C254</f>
        <v>221630.60609407723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802</v>
      </c>
      <c r="B256" s="550" t="s">
        <v>803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694</v>
      </c>
      <c r="C258" s="546">
        <f>+C44</f>
        <v>190183873</v>
      </c>
      <c r="D258" s="549">
        <f>+D44</f>
        <v>193955564</v>
      </c>
      <c r="E258" s="546">
        <f t="shared" ref="E258:E271" si="30">D258-C258</f>
        <v>3771691</v>
      </c>
    </row>
    <row r="259" spans="1:5" x14ac:dyDescent="0.2">
      <c r="A259" s="512">
        <v>2</v>
      </c>
      <c r="B259" s="511" t="s">
        <v>711</v>
      </c>
      <c r="C259" s="546">
        <f>+(C43-C76)</f>
        <v>67442543</v>
      </c>
      <c r="D259" s="549">
        <f>+(D43-D76)</f>
        <v>68933145</v>
      </c>
      <c r="E259" s="546">
        <f t="shared" si="30"/>
        <v>1490602</v>
      </c>
    </row>
    <row r="260" spans="1:5" x14ac:dyDescent="0.2">
      <c r="A260" s="512">
        <v>3</v>
      </c>
      <c r="B260" s="511" t="s">
        <v>715</v>
      </c>
      <c r="C260" s="546">
        <f>C195</f>
        <v>6235508</v>
      </c>
      <c r="D260" s="546">
        <f>D195</f>
        <v>6313912</v>
      </c>
      <c r="E260" s="546">
        <f t="shared" si="30"/>
        <v>78404</v>
      </c>
    </row>
    <row r="261" spans="1:5" x14ac:dyDescent="0.2">
      <c r="A261" s="512">
        <v>4</v>
      </c>
      <c r="B261" s="511" t="s">
        <v>716</v>
      </c>
      <c r="C261" s="546">
        <f>C188</f>
        <v>35545014</v>
      </c>
      <c r="D261" s="546">
        <f>D188</f>
        <v>34194802</v>
      </c>
      <c r="E261" s="546">
        <f t="shared" si="30"/>
        <v>-1350212</v>
      </c>
    </row>
    <row r="262" spans="1:5" x14ac:dyDescent="0.2">
      <c r="A262" s="512">
        <v>5</v>
      </c>
      <c r="B262" s="511" t="s">
        <v>717</v>
      </c>
      <c r="C262" s="546">
        <f>C191</f>
        <v>1926412</v>
      </c>
      <c r="D262" s="546">
        <f>D191</f>
        <v>1676212</v>
      </c>
      <c r="E262" s="546">
        <f t="shared" si="30"/>
        <v>-250200</v>
      </c>
    </row>
    <row r="263" spans="1:5" x14ac:dyDescent="0.2">
      <c r="A263" s="512">
        <v>6</v>
      </c>
      <c r="B263" s="511" t="s">
        <v>718</v>
      </c>
      <c r="C263" s="546">
        <f>+C259+C260+C261+C262</f>
        <v>111149477</v>
      </c>
      <c r="D263" s="546">
        <f>+D259+D260+D261+D262</f>
        <v>111118071</v>
      </c>
      <c r="E263" s="546">
        <f t="shared" si="30"/>
        <v>-31406</v>
      </c>
    </row>
    <row r="264" spans="1:5" x14ac:dyDescent="0.2">
      <c r="A264" s="512">
        <v>7</v>
      </c>
      <c r="B264" s="511" t="s">
        <v>618</v>
      </c>
      <c r="C264" s="546">
        <f>+C258-C263</f>
        <v>79034396</v>
      </c>
      <c r="D264" s="546">
        <f>+D258-D263</f>
        <v>82837493</v>
      </c>
      <c r="E264" s="546">
        <f t="shared" si="30"/>
        <v>3803097</v>
      </c>
    </row>
    <row r="265" spans="1:5" x14ac:dyDescent="0.2">
      <c r="A265" s="512">
        <v>8</v>
      </c>
      <c r="B265" s="511" t="s">
        <v>804</v>
      </c>
      <c r="C265" s="565">
        <f>C192</f>
        <v>494828</v>
      </c>
      <c r="D265" s="565">
        <f>D192</f>
        <v>587594</v>
      </c>
      <c r="E265" s="546">
        <f t="shared" si="30"/>
        <v>92766</v>
      </c>
    </row>
    <row r="266" spans="1:5" x14ac:dyDescent="0.2">
      <c r="A266" s="512">
        <v>9</v>
      </c>
      <c r="B266" s="511" t="s">
        <v>805</v>
      </c>
      <c r="C266" s="546">
        <f>+C264+C265</f>
        <v>79529224</v>
      </c>
      <c r="D266" s="546">
        <f>+D264+D265</f>
        <v>83425087</v>
      </c>
      <c r="E266" s="565">
        <f t="shared" si="30"/>
        <v>3895863</v>
      </c>
    </row>
    <row r="267" spans="1:5" x14ac:dyDescent="0.2">
      <c r="A267" s="512">
        <v>10</v>
      </c>
      <c r="B267" s="511" t="s">
        <v>806</v>
      </c>
      <c r="C267" s="566">
        <f>IF(C258=0,0,C266/C258)</f>
        <v>0.4181701778678153</v>
      </c>
      <c r="D267" s="566">
        <f>IF(D258=0,0,D266/D258)</f>
        <v>0.4301247423868696</v>
      </c>
      <c r="E267" s="567">
        <f t="shared" si="30"/>
        <v>1.19545645190543E-2</v>
      </c>
    </row>
    <row r="268" spans="1:5" x14ac:dyDescent="0.2">
      <c r="A268" s="512">
        <v>11</v>
      </c>
      <c r="B268" s="511" t="s">
        <v>680</v>
      </c>
      <c r="C268" s="546">
        <f>+C260*C267</f>
        <v>2607503.4894561851</v>
      </c>
      <c r="D268" s="568">
        <f>+D260*D267</f>
        <v>2715769.7724533645</v>
      </c>
      <c r="E268" s="546">
        <f t="shared" si="30"/>
        <v>108266.28299717931</v>
      </c>
    </row>
    <row r="269" spans="1:5" x14ac:dyDescent="0.2">
      <c r="A269" s="512">
        <v>12</v>
      </c>
      <c r="B269" s="511" t="s">
        <v>807</v>
      </c>
      <c r="C269" s="546">
        <f>((C17+C18+C28+C29)*C267)-(C50+C51+C61+C62)</f>
        <v>3814710.4359795209</v>
      </c>
      <c r="D269" s="568">
        <f>((D17+D18+D28+D29)*D267)-(D50+D51+D61+D62)</f>
        <v>4066932.0223921854</v>
      </c>
      <c r="E269" s="546">
        <f t="shared" si="30"/>
        <v>252221.5864126645</v>
      </c>
    </row>
    <row r="270" spans="1:5" s="569" customFormat="1" x14ac:dyDescent="0.2">
      <c r="A270" s="570">
        <v>13</v>
      </c>
      <c r="B270" s="571" t="s">
        <v>808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809</v>
      </c>
      <c r="C271" s="546">
        <f>+C268+C269+C270</f>
        <v>6422213.925435706</v>
      </c>
      <c r="D271" s="546">
        <f>+D268+D269+D270</f>
        <v>6782701.7948455494</v>
      </c>
      <c r="E271" s="549">
        <f t="shared" si="30"/>
        <v>360487.86940984335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810</v>
      </c>
      <c r="B273" s="550" t="s">
        <v>811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812</v>
      </c>
      <c r="C275" s="340"/>
      <c r="D275" s="340"/>
      <c r="E275" s="520"/>
    </row>
    <row r="276" spans="1:5" x14ac:dyDescent="0.2">
      <c r="A276" s="512">
        <v>1</v>
      </c>
      <c r="B276" s="511" t="s">
        <v>620</v>
      </c>
      <c r="C276" s="547">
        <f t="shared" ref="C276:D284" si="31">IF(C14=0,0,+C47/C14)</f>
        <v>0.535550294571843</v>
      </c>
      <c r="D276" s="547">
        <f t="shared" si="31"/>
        <v>0.50430314720010971</v>
      </c>
      <c r="E276" s="574">
        <f t="shared" ref="E276:E284" si="32">D276-C276</f>
        <v>-3.1247147371733286E-2</v>
      </c>
    </row>
    <row r="277" spans="1:5" x14ac:dyDescent="0.2">
      <c r="A277" s="512">
        <v>2</v>
      </c>
      <c r="B277" s="511" t="s">
        <v>599</v>
      </c>
      <c r="C277" s="547">
        <f t="shared" si="31"/>
        <v>0.59284497534598024</v>
      </c>
      <c r="D277" s="547">
        <f t="shared" si="31"/>
        <v>0.61307626813902849</v>
      </c>
      <c r="E277" s="574">
        <f t="shared" si="32"/>
        <v>2.023129279304825E-2</v>
      </c>
    </row>
    <row r="278" spans="1:5" x14ac:dyDescent="0.2">
      <c r="A278" s="512">
        <v>3</v>
      </c>
      <c r="B278" s="511" t="s">
        <v>745</v>
      </c>
      <c r="C278" s="547">
        <f t="shared" si="31"/>
        <v>0.44177968507072563</v>
      </c>
      <c r="D278" s="547">
        <f t="shared" si="31"/>
        <v>0.47002286435454643</v>
      </c>
      <c r="E278" s="574">
        <f t="shared" si="32"/>
        <v>2.8243179283820807E-2</v>
      </c>
    </row>
    <row r="279" spans="1:5" x14ac:dyDescent="0.2">
      <c r="A279" s="512">
        <v>4</v>
      </c>
      <c r="B279" s="511" t="s">
        <v>114</v>
      </c>
      <c r="C279" s="547">
        <f t="shared" si="31"/>
        <v>0.51435687941430763</v>
      </c>
      <c r="D279" s="547">
        <f t="shared" si="31"/>
        <v>0.50257871787787178</v>
      </c>
      <c r="E279" s="574">
        <f t="shared" si="32"/>
        <v>-1.1778161536435849E-2</v>
      </c>
    </row>
    <row r="280" spans="1:5" x14ac:dyDescent="0.2">
      <c r="A280" s="512">
        <v>5</v>
      </c>
      <c r="B280" s="511" t="s">
        <v>712</v>
      </c>
      <c r="C280" s="547">
        <f t="shared" si="31"/>
        <v>0.22933588961750234</v>
      </c>
      <c r="D280" s="547">
        <f t="shared" si="31"/>
        <v>0.31214503221467038</v>
      </c>
      <c r="E280" s="574">
        <f t="shared" si="32"/>
        <v>8.2809142597168039E-2</v>
      </c>
    </row>
    <row r="281" spans="1:5" x14ac:dyDescent="0.2">
      <c r="A281" s="512">
        <v>6</v>
      </c>
      <c r="B281" s="511" t="s">
        <v>418</v>
      </c>
      <c r="C281" s="547">
        <f t="shared" si="31"/>
        <v>0.35157122528927215</v>
      </c>
      <c r="D281" s="547">
        <f t="shared" si="31"/>
        <v>0.41874357845295757</v>
      </c>
      <c r="E281" s="574">
        <f t="shared" si="32"/>
        <v>6.7172353163685417E-2</v>
      </c>
    </row>
    <row r="282" spans="1:5" x14ac:dyDescent="0.2">
      <c r="A282" s="512">
        <v>7</v>
      </c>
      <c r="B282" s="511" t="s">
        <v>727</v>
      </c>
      <c r="C282" s="547">
        <f t="shared" si="31"/>
        <v>8.0817443838182762E-2</v>
      </c>
      <c r="D282" s="547">
        <f t="shared" si="31"/>
        <v>9.3850885013883945E-2</v>
      </c>
      <c r="E282" s="574">
        <f t="shared" si="32"/>
        <v>1.3033441175701183E-2</v>
      </c>
    </row>
    <row r="283" spans="1:5" ht="29.25" customHeight="1" x14ac:dyDescent="0.2">
      <c r="A283" s="512"/>
      <c r="B283" s="516" t="s">
        <v>813</v>
      </c>
      <c r="C283" s="575">
        <f t="shared" si="31"/>
        <v>0.55881108775147204</v>
      </c>
      <c r="D283" s="575">
        <f t="shared" si="31"/>
        <v>0.58147791952979655</v>
      </c>
      <c r="E283" s="576">
        <f t="shared" si="32"/>
        <v>2.2666831778324514E-2</v>
      </c>
    </row>
    <row r="284" spans="1:5" x14ac:dyDescent="0.2">
      <c r="A284" s="512"/>
      <c r="B284" s="516" t="s">
        <v>814</v>
      </c>
      <c r="C284" s="575">
        <f t="shared" si="31"/>
        <v>0.55277239339994755</v>
      </c>
      <c r="D284" s="575">
        <f t="shared" si="31"/>
        <v>0.56274091043070418</v>
      </c>
      <c r="E284" s="576">
        <f t="shared" si="32"/>
        <v>9.9685170307566295E-3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815</v>
      </c>
      <c r="C286" s="520"/>
      <c r="D286" s="520"/>
      <c r="E286" s="520"/>
    </row>
    <row r="287" spans="1:5" x14ac:dyDescent="0.2">
      <c r="A287" s="512">
        <v>1</v>
      </c>
      <c r="B287" s="511" t="s">
        <v>620</v>
      </c>
      <c r="C287" s="547">
        <f t="shared" ref="C287:D295" si="33">IF(C25=0,0,+C58/C25)</f>
        <v>0.40552466564376705</v>
      </c>
      <c r="D287" s="547">
        <f t="shared" si="33"/>
        <v>0.42603720709346915</v>
      </c>
      <c r="E287" s="574">
        <f t="shared" ref="E287:E295" si="34">D287-C287</f>
        <v>2.0512541449702104E-2</v>
      </c>
    </row>
    <row r="288" spans="1:5" x14ac:dyDescent="0.2">
      <c r="A288" s="512">
        <v>2</v>
      </c>
      <c r="B288" s="511" t="s">
        <v>599</v>
      </c>
      <c r="C288" s="547">
        <f t="shared" si="33"/>
        <v>0.25885268107580267</v>
      </c>
      <c r="D288" s="547">
        <f t="shared" si="33"/>
        <v>0.26601888207866148</v>
      </c>
      <c r="E288" s="574">
        <f t="shared" si="34"/>
        <v>7.1662010028588075E-3</v>
      </c>
    </row>
    <row r="289" spans="1:5" x14ac:dyDescent="0.2">
      <c r="A289" s="512">
        <v>3</v>
      </c>
      <c r="B289" s="511" t="s">
        <v>745</v>
      </c>
      <c r="C289" s="547">
        <f t="shared" si="33"/>
        <v>0.24808426300906125</v>
      </c>
      <c r="D289" s="547">
        <f t="shared" si="33"/>
        <v>0.25235241421744642</v>
      </c>
      <c r="E289" s="574">
        <f t="shared" si="34"/>
        <v>4.268151208385168E-3</v>
      </c>
    </row>
    <row r="290" spans="1:5" x14ac:dyDescent="0.2">
      <c r="A290" s="512">
        <v>4</v>
      </c>
      <c r="B290" s="511" t="s">
        <v>114</v>
      </c>
      <c r="C290" s="547">
        <f t="shared" si="33"/>
        <v>0.29149918119071128</v>
      </c>
      <c r="D290" s="547">
        <f t="shared" si="33"/>
        <v>0.27022297162673287</v>
      </c>
      <c r="E290" s="574">
        <f t="shared" si="34"/>
        <v>-2.127620956397841E-2</v>
      </c>
    </row>
    <row r="291" spans="1:5" x14ac:dyDescent="0.2">
      <c r="A291" s="512">
        <v>5</v>
      </c>
      <c r="B291" s="511" t="s">
        <v>712</v>
      </c>
      <c r="C291" s="547">
        <f t="shared" si="33"/>
        <v>0.13846239248650913</v>
      </c>
      <c r="D291" s="547">
        <f t="shared" si="33"/>
        <v>0.16480487293882989</v>
      </c>
      <c r="E291" s="574">
        <f t="shared" si="34"/>
        <v>2.6342480452320766E-2</v>
      </c>
    </row>
    <row r="292" spans="1:5" x14ac:dyDescent="0.2">
      <c r="A292" s="512">
        <v>6</v>
      </c>
      <c r="B292" s="511" t="s">
        <v>418</v>
      </c>
      <c r="C292" s="547">
        <f t="shared" si="33"/>
        <v>0.40506592980414968</v>
      </c>
      <c r="D292" s="547">
        <f t="shared" si="33"/>
        <v>0.3604209592037278</v>
      </c>
      <c r="E292" s="574">
        <f t="shared" si="34"/>
        <v>-4.4644970600421885E-2</v>
      </c>
    </row>
    <row r="293" spans="1:5" x14ac:dyDescent="0.2">
      <c r="A293" s="512">
        <v>7</v>
      </c>
      <c r="B293" s="511" t="s">
        <v>727</v>
      </c>
      <c r="C293" s="547">
        <f t="shared" si="33"/>
        <v>5.3905287785759745E-2</v>
      </c>
      <c r="D293" s="547">
        <f t="shared" si="33"/>
        <v>4.7222294821307985E-2</v>
      </c>
      <c r="E293" s="574">
        <f t="shared" si="34"/>
        <v>-6.6829929644517602E-3</v>
      </c>
    </row>
    <row r="294" spans="1:5" ht="29.25" customHeight="1" x14ac:dyDescent="0.2">
      <c r="A294" s="512"/>
      <c r="B294" s="516" t="s">
        <v>816</v>
      </c>
      <c r="C294" s="575">
        <f t="shared" si="33"/>
        <v>0.25547107896221599</v>
      </c>
      <c r="D294" s="575">
        <f t="shared" si="33"/>
        <v>0.26107964139841755</v>
      </c>
      <c r="E294" s="576">
        <f t="shared" si="34"/>
        <v>5.6085624362015585E-3</v>
      </c>
    </row>
    <row r="295" spans="1:5" x14ac:dyDescent="0.2">
      <c r="A295" s="512"/>
      <c r="B295" s="516" t="s">
        <v>817</v>
      </c>
      <c r="C295" s="575">
        <f t="shared" si="33"/>
        <v>0.33058645525495872</v>
      </c>
      <c r="D295" s="575">
        <f t="shared" si="33"/>
        <v>0.34145353449347521</v>
      </c>
      <c r="E295" s="576">
        <f t="shared" si="34"/>
        <v>1.0867079238516486E-2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818</v>
      </c>
      <c r="B297" s="501" t="s">
        <v>819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820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618</v>
      </c>
      <c r="C301" s="514">
        <f>+C48+C47+C50+C51+C52+C59+C58+C61+C62+C63</f>
        <v>78968742</v>
      </c>
      <c r="D301" s="514">
        <f>+D48+D47+D50+D51+D52+D59+D58+D61+D62+D63</f>
        <v>82488067</v>
      </c>
      <c r="E301" s="514">
        <f>D301-C301</f>
        <v>3519325</v>
      </c>
    </row>
    <row r="302" spans="1:5" ht="25.5" x14ac:dyDescent="0.2">
      <c r="A302" s="512">
        <v>2</v>
      </c>
      <c r="B302" s="511" t="s">
        <v>821</v>
      </c>
      <c r="C302" s="546">
        <f>C265</f>
        <v>494828</v>
      </c>
      <c r="D302" s="546">
        <f>D265</f>
        <v>587594</v>
      </c>
      <c r="E302" s="514">
        <f>D302-C302</f>
        <v>92766</v>
      </c>
    </row>
    <row r="303" spans="1:5" x14ac:dyDescent="0.2">
      <c r="A303" s="512"/>
      <c r="B303" s="516" t="s">
        <v>822</v>
      </c>
      <c r="C303" s="517">
        <f>+C301+C302</f>
        <v>79463570</v>
      </c>
      <c r="D303" s="517">
        <f>+D301+D302</f>
        <v>83075661</v>
      </c>
      <c r="E303" s="517">
        <f>D303-C303</f>
        <v>3612091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823</v>
      </c>
      <c r="C305" s="513">
        <v>4141249</v>
      </c>
      <c r="D305" s="578">
        <v>3867045</v>
      </c>
      <c r="E305" s="579">
        <f>D305-C305</f>
        <v>-274204</v>
      </c>
    </row>
    <row r="306" spans="1:5" x14ac:dyDescent="0.2">
      <c r="A306" s="512">
        <v>4</v>
      </c>
      <c r="B306" s="516" t="s">
        <v>824</v>
      </c>
      <c r="C306" s="580">
        <f>+C303+C305</f>
        <v>83604819</v>
      </c>
      <c r="D306" s="580">
        <f>+D303+D305</f>
        <v>86942706</v>
      </c>
      <c r="E306" s="580">
        <f>D306-C306</f>
        <v>3337887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825</v>
      </c>
      <c r="C308" s="513">
        <v>83605148</v>
      </c>
      <c r="D308" s="513">
        <v>86942706</v>
      </c>
      <c r="E308" s="514">
        <f>D308-C308</f>
        <v>3337558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826</v>
      </c>
      <c r="C310" s="581">
        <f>C306-C308</f>
        <v>-329</v>
      </c>
      <c r="D310" s="582">
        <f>D306-D308</f>
        <v>0</v>
      </c>
      <c r="E310" s="580">
        <f>D310-C310</f>
        <v>329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827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828</v>
      </c>
      <c r="C314" s="514">
        <f>+C14+C15+C16+C19+C25+C26+C27+C30</f>
        <v>190183873</v>
      </c>
      <c r="D314" s="514">
        <f>+D14+D15+D16+D19+D25+D26+D27+D30</f>
        <v>193955564</v>
      </c>
      <c r="E314" s="514">
        <f>D314-C314</f>
        <v>3771691</v>
      </c>
    </row>
    <row r="315" spans="1:5" x14ac:dyDescent="0.2">
      <c r="A315" s="512">
        <v>2</v>
      </c>
      <c r="B315" s="583" t="s">
        <v>829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830</v>
      </c>
      <c r="C316" s="581">
        <f>C314+C315</f>
        <v>190183873</v>
      </c>
      <c r="D316" s="581">
        <f>D314+D315</f>
        <v>193955564</v>
      </c>
      <c r="E316" s="517">
        <f>D316-C316</f>
        <v>3771691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831</v>
      </c>
      <c r="C318" s="513">
        <v>190183873</v>
      </c>
      <c r="D318" s="513">
        <v>193955564</v>
      </c>
      <c r="E318" s="514">
        <f>D318-C318</f>
        <v>3771691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826</v>
      </c>
      <c r="C320" s="581">
        <f>C316-C318</f>
        <v>0</v>
      </c>
      <c r="D320" s="581">
        <f>D316-D318</f>
        <v>0</v>
      </c>
      <c r="E320" s="517">
        <f>D320-C320</f>
        <v>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832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833</v>
      </c>
      <c r="C324" s="513">
        <f>+C193+C194</f>
        <v>6235508</v>
      </c>
      <c r="D324" s="513">
        <f>+D193+D194</f>
        <v>6313912</v>
      </c>
      <c r="E324" s="514">
        <f>D324-C324</f>
        <v>78404</v>
      </c>
    </row>
    <row r="325" spans="1:5" x14ac:dyDescent="0.2">
      <c r="A325" s="512">
        <v>2</v>
      </c>
      <c r="B325" s="511" t="s">
        <v>834</v>
      </c>
      <c r="C325" s="513">
        <v>519470</v>
      </c>
      <c r="D325" s="513">
        <v>1691625</v>
      </c>
      <c r="E325" s="514">
        <f>D325-C325</f>
        <v>1172155</v>
      </c>
    </row>
    <row r="326" spans="1:5" x14ac:dyDescent="0.2">
      <c r="A326" s="512"/>
      <c r="B326" s="516" t="s">
        <v>835</v>
      </c>
      <c r="C326" s="581">
        <f>C324+C325</f>
        <v>6754978</v>
      </c>
      <c r="D326" s="581">
        <f>D324+D325</f>
        <v>8005537</v>
      </c>
      <c r="E326" s="517">
        <f>D326-C326</f>
        <v>1250559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836</v>
      </c>
      <c r="C328" s="513">
        <v>6754978</v>
      </c>
      <c r="D328" s="513">
        <v>8005538</v>
      </c>
      <c r="E328" s="514">
        <f>D328-C328</f>
        <v>1250560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837</v>
      </c>
      <c r="C330" s="581">
        <f>C326-C328</f>
        <v>0</v>
      </c>
      <c r="D330" s="581">
        <f>D326-D328</f>
        <v>-1</v>
      </c>
      <c r="E330" s="517">
        <f>D330-C330</f>
        <v>-1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FILING&amp;RWINDHAM COMMUNITY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>
      <selection activeCell="A4" sqref="A4:C4"/>
    </sheetView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590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838</v>
      </c>
      <c r="B5" s="696"/>
      <c r="C5" s="697"/>
      <c r="D5" s="585"/>
    </row>
    <row r="6" spans="1:58" s="338" customFormat="1" ht="15.75" customHeight="1" x14ac:dyDescent="0.25">
      <c r="A6" s="695" t="s">
        <v>839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840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841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744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620</v>
      </c>
      <c r="C14" s="513">
        <v>17841128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599</v>
      </c>
      <c r="C15" s="515">
        <v>43401649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745</v>
      </c>
      <c r="C16" s="515">
        <v>12105743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10036189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712</v>
      </c>
      <c r="C18" s="515">
        <v>2069554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136260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727</v>
      </c>
      <c r="C20" s="515">
        <v>1567998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746</v>
      </c>
      <c r="C21" s="517">
        <f>SUM(C15+C16+C19)</f>
        <v>55643652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686</v>
      </c>
      <c r="C22" s="517">
        <f>SUM(C14+C21)</f>
        <v>73484780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747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620</v>
      </c>
      <c r="C25" s="513">
        <v>58698162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599</v>
      </c>
      <c r="C26" s="515">
        <v>35705285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745</v>
      </c>
      <c r="C27" s="515">
        <v>25594132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21255395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712</v>
      </c>
      <c r="C29" s="515">
        <v>4338737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473205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727</v>
      </c>
      <c r="C31" s="518">
        <v>3290522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748</v>
      </c>
      <c r="C32" s="517">
        <f>SUM(C26+C27+C30)</f>
        <v>61772622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692</v>
      </c>
      <c r="C33" s="517">
        <f>SUM(C25+C32)</f>
        <v>120470784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617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842</v>
      </c>
      <c r="C36" s="514">
        <f>SUM(C14+C25)</f>
        <v>76539290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843</v>
      </c>
      <c r="C37" s="518">
        <f>SUM(C21+C32)</f>
        <v>117416274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617</v>
      </c>
      <c r="C38" s="517">
        <f>SUM(+C36+C37)</f>
        <v>193955564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757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620</v>
      </c>
      <c r="C41" s="513">
        <v>8997337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599</v>
      </c>
      <c r="C42" s="515">
        <v>26608521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745</v>
      </c>
      <c r="C43" s="515">
        <v>5689976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5043975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712</v>
      </c>
      <c r="C45" s="515">
        <v>646001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57058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727</v>
      </c>
      <c r="C47" s="515">
        <v>147158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758</v>
      </c>
      <c r="C48" s="517">
        <f>SUM(C42+C43+C46)</f>
        <v>32355555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687</v>
      </c>
      <c r="C49" s="517">
        <f>SUM(C41+C48)</f>
        <v>41352892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759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620</v>
      </c>
      <c r="C52" s="513">
        <v>25007601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599</v>
      </c>
      <c r="C53" s="515">
        <v>9498280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745</v>
      </c>
      <c r="C54" s="515">
        <v>6458741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5743696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712</v>
      </c>
      <c r="C56" s="515">
        <v>715045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170553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727</v>
      </c>
      <c r="C58" s="515">
        <v>155386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760</v>
      </c>
      <c r="C59" s="517">
        <f>SUM(C53+C54+C57)</f>
        <v>16127574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693</v>
      </c>
      <c r="C60" s="517">
        <f>SUM(C52+C59)</f>
        <v>41135175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618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844</v>
      </c>
      <c r="C63" s="514">
        <f>SUM(C41+C52)</f>
        <v>34004938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845</v>
      </c>
      <c r="C64" s="518">
        <f>SUM(C48+C59)</f>
        <v>48483129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618</v>
      </c>
      <c r="C65" s="517">
        <f>SUM(+C63+C64)</f>
        <v>82488067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846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847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620</v>
      </c>
      <c r="C70" s="530">
        <v>1381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599</v>
      </c>
      <c r="C71" s="530">
        <v>2517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745</v>
      </c>
      <c r="C72" s="530">
        <v>1188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1061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712</v>
      </c>
      <c r="C74" s="530">
        <v>127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14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727</v>
      </c>
      <c r="C76" s="545">
        <v>106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775</v>
      </c>
      <c r="C77" s="532">
        <f>SUM(C71+C72+C75)</f>
        <v>3719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689</v>
      </c>
      <c r="C78" s="596">
        <f>SUM(C70+C77)</f>
        <v>5100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780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620</v>
      </c>
      <c r="C81" s="541">
        <v>0.92630000000000001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599</v>
      </c>
      <c r="C82" s="541">
        <v>1.1798999999999999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745</v>
      </c>
      <c r="C83" s="541">
        <f>((C73*C84)+(C74*C85))/(C73+C74)</f>
        <v>0.86209006734006732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0.81640000000000001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712</v>
      </c>
      <c r="C85" s="541">
        <v>1.2438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0.99129999999999996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727</v>
      </c>
      <c r="C87" s="541">
        <v>0.72699999999999998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781</v>
      </c>
      <c r="C88" s="543">
        <f>((C71*C82)+(C73*C84)+(C74*C85)+(C75*C86))/(C71+C73+C74+C75)</f>
        <v>1.077668593707986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690</v>
      </c>
      <c r="C89" s="543">
        <f>((C70*C81)+(C71*C82)+(C73*C84)+(C74*C85)+(C75*C86))/(C70+C71+C73+C74+C75)</f>
        <v>1.0366803529411763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782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783</v>
      </c>
      <c r="C92" s="513">
        <v>67897196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784</v>
      </c>
      <c r="C93" s="546">
        <v>33702394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632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716</v>
      </c>
      <c r="C95" s="513">
        <f>+C92-C93</f>
        <v>34194802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634</v>
      </c>
      <c r="C96" s="597">
        <f>(+C92-C93)/C92</f>
        <v>0.50362612912615712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731</v>
      </c>
      <c r="C98" s="513">
        <v>3173244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717</v>
      </c>
      <c r="C99" s="513">
        <v>1676212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848</v>
      </c>
      <c r="C101" s="513">
        <v>587594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786</v>
      </c>
      <c r="C103" s="513">
        <v>2446867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787</v>
      </c>
      <c r="C104" s="513">
        <v>3867045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788</v>
      </c>
      <c r="C105" s="578">
        <f>+C103+C104</f>
        <v>6313912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789</v>
      </c>
      <c r="C107" s="513">
        <v>2622664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674</v>
      </c>
      <c r="C108" s="513">
        <v>91501818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819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820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618</v>
      </c>
      <c r="C114" s="514">
        <f>+C65</f>
        <v>82488067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821</v>
      </c>
      <c r="C115" s="546">
        <f>+C101</f>
        <v>587594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822</v>
      </c>
      <c r="C116" s="517">
        <f>+C114+C115</f>
        <v>83075661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823</v>
      </c>
      <c r="C118" s="578">
        <v>3867045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824</v>
      </c>
      <c r="C119" s="580">
        <f>+C116+C118</f>
        <v>86942706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825</v>
      </c>
      <c r="C121" s="513">
        <v>86942706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826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827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828</v>
      </c>
      <c r="C127" s="514">
        <f>+C38</f>
        <v>193955564</v>
      </c>
      <c r="D127" s="588"/>
      <c r="AR127" s="507"/>
    </row>
    <row r="128" spans="1:58" s="506" customFormat="1" x14ac:dyDescent="0.2">
      <c r="A128" s="512">
        <v>2</v>
      </c>
      <c r="B128" s="583" t="s">
        <v>829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830</v>
      </c>
      <c r="C129" s="581">
        <f>C127+C128</f>
        <v>193955564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831</v>
      </c>
      <c r="C131" s="513">
        <v>193955564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826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832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833</v>
      </c>
      <c r="C137" s="513">
        <f>C105</f>
        <v>6313912</v>
      </c>
      <c r="D137" s="588"/>
      <c r="AR137" s="507"/>
    </row>
    <row r="138" spans="1:44" s="506" customFormat="1" x14ac:dyDescent="0.2">
      <c r="A138" s="512">
        <v>2</v>
      </c>
      <c r="B138" s="511" t="s">
        <v>849</v>
      </c>
      <c r="C138" s="513">
        <v>1691625</v>
      </c>
      <c r="D138" s="588"/>
      <c r="AR138" s="507"/>
    </row>
    <row r="139" spans="1:44" s="506" customFormat="1" x14ac:dyDescent="0.2">
      <c r="A139" s="512"/>
      <c r="B139" s="516" t="s">
        <v>835</v>
      </c>
      <c r="C139" s="581">
        <f>C137+C138</f>
        <v>8005537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850</v>
      </c>
      <c r="C141" s="513">
        <v>8005538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837</v>
      </c>
      <c r="C143" s="581">
        <f>C139-C141</f>
        <v>-1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FILING&amp;RWINDHAM COMMUNITY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A4" sqref="A4:F4"/>
    </sheetView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851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594</v>
      </c>
      <c r="D8" s="35" t="s">
        <v>594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596</v>
      </c>
      <c r="D9" s="607" t="s">
        <v>597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852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853</v>
      </c>
      <c r="C12" s="49">
        <v>4608</v>
      </c>
      <c r="D12" s="49">
        <v>4162</v>
      </c>
      <c r="E12" s="49">
        <f>+D12-C12</f>
        <v>-446</v>
      </c>
      <c r="F12" s="70">
        <f>IF(C12=0,0,+E12/C12)</f>
        <v>-9.6788194444444448E-2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854</v>
      </c>
      <c r="C13" s="49">
        <v>4593</v>
      </c>
      <c r="D13" s="49">
        <v>4094</v>
      </c>
      <c r="E13" s="49">
        <f>+D13-C13</f>
        <v>-499</v>
      </c>
      <c r="F13" s="70">
        <f>IF(C13=0,0,+E13/C13)</f>
        <v>-0.10864358806880035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.75" customHeight="1" x14ac:dyDescent="0.25">
      <c r="A15" s="25">
        <v>3</v>
      </c>
      <c r="B15" s="121" t="s">
        <v>855</v>
      </c>
      <c r="C15" s="51">
        <v>2094259</v>
      </c>
      <c r="D15" s="51">
        <v>2446867</v>
      </c>
      <c r="E15" s="51">
        <f>+D15-C15</f>
        <v>352608</v>
      </c>
      <c r="F15" s="70">
        <f>IF(C15=0,0,+E15/C15)</f>
        <v>0.1683688598210632</v>
      </c>
      <c r="G15" s="610"/>
      <c r="H15" s="611"/>
      <c r="I15" s="612"/>
      <c r="J15" s="308"/>
      <c r="K15" s="308"/>
      <c r="L15" s="308"/>
      <c r="M15" s="308"/>
    </row>
    <row r="16" spans="1:14" ht="18.75" customHeight="1" x14ac:dyDescent="0.25">
      <c r="A16" s="25">
        <v>4</v>
      </c>
      <c r="B16" s="121" t="s">
        <v>856</v>
      </c>
      <c r="C16" s="27">
        <f>IF(C13=0,0,+C15/+C13)</f>
        <v>455.96755932941431</v>
      </c>
      <c r="D16" s="27">
        <f>IF(D13=0,0,+D15/+D13)</f>
        <v>597.67147044455305</v>
      </c>
      <c r="E16" s="27">
        <f>+D16-C16</f>
        <v>141.70391111513874</v>
      </c>
      <c r="F16" s="28">
        <f>IF(C16=0,0,+E16/C16)</f>
        <v>0.31077630023403613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857</v>
      </c>
      <c r="C18" s="210">
        <v>0.386903</v>
      </c>
      <c r="D18" s="210">
        <v>0.44904500000000003</v>
      </c>
      <c r="E18" s="210">
        <f>+D18-C18</f>
        <v>6.2142000000000031E-2</v>
      </c>
      <c r="F18" s="70">
        <f>IF(C18=0,0,+E18/C18)</f>
        <v>0.16061390064176301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858</v>
      </c>
      <c r="C19" s="27">
        <f>+C15*C18</f>
        <v>810275.08987699996</v>
      </c>
      <c r="D19" s="27">
        <f>+D15*D18</f>
        <v>1098753.3920150001</v>
      </c>
      <c r="E19" s="27">
        <f>+D19-C19</f>
        <v>288478.30213800014</v>
      </c>
      <c r="F19" s="28">
        <f>IF(C19=0,0,+E19/C19)</f>
        <v>0.35602513978529349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859</v>
      </c>
      <c r="C20" s="27">
        <f>IF(C13=0,0,+C19/C13)</f>
        <v>176.41521660722839</v>
      </c>
      <c r="D20" s="27">
        <f>IF(D13=0,0,+D19/D13)</f>
        <v>268.38138544577436</v>
      </c>
      <c r="E20" s="27">
        <f>+D20-C20</f>
        <v>91.966168838545968</v>
      </c>
      <c r="F20" s="28">
        <f>IF(C20=0,0,+E20/C20)</f>
        <v>0.52130519468340331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860</v>
      </c>
      <c r="C22" s="51">
        <v>524418</v>
      </c>
      <c r="D22" s="51">
        <v>760720</v>
      </c>
      <c r="E22" s="51">
        <f>+D22-C22</f>
        <v>236302</v>
      </c>
      <c r="F22" s="70">
        <f>IF(C22=0,0,+E22/C22)</f>
        <v>0.45059856831763972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861</v>
      </c>
      <c r="C23" s="49">
        <v>815395</v>
      </c>
      <c r="D23" s="49">
        <v>849666</v>
      </c>
      <c r="E23" s="49">
        <f>+D23-C23</f>
        <v>34271</v>
      </c>
      <c r="F23" s="70">
        <f>IF(C23=0,0,+E23/C23)</f>
        <v>4.2029936411187213E-2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862</v>
      </c>
      <c r="C24" s="49">
        <v>754446</v>
      </c>
      <c r="D24" s="49">
        <v>836481</v>
      </c>
      <c r="E24" s="49">
        <f>+D24-C24</f>
        <v>82035</v>
      </c>
      <c r="F24" s="70">
        <f>IF(C24=0,0,+E24/C24)</f>
        <v>0.10873541645127684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855</v>
      </c>
      <c r="C25" s="27">
        <f>+C22+C23+C24</f>
        <v>2094259</v>
      </c>
      <c r="D25" s="27">
        <f>+D22+D23+D24</f>
        <v>2446867</v>
      </c>
      <c r="E25" s="27">
        <f>+E22+E23+E24</f>
        <v>352608</v>
      </c>
      <c r="F25" s="28">
        <f>IF(C25=0,0,+E25/C25)</f>
        <v>0.1683688598210632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863</v>
      </c>
      <c r="C27" s="49">
        <v>149</v>
      </c>
      <c r="D27" s="49">
        <v>212</v>
      </c>
      <c r="E27" s="49">
        <f>+D27-C27</f>
        <v>63</v>
      </c>
      <c r="F27" s="70">
        <f>IF(C27=0,0,+E27/C27)</f>
        <v>0.42281879194630873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864</v>
      </c>
      <c r="C28" s="49">
        <v>56</v>
      </c>
      <c r="D28" s="49">
        <v>57</v>
      </c>
      <c r="E28" s="49">
        <f>+D28-C28</f>
        <v>1</v>
      </c>
      <c r="F28" s="70">
        <f>IF(C28=0,0,+E28/C28)</f>
        <v>1.7857142857142856E-2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865</v>
      </c>
      <c r="C29" s="49">
        <v>670</v>
      </c>
      <c r="D29" s="49">
        <v>655</v>
      </c>
      <c r="E29" s="49">
        <f>+D29-C29</f>
        <v>-15</v>
      </c>
      <c r="F29" s="70">
        <f>IF(C29=0,0,+E29/C29)</f>
        <v>-2.2388059701492536E-2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866</v>
      </c>
      <c r="C30" s="49">
        <v>1625</v>
      </c>
      <c r="D30" s="49">
        <v>1715</v>
      </c>
      <c r="E30" s="49">
        <f>+D30-C30</f>
        <v>90</v>
      </c>
      <c r="F30" s="70">
        <f>IF(C30=0,0,+E30/C30)</f>
        <v>5.5384615384615386E-2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867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868</v>
      </c>
      <c r="C33" s="51">
        <v>844999</v>
      </c>
      <c r="D33" s="51">
        <v>758451</v>
      </c>
      <c r="E33" s="51">
        <f>+D33-C33</f>
        <v>-86548</v>
      </c>
      <c r="F33" s="70">
        <f>IF(C33=0,0,+E33/C33)</f>
        <v>-0.10242378985063888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869</v>
      </c>
      <c r="C34" s="49">
        <v>1106556</v>
      </c>
      <c r="D34" s="49">
        <v>1002945</v>
      </c>
      <c r="E34" s="49">
        <f>+D34-C34</f>
        <v>-103611</v>
      </c>
      <c r="F34" s="70">
        <f>IF(C34=0,0,+E34/C34)</f>
        <v>-9.3633760966458091E-2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870</v>
      </c>
      <c r="C35" s="49">
        <v>2189694</v>
      </c>
      <c r="D35" s="49">
        <v>2105649</v>
      </c>
      <c r="E35" s="49">
        <f>+D35-C35</f>
        <v>-84045</v>
      </c>
      <c r="F35" s="70">
        <f>IF(C35=0,0,+E35/C35)</f>
        <v>-3.8382075303672568E-2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871</v>
      </c>
      <c r="C36" s="27">
        <f>+C33+C34+C35</f>
        <v>4141249</v>
      </c>
      <c r="D36" s="27">
        <f>+D33+D34+D35</f>
        <v>3867045</v>
      </c>
      <c r="E36" s="27">
        <f>+E33+E34+E35</f>
        <v>-274204</v>
      </c>
      <c r="F36" s="28">
        <f>IF(C36=0,0,+E36/C36)</f>
        <v>-6.6212874425082863E-2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872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873</v>
      </c>
      <c r="C39" s="51">
        <f>+C25</f>
        <v>2094259</v>
      </c>
      <c r="D39" s="51">
        <f>+D25</f>
        <v>2446867</v>
      </c>
      <c r="E39" s="51">
        <f>+D39-C39</f>
        <v>352608</v>
      </c>
      <c r="F39" s="70">
        <f>IF(C39=0,0,+E39/C39)</f>
        <v>0.1683688598210632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874</v>
      </c>
      <c r="C40" s="49">
        <f>+C36</f>
        <v>4141249</v>
      </c>
      <c r="D40" s="49">
        <f>+D36</f>
        <v>3867045</v>
      </c>
      <c r="E40" s="49">
        <f>+D40-C40</f>
        <v>-274204</v>
      </c>
      <c r="F40" s="70">
        <f>IF(C40=0,0,+E40/C40)</f>
        <v>-6.6212874425082863E-2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875</v>
      </c>
      <c r="C41" s="27">
        <f>+C39+C40</f>
        <v>6235508</v>
      </c>
      <c r="D41" s="27">
        <f>+D39+D40</f>
        <v>6313912</v>
      </c>
      <c r="E41" s="27">
        <f>+E39+E40</f>
        <v>78404</v>
      </c>
      <c r="F41" s="28">
        <f>IF(C41=0,0,+E41/C41)</f>
        <v>1.2573795110197919E-2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876</v>
      </c>
      <c r="C43" s="51">
        <f t="shared" ref="C43:D45" si="0">+C22+C33</f>
        <v>1369417</v>
      </c>
      <c r="D43" s="51">
        <f t="shared" si="0"/>
        <v>1519171</v>
      </c>
      <c r="E43" s="51">
        <f>+D43-C43</f>
        <v>149754</v>
      </c>
      <c r="F43" s="70">
        <f>IF(C43=0,0,+E43/C43)</f>
        <v>0.10935602522825406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877</v>
      </c>
      <c r="C44" s="49">
        <f t="shared" si="0"/>
        <v>1921951</v>
      </c>
      <c r="D44" s="49">
        <f t="shared" si="0"/>
        <v>1852611</v>
      </c>
      <c r="E44" s="49">
        <f>+D44-C44</f>
        <v>-69340</v>
      </c>
      <c r="F44" s="70">
        <f>IF(C44=0,0,+E44/C44)</f>
        <v>-3.6077922902300837E-2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878</v>
      </c>
      <c r="C45" s="49">
        <f t="shared" si="0"/>
        <v>2944140</v>
      </c>
      <c r="D45" s="49">
        <f t="shared" si="0"/>
        <v>2942130</v>
      </c>
      <c r="E45" s="49">
        <f>+D45-C45</f>
        <v>-2010</v>
      </c>
      <c r="F45" s="70">
        <f>IF(C45=0,0,+E45/C45)</f>
        <v>-6.8271209928875661E-4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875</v>
      </c>
      <c r="C46" s="27">
        <f>+C43+C44+C45</f>
        <v>6235508</v>
      </c>
      <c r="D46" s="27">
        <f>+D43+D44+D45</f>
        <v>6313912</v>
      </c>
      <c r="E46" s="27">
        <f>+E43+E44+E45</f>
        <v>78404</v>
      </c>
      <c r="F46" s="28">
        <f>IF(C46=0,0,+E46/C46)</f>
        <v>1.2573795110197919E-2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879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FILING&amp;RWINDHAM COMMUNITY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>
      <selection activeCell="A3" sqref="A3:F3"/>
    </sheetView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880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881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596</v>
      </c>
      <c r="D9" s="35" t="s">
        <v>597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882</v>
      </c>
      <c r="D10" s="35" t="s">
        <v>882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883</v>
      </c>
      <c r="D11" s="605" t="s">
        <v>883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884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68498602</v>
      </c>
      <c r="D15" s="51">
        <v>67897196</v>
      </c>
      <c r="E15" s="51">
        <f>+D15-C15</f>
        <v>-601406</v>
      </c>
      <c r="F15" s="70">
        <f>+E15/C15</f>
        <v>-8.7798288204480428E-3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503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885</v>
      </c>
      <c r="C17" s="51">
        <v>35545014</v>
      </c>
      <c r="D17" s="51">
        <v>34194802</v>
      </c>
      <c r="E17" s="51">
        <f>+D17-C17</f>
        <v>-1350212</v>
      </c>
      <c r="F17" s="70">
        <f>+E17/C17</f>
        <v>-3.7985974629240547E-2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886</v>
      </c>
      <c r="C19" s="27">
        <f>+C15-C17</f>
        <v>32953588</v>
      </c>
      <c r="D19" s="27">
        <f>+D15-D17</f>
        <v>33702394</v>
      </c>
      <c r="E19" s="27">
        <f>+D19-C19</f>
        <v>748806</v>
      </c>
      <c r="F19" s="28">
        <f>+E19/C19</f>
        <v>2.2723049156286108E-2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887</v>
      </c>
      <c r="C21" s="628">
        <f>+C17/C15</f>
        <v>0.51891590429830958</v>
      </c>
      <c r="D21" s="628">
        <f>+D17/D15</f>
        <v>0.50362612912615712</v>
      </c>
      <c r="E21" s="628">
        <f>+D21-C21</f>
        <v>-1.5289775172152464E-2</v>
      </c>
      <c r="F21" s="28">
        <f>+E21/C21</f>
        <v>-2.9464842078462911E-2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503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503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503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503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888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FILING&amp;R&amp;12WINDHAM COMMUNITY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activeCell="A2" sqref="A2:E2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889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890</v>
      </c>
      <c r="B6" s="632" t="s">
        <v>891</v>
      </c>
      <c r="C6" s="632" t="s">
        <v>892</v>
      </c>
      <c r="D6" s="632" t="s">
        <v>893</v>
      </c>
      <c r="E6" s="632" t="s">
        <v>894</v>
      </c>
    </row>
    <row r="7" spans="1:6" ht="37.5" customHeight="1" x14ac:dyDescent="0.25">
      <c r="A7" s="633" t="s">
        <v>8</v>
      </c>
      <c r="B7" s="634" t="s">
        <v>895</v>
      </c>
      <c r="C7" s="631" t="s">
        <v>896</v>
      </c>
      <c r="D7" s="631" t="s">
        <v>897</v>
      </c>
      <c r="E7" s="631" t="s">
        <v>898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899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900</v>
      </c>
      <c r="C10" s="641">
        <v>74505375</v>
      </c>
      <c r="D10" s="641">
        <v>72446212</v>
      </c>
      <c r="E10" s="641">
        <v>73484780</v>
      </c>
    </row>
    <row r="11" spans="1:6" ht="26.1" customHeight="1" x14ac:dyDescent="0.25">
      <c r="A11" s="639">
        <v>2</v>
      </c>
      <c r="B11" s="640" t="s">
        <v>901</v>
      </c>
      <c r="C11" s="641">
        <v>119289489</v>
      </c>
      <c r="D11" s="641">
        <v>117737661</v>
      </c>
      <c r="E11" s="641">
        <v>120470784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193794864</v>
      </c>
      <c r="D12" s="641">
        <f>+D11+D10</f>
        <v>190183873</v>
      </c>
      <c r="E12" s="641">
        <f>+E11+E10</f>
        <v>193955564</v>
      </c>
    </row>
    <row r="13" spans="1:6" ht="26.1" customHeight="1" x14ac:dyDescent="0.25">
      <c r="A13" s="639">
        <v>4</v>
      </c>
      <c r="B13" s="640" t="s">
        <v>483</v>
      </c>
      <c r="C13" s="641">
        <v>81011511</v>
      </c>
      <c r="D13" s="641">
        <v>83605148</v>
      </c>
      <c r="E13" s="641">
        <v>86942706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902</v>
      </c>
      <c r="C16" s="641">
        <v>83487134</v>
      </c>
      <c r="D16" s="641">
        <v>85401157</v>
      </c>
      <c r="E16" s="641">
        <v>91501818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903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21050</v>
      </c>
      <c r="D19" s="644">
        <v>20696</v>
      </c>
      <c r="E19" s="644">
        <v>20850</v>
      </c>
    </row>
    <row r="20" spans="1:5" ht="26.1" customHeight="1" x14ac:dyDescent="0.25">
      <c r="A20" s="639">
        <v>2</v>
      </c>
      <c r="B20" s="640" t="s">
        <v>373</v>
      </c>
      <c r="C20" s="645">
        <v>5744</v>
      </c>
      <c r="D20" s="645">
        <v>5343</v>
      </c>
      <c r="E20" s="645">
        <v>5100</v>
      </c>
    </row>
    <row r="21" spans="1:5" ht="26.1" customHeight="1" x14ac:dyDescent="0.25">
      <c r="A21" s="639">
        <v>3</v>
      </c>
      <c r="B21" s="640" t="s">
        <v>904</v>
      </c>
      <c r="C21" s="646">
        <f>IF(C20=0,0,+C19/C20)</f>
        <v>3.6646935933147633</v>
      </c>
      <c r="D21" s="646">
        <f>IF(D20=0,0,+D19/D20)</f>
        <v>3.8734793187347933</v>
      </c>
      <c r="E21" s="646">
        <f>IF(E20=0,0,+E19/E20)</f>
        <v>4.0882352941176467</v>
      </c>
    </row>
    <row r="22" spans="1:5" ht="26.1" customHeight="1" x14ac:dyDescent="0.25">
      <c r="A22" s="639">
        <v>4</v>
      </c>
      <c r="B22" s="640" t="s">
        <v>905</v>
      </c>
      <c r="C22" s="645">
        <f>IF(C10=0,0,C19*(C12/C10))</f>
        <v>54752.853565262907</v>
      </c>
      <c r="D22" s="645">
        <f>IF(D10=0,0,D19*(D12/D10))</f>
        <v>54330.589922465515</v>
      </c>
      <c r="E22" s="645">
        <f>IF(E10=0,0,E19*(E12/E10))</f>
        <v>55031.443373716291</v>
      </c>
    </row>
    <row r="23" spans="1:5" ht="26.1" customHeight="1" x14ac:dyDescent="0.25">
      <c r="A23" s="639">
        <v>0</v>
      </c>
      <c r="B23" s="640" t="s">
        <v>906</v>
      </c>
      <c r="C23" s="645">
        <f>IF(C10=0,0,C20*(C12/C10))</f>
        <v>14940.636146264616</v>
      </c>
      <c r="D23" s="645">
        <f>IF(D10=0,0,D20*(D12/D10))</f>
        <v>14026.301795309879</v>
      </c>
      <c r="E23" s="645">
        <f>IF(E10=0,0,E20*(E12/E10))</f>
        <v>13460.928595009742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907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1.0124688144150418</v>
      </c>
      <c r="D26" s="647">
        <v>1.0200832603406325</v>
      </c>
      <c r="E26" s="647">
        <v>1.0366803529411766</v>
      </c>
    </row>
    <row r="27" spans="1:5" ht="26.1" customHeight="1" x14ac:dyDescent="0.25">
      <c r="A27" s="639">
        <v>2</v>
      </c>
      <c r="B27" s="640" t="s">
        <v>908</v>
      </c>
      <c r="C27" s="645">
        <f>C19*C26</f>
        <v>21312.468543436629</v>
      </c>
      <c r="D27" s="645">
        <f>D19*D26</f>
        <v>21111.64315600973</v>
      </c>
      <c r="E27" s="645">
        <f>E19*E26</f>
        <v>21614.78535882353</v>
      </c>
    </row>
    <row r="28" spans="1:5" ht="26.1" customHeight="1" x14ac:dyDescent="0.25">
      <c r="A28" s="639">
        <v>3</v>
      </c>
      <c r="B28" s="640" t="s">
        <v>909</v>
      </c>
      <c r="C28" s="645">
        <f>C20*C26</f>
        <v>5815.6208699999997</v>
      </c>
      <c r="D28" s="645">
        <f>D20*D26</f>
        <v>5450.3048599999993</v>
      </c>
      <c r="E28" s="645">
        <f>E20*E26</f>
        <v>5287.0698000000002</v>
      </c>
    </row>
    <row r="29" spans="1:5" ht="26.1" customHeight="1" x14ac:dyDescent="0.25">
      <c r="A29" s="639">
        <v>4</v>
      </c>
      <c r="B29" s="640" t="s">
        <v>910</v>
      </c>
      <c r="C29" s="645">
        <f>C22*C26</f>
        <v>55435.556735062128</v>
      </c>
      <c r="D29" s="645">
        <f>D22*D26</f>
        <v>55421.725304338535</v>
      </c>
      <c r="E29" s="645">
        <f>E22*E26</f>
        <v>57050.016139526575</v>
      </c>
    </row>
    <row r="30" spans="1:5" ht="26.1" customHeight="1" x14ac:dyDescent="0.25">
      <c r="A30" s="639">
        <v>5</v>
      </c>
      <c r="B30" s="640" t="s">
        <v>911</v>
      </c>
      <c r="C30" s="645">
        <f>C23*C26</f>
        <v>15126.928165615054</v>
      </c>
      <c r="D30" s="645">
        <f>D23*D26</f>
        <v>14307.995665881368</v>
      </c>
      <c r="E30" s="645">
        <f>E23*E26</f>
        <v>13954.680206790676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912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913</v>
      </c>
      <c r="C33" s="641">
        <f>IF(C19=0,0,C12/C19)</f>
        <v>9206.4068408551066</v>
      </c>
      <c r="D33" s="641">
        <f>IF(D19=0,0,D12/D19)</f>
        <v>9189.4024449168919</v>
      </c>
      <c r="E33" s="641">
        <f>IF(E19=0,0,E12/E19)</f>
        <v>9302.4251318944844</v>
      </c>
    </row>
    <row r="34" spans="1:5" ht="26.1" customHeight="1" x14ac:dyDescent="0.25">
      <c r="A34" s="639">
        <v>2</v>
      </c>
      <c r="B34" s="640" t="s">
        <v>914</v>
      </c>
      <c r="C34" s="641">
        <f>IF(C20=0,0,C12/C20)</f>
        <v>33738.660167130918</v>
      </c>
      <c r="D34" s="641">
        <f>IF(D20=0,0,D12/D20)</f>
        <v>35594.960321916529</v>
      </c>
      <c r="E34" s="641">
        <f>IF(E20=0,0,E12/E20)</f>
        <v>38030.502745098041</v>
      </c>
    </row>
    <row r="35" spans="1:5" ht="26.1" customHeight="1" x14ac:dyDescent="0.25">
      <c r="A35" s="639">
        <v>3</v>
      </c>
      <c r="B35" s="640" t="s">
        <v>915</v>
      </c>
      <c r="C35" s="641">
        <f>IF(C22=0,0,C12/C22)</f>
        <v>3539.4477434679338</v>
      </c>
      <c r="D35" s="641">
        <f>IF(D22=0,0,D12/D22)</f>
        <v>3500.4934286818707</v>
      </c>
      <c r="E35" s="641">
        <f>IF(E22=0,0,E12/E22)</f>
        <v>3524.4498800959236</v>
      </c>
    </row>
    <row r="36" spans="1:5" ht="26.1" customHeight="1" x14ac:dyDescent="0.25">
      <c r="A36" s="639">
        <v>4</v>
      </c>
      <c r="B36" s="640" t="s">
        <v>916</v>
      </c>
      <c r="C36" s="641">
        <f>IF(C23=0,0,C12/C23)</f>
        <v>12970.991469359331</v>
      </c>
      <c r="D36" s="641">
        <f>IF(D23=0,0,D12/D23)</f>
        <v>13559.088901366273</v>
      </c>
      <c r="E36" s="641">
        <f>IF(E23=0,0,E12/E23)</f>
        <v>14408.780392156863</v>
      </c>
    </row>
    <row r="37" spans="1:5" ht="26.1" customHeight="1" x14ac:dyDescent="0.25">
      <c r="A37" s="639">
        <v>5</v>
      </c>
      <c r="B37" s="640" t="s">
        <v>917</v>
      </c>
      <c r="C37" s="641">
        <f>IF(C29=0,0,C12/C29)</f>
        <v>3495.8585322085846</v>
      </c>
      <c r="D37" s="641">
        <f>IF(D29=0,0,D12/D29)</f>
        <v>3431.5761906660091</v>
      </c>
      <c r="E37" s="641">
        <f>IF(E29=0,0,E12/E29)</f>
        <v>3399.7459970150594</v>
      </c>
    </row>
    <row r="38" spans="1:5" ht="26.1" customHeight="1" x14ac:dyDescent="0.25">
      <c r="A38" s="639">
        <v>6</v>
      </c>
      <c r="B38" s="640" t="s">
        <v>918</v>
      </c>
      <c r="C38" s="641">
        <f>IF(C30=0,0,C12/C30)</f>
        <v>12811.25036611955</v>
      </c>
      <c r="D38" s="641">
        <f>IF(D30=0,0,D12/D30)</f>
        <v>13292.13940520751</v>
      </c>
      <c r="E38" s="641">
        <f>IF(E30=0,0,E12/E30)</f>
        <v>13898.961576032152</v>
      </c>
    </row>
    <row r="39" spans="1:5" ht="26.1" customHeight="1" x14ac:dyDescent="0.25">
      <c r="A39" s="639">
        <v>7</v>
      </c>
      <c r="B39" s="640" t="s">
        <v>919</v>
      </c>
      <c r="C39" s="641">
        <f>IF(C22=0,0,C10/C22)</f>
        <v>1360.7578445421659</v>
      </c>
      <c r="D39" s="641">
        <f>IF(D22=0,0,D10/D22)</f>
        <v>1333.4331930388951</v>
      </c>
      <c r="E39" s="641">
        <f>IF(E22=0,0,E10/E22)</f>
        <v>1335.3235077075456</v>
      </c>
    </row>
    <row r="40" spans="1:5" ht="26.1" customHeight="1" x14ac:dyDescent="0.25">
      <c r="A40" s="639">
        <v>8</v>
      </c>
      <c r="B40" s="640" t="s">
        <v>920</v>
      </c>
      <c r="C40" s="641">
        <f>IF(C23=0,0,C10/C23)</f>
        <v>4986.7605549464815</v>
      </c>
      <c r="D40" s="641">
        <f>IF(D23=0,0,D10/D23)</f>
        <v>5165.0258961506588</v>
      </c>
      <c r="E40" s="641">
        <f>IF(E23=0,0,E10/E23)</f>
        <v>5459.1166932749647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921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922</v>
      </c>
      <c r="C43" s="641">
        <f>IF(C19=0,0,C13/C19)</f>
        <v>3848.5278384798098</v>
      </c>
      <c r="D43" s="641">
        <f>IF(D19=0,0,D13/D19)</f>
        <v>4039.6766524932355</v>
      </c>
      <c r="E43" s="641">
        <f>IF(E19=0,0,E13/E19)</f>
        <v>4169.9139568345327</v>
      </c>
    </row>
    <row r="44" spans="1:5" ht="26.1" customHeight="1" x14ac:dyDescent="0.25">
      <c r="A44" s="639">
        <v>2</v>
      </c>
      <c r="B44" s="640" t="s">
        <v>923</v>
      </c>
      <c r="C44" s="641">
        <f>IF(C20=0,0,C13/C20)</f>
        <v>14103.675313370473</v>
      </c>
      <c r="D44" s="641">
        <f>IF(D20=0,0,D13/D20)</f>
        <v>15647.603967808347</v>
      </c>
      <c r="E44" s="641">
        <f>IF(E20=0,0,E13/E20)</f>
        <v>17047.589411764708</v>
      </c>
    </row>
    <row r="45" spans="1:5" ht="26.1" customHeight="1" x14ac:dyDescent="0.25">
      <c r="A45" s="639">
        <v>3</v>
      </c>
      <c r="B45" s="640" t="s">
        <v>924</v>
      </c>
      <c r="C45" s="641">
        <f>IF(C22=0,0,C13/C22)</f>
        <v>1479.5851855180108</v>
      </c>
      <c r="D45" s="641">
        <f>IF(D22=0,0,D13/D22)</f>
        <v>1538.8227537987684</v>
      </c>
      <c r="E45" s="641">
        <f>IF(E22=0,0,E13/E22)</f>
        <v>1579.8732628104196</v>
      </c>
    </row>
    <row r="46" spans="1:5" ht="26.1" customHeight="1" x14ac:dyDescent="0.25">
      <c r="A46" s="639">
        <v>4</v>
      </c>
      <c r="B46" s="640" t="s">
        <v>925</v>
      </c>
      <c r="C46" s="641">
        <f>IF(C23=0,0,C13/C23)</f>
        <v>5422.2263501312891</v>
      </c>
      <c r="D46" s="641">
        <f>IF(D23=0,0,D13/D23)</f>
        <v>5960.598112038052</v>
      </c>
      <c r="E46" s="641">
        <f>IF(E23=0,0,E13/E23)</f>
        <v>6458.8936332543617</v>
      </c>
    </row>
    <row r="47" spans="1:5" ht="26.1" customHeight="1" x14ac:dyDescent="0.25">
      <c r="A47" s="639">
        <v>5</v>
      </c>
      <c r="B47" s="640" t="s">
        <v>926</v>
      </c>
      <c r="C47" s="641">
        <f>IF(C29=0,0,C13/C29)</f>
        <v>1461.3637125928146</v>
      </c>
      <c r="D47" s="641">
        <f>IF(D29=0,0,D13/D29)</f>
        <v>1508.5266209396625</v>
      </c>
      <c r="E47" s="641">
        <f>IF(E29=0,0,E13/E29)</f>
        <v>1523.9733813109749</v>
      </c>
    </row>
    <row r="48" spans="1:5" ht="26.1" customHeight="1" x14ac:dyDescent="0.25">
      <c r="A48" s="639">
        <v>6</v>
      </c>
      <c r="B48" s="640" t="s">
        <v>927</v>
      </c>
      <c r="C48" s="641">
        <f>IF(C30=0,0,C13/C30)</f>
        <v>5355.4502350415642</v>
      </c>
      <c r="D48" s="641">
        <f>IF(D30=0,0,D13/D30)</f>
        <v>5843.246667970664</v>
      </c>
      <c r="E48" s="641">
        <f>IF(E30=0,0,E13/E30)</f>
        <v>6230.3617647713372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928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929</v>
      </c>
      <c r="C51" s="641">
        <f>IF(C19=0,0,C16/C19)</f>
        <v>3966.1346318289784</v>
      </c>
      <c r="D51" s="641">
        <f>IF(D19=0,0,D16/D19)</f>
        <v>4126.4571414766142</v>
      </c>
      <c r="E51" s="641">
        <f>IF(E19=0,0,E16/E19)</f>
        <v>4388.5764028776975</v>
      </c>
    </row>
    <row r="52" spans="1:6" ht="26.1" customHeight="1" x14ac:dyDescent="0.25">
      <c r="A52" s="639">
        <v>2</v>
      </c>
      <c r="B52" s="640" t="s">
        <v>930</v>
      </c>
      <c r="C52" s="641">
        <f>IF(C20=0,0,C16/C20)</f>
        <v>14534.668175487464</v>
      </c>
      <c r="D52" s="641">
        <f>IF(D20=0,0,D16/D20)</f>
        <v>15983.746397155157</v>
      </c>
      <c r="E52" s="641">
        <f>IF(E20=0,0,E16/E20)</f>
        <v>17941.532941176472</v>
      </c>
    </row>
    <row r="53" spans="1:6" ht="26.1" customHeight="1" x14ac:dyDescent="0.25">
      <c r="A53" s="639">
        <v>3</v>
      </c>
      <c r="B53" s="640" t="s">
        <v>931</v>
      </c>
      <c r="C53" s="641">
        <f>IF(C22=0,0,C16/C22)</f>
        <v>1524.799687389574</v>
      </c>
      <c r="D53" s="641">
        <f>IF(D22=0,0,D16/D22)</f>
        <v>1571.8798032908328</v>
      </c>
      <c r="E53" s="641">
        <f>IF(E22=0,0,E16/E22)</f>
        <v>1662.7188456354829</v>
      </c>
    </row>
    <row r="54" spans="1:6" ht="26.1" customHeight="1" x14ac:dyDescent="0.25">
      <c r="A54" s="639">
        <v>4</v>
      </c>
      <c r="B54" s="640" t="s">
        <v>932</v>
      </c>
      <c r="C54" s="641">
        <f>IF(C23=0,0,C16/C23)</f>
        <v>5587.9236454649244</v>
      </c>
      <c r="D54" s="641">
        <f>IF(D23=0,0,D16/D23)</f>
        <v>6088.643909583956</v>
      </c>
      <c r="E54" s="641">
        <f>IF(E23=0,0,E16/E23)</f>
        <v>6797.5858689215329</v>
      </c>
    </row>
    <row r="55" spans="1:6" ht="26.1" customHeight="1" x14ac:dyDescent="0.25">
      <c r="A55" s="639">
        <v>5</v>
      </c>
      <c r="B55" s="640" t="s">
        <v>933</v>
      </c>
      <c r="C55" s="641">
        <f>IF(C29=0,0,C16/C29)</f>
        <v>1506.0213862197163</v>
      </c>
      <c r="D55" s="641">
        <f>IF(D29=0,0,D16/D29)</f>
        <v>1540.9328477421941</v>
      </c>
      <c r="E55" s="641">
        <f>IF(E29=0,0,E16/E29)</f>
        <v>1603.8876794743589</v>
      </c>
    </row>
    <row r="56" spans="1:6" ht="26.1" customHeight="1" x14ac:dyDescent="0.25">
      <c r="A56" s="639">
        <v>6</v>
      </c>
      <c r="B56" s="640" t="s">
        <v>934</v>
      </c>
      <c r="C56" s="641">
        <f>IF(C30=0,0,C16/C30)</f>
        <v>5519.1069254744125</v>
      </c>
      <c r="D56" s="641">
        <f>IF(D30=0,0,D16/D30)</f>
        <v>5968.7715172884991</v>
      </c>
      <c r="E56" s="641">
        <f>IF(E30=0,0,E16/E30)</f>
        <v>6557.0702190275251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935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936</v>
      </c>
      <c r="C59" s="649">
        <v>12315908</v>
      </c>
      <c r="D59" s="649">
        <v>15137005</v>
      </c>
      <c r="E59" s="649">
        <v>12409863</v>
      </c>
    </row>
    <row r="60" spans="1:6" ht="26.1" customHeight="1" x14ac:dyDescent="0.25">
      <c r="A60" s="639">
        <v>2</v>
      </c>
      <c r="B60" s="640" t="s">
        <v>937</v>
      </c>
      <c r="C60" s="649">
        <v>4171693</v>
      </c>
      <c r="D60" s="649">
        <v>5158691</v>
      </c>
      <c r="E60" s="649">
        <v>4602323</v>
      </c>
    </row>
    <row r="61" spans="1:6" ht="26.1" customHeight="1" x14ac:dyDescent="0.25">
      <c r="A61" s="650">
        <v>3</v>
      </c>
      <c r="B61" s="651" t="s">
        <v>938</v>
      </c>
      <c r="C61" s="652">
        <f>C59+C60</f>
        <v>16487601</v>
      </c>
      <c r="D61" s="652">
        <f>D59+D60</f>
        <v>20295696</v>
      </c>
      <c r="E61" s="652">
        <f>E59+E60</f>
        <v>17012186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939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940</v>
      </c>
      <c r="C64" s="641">
        <v>2978184</v>
      </c>
      <c r="D64" s="641">
        <v>127711</v>
      </c>
      <c r="E64" s="649">
        <v>887642</v>
      </c>
      <c r="F64" s="653"/>
    </row>
    <row r="65" spans="1:6" ht="26.1" customHeight="1" x14ac:dyDescent="0.25">
      <c r="A65" s="639">
        <v>2</v>
      </c>
      <c r="B65" s="640" t="s">
        <v>941</v>
      </c>
      <c r="C65" s="649">
        <v>1137734</v>
      </c>
      <c r="D65" s="649">
        <v>43524</v>
      </c>
      <c r="E65" s="649">
        <v>329191</v>
      </c>
      <c r="F65" s="653"/>
    </row>
    <row r="66" spans="1:6" ht="26.1" customHeight="1" x14ac:dyDescent="0.25">
      <c r="A66" s="650">
        <v>3</v>
      </c>
      <c r="B66" s="651" t="s">
        <v>942</v>
      </c>
      <c r="C66" s="654">
        <f>C64+C65</f>
        <v>4115918</v>
      </c>
      <c r="D66" s="654">
        <f>D64+D65</f>
        <v>171235</v>
      </c>
      <c r="E66" s="654">
        <f>E64+E65</f>
        <v>1216833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943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944</v>
      </c>
      <c r="C69" s="649">
        <v>21514168</v>
      </c>
      <c r="D69" s="649">
        <v>21833969</v>
      </c>
      <c r="E69" s="649">
        <v>26003628</v>
      </c>
    </row>
    <row r="70" spans="1:6" ht="26.1" customHeight="1" x14ac:dyDescent="0.25">
      <c r="A70" s="639">
        <v>2</v>
      </c>
      <c r="B70" s="640" t="s">
        <v>945</v>
      </c>
      <c r="C70" s="649">
        <v>7332066</v>
      </c>
      <c r="D70" s="649">
        <v>7444319</v>
      </c>
      <c r="E70" s="649">
        <v>9643709</v>
      </c>
    </row>
    <row r="71" spans="1:6" ht="26.1" customHeight="1" x14ac:dyDescent="0.25">
      <c r="A71" s="650">
        <v>3</v>
      </c>
      <c r="B71" s="651" t="s">
        <v>946</v>
      </c>
      <c r="C71" s="652">
        <f>C69+C70</f>
        <v>28846234</v>
      </c>
      <c r="D71" s="652">
        <f>D69+D70</f>
        <v>29278288</v>
      </c>
      <c r="E71" s="652">
        <f>E69+E70</f>
        <v>35647337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947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948</v>
      </c>
      <c r="C75" s="641">
        <f t="shared" ref="C75:E76" si="0">+C59+C64+C69</f>
        <v>36808260</v>
      </c>
      <c r="D75" s="641">
        <f t="shared" si="0"/>
        <v>37098685</v>
      </c>
      <c r="E75" s="641">
        <f t="shared" si="0"/>
        <v>39301133</v>
      </c>
    </row>
    <row r="76" spans="1:6" ht="26.1" customHeight="1" x14ac:dyDescent="0.25">
      <c r="A76" s="639">
        <v>2</v>
      </c>
      <c r="B76" s="640" t="s">
        <v>949</v>
      </c>
      <c r="C76" s="641">
        <f t="shared" si="0"/>
        <v>12641493</v>
      </c>
      <c r="D76" s="641">
        <f t="shared" si="0"/>
        <v>12646534</v>
      </c>
      <c r="E76" s="641">
        <f t="shared" si="0"/>
        <v>14575223</v>
      </c>
    </row>
    <row r="77" spans="1:6" ht="26.1" customHeight="1" x14ac:dyDescent="0.25">
      <c r="A77" s="650">
        <v>3</v>
      </c>
      <c r="B77" s="651" t="s">
        <v>947</v>
      </c>
      <c r="C77" s="654">
        <f>C75+C76</f>
        <v>49449753</v>
      </c>
      <c r="D77" s="654">
        <f>D75+D76</f>
        <v>49745219</v>
      </c>
      <c r="E77" s="654">
        <f>E75+E76</f>
        <v>53876356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950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577</v>
      </c>
      <c r="C80" s="646">
        <v>180.8</v>
      </c>
      <c r="D80" s="646">
        <v>219</v>
      </c>
      <c r="E80" s="646">
        <v>215.4</v>
      </c>
    </row>
    <row r="81" spans="1:5" ht="26.1" customHeight="1" x14ac:dyDescent="0.25">
      <c r="A81" s="639">
        <v>2</v>
      </c>
      <c r="B81" s="640" t="s">
        <v>578</v>
      </c>
      <c r="C81" s="646">
        <v>4.7</v>
      </c>
      <c r="D81" s="646">
        <v>1.1000000000000001</v>
      </c>
      <c r="E81" s="646">
        <v>4.5</v>
      </c>
    </row>
    <row r="82" spans="1:5" ht="26.1" customHeight="1" x14ac:dyDescent="0.25">
      <c r="A82" s="639">
        <v>3</v>
      </c>
      <c r="B82" s="640" t="s">
        <v>951</v>
      </c>
      <c r="C82" s="646">
        <v>409.3</v>
      </c>
      <c r="D82" s="646">
        <v>387.9</v>
      </c>
      <c r="E82" s="646">
        <v>383.5</v>
      </c>
    </row>
    <row r="83" spans="1:5" ht="26.1" customHeight="1" x14ac:dyDescent="0.25">
      <c r="A83" s="650">
        <v>4</v>
      </c>
      <c r="B83" s="651" t="s">
        <v>950</v>
      </c>
      <c r="C83" s="656">
        <f>C80+C81+C82</f>
        <v>594.79999999999995</v>
      </c>
      <c r="D83" s="656">
        <f>D80+D81+D82</f>
        <v>608</v>
      </c>
      <c r="E83" s="656">
        <f>E80+E81+E82</f>
        <v>603.4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952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953</v>
      </c>
      <c r="C86" s="649">
        <f>IF(C80=0,0,C59/C80)</f>
        <v>68118.960176991153</v>
      </c>
      <c r="D86" s="649">
        <f>IF(D80=0,0,D59/D80)</f>
        <v>69118.744292237447</v>
      </c>
      <c r="E86" s="649">
        <f>IF(E80=0,0,E59/E80)</f>
        <v>57613.105849582171</v>
      </c>
    </row>
    <row r="87" spans="1:5" ht="26.1" customHeight="1" x14ac:dyDescent="0.25">
      <c r="A87" s="639">
        <v>2</v>
      </c>
      <c r="B87" s="640" t="s">
        <v>954</v>
      </c>
      <c r="C87" s="649">
        <f>IF(C80=0,0,C60/C80)</f>
        <v>23073.523230088493</v>
      </c>
      <c r="D87" s="649">
        <f>IF(D80=0,0,D60/D80)</f>
        <v>23555.666666666668</v>
      </c>
      <c r="E87" s="649">
        <f>IF(E80=0,0,E60/E80)</f>
        <v>21366.402042711234</v>
      </c>
    </row>
    <row r="88" spans="1:5" ht="26.1" customHeight="1" x14ac:dyDescent="0.25">
      <c r="A88" s="650">
        <v>3</v>
      </c>
      <c r="B88" s="651" t="s">
        <v>955</v>
      </c>
      <c r="C88" s="652">
        <f>+C86+C87</f>
        <v>91192.48340707965</v>
      </c>
      <c r="D88" s="652">
        <f>+D86+D87</f>
        <v>92674.410958904118</v>
      </c>
      <c r="E88" s="652">
        <f>+E86+E87</f>
        <v>78979.507892293404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575</v>
      </c>
      <c r="B90" s="642" t="s">
        <v>956</v>
      </c>
    </row>
    <row r="91" spans="1:5" ht="26.1" customHeight="1" x14ac:dyDescent="0.25">
      <c r="A91" s="639">
        <v>1</v>
      </c>
      <c r="B91" s="640" t="s">
        <v>957</v>
      </c>
      <c r="C91" s="641">
        <f>IF(C81=0,0,C64/C81)</f>
        <v>633656.17021276592</v>
      </c>
      <c r="D91" s="641">
        <f>IF(D81=0,0,D64/D81)</f>
        <v>116100.90909090909</v>
      </c>
      <c r="E91" s="641">
        <f>IF(E81=0,0,E64/E81)</f>
        <v>197253.77777777778</v>
      </c>
    </row>
    <row r="92" spans="1:5" ht="26.1" customHeight="1" x14ac:dyDescent="0.25">
      <c r="A92" s="639">
        <v>2</v>
      </c>
      <c r="B92" s="640" t="s">
        <v>958</v>
      </c>
      <c r="C92" s="641">
        <f>IF(C81=0,0,C65/C81)</f>
        <v>242071.06382978722</v>
      </c>
      <c r="D92" s="641">
        <f>IF(D81=0,0,D65/D81)</f>
        <v>39567.272727272721</v>
      </c>
      <c r="E92" s="641">
        <f>IF(E81=0,0,E65/E81)</f>
        <v>73153.555555555562</v>
      </c>
    </row>
    <row r="93" spans="1:5" ht="26.1" customHeight="1" x14ac:dyDescent="0.25">
      <c r="A93" s="650">
        <v>3</v>
      </c>
      <c r="B93" s="651" t="s">
        <v>959</v>
      </c>
      <c r="C93" s="654">
        <f>+C91+C92</f>
        <v>875727.23404255311</v>
      </c>
      <c r="D93" s="654">
        <f>+D91+D92</f>
        <v>155668.18181818182</v>
      </c>
      <c r="E93" s="654">
        <f>+E91+E92</f>
        <v>270407.33333333337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960</v>
      </c>
      <c r="B95" s="642" t="s">
        <v>961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962</v>
      </c>
      <c r="C96" s="649">
        <f>IF(C82=0,0,C69/C82)</f>
        <v>52563.322746151964</v>
      </c>
      <c r="D96" s="649">
        <f>IF(D82=0,0,D69/D82)</f>
        <v>56287.623098736789</v>
      </c>
      <c r="E96" s="649">
        <f>IF(E82=0,0,E69/E82)</f>
        <v>67806.070404172104</v>
      </c>
    </row>
    <row r="97" spans="1:5" ht="26.1" customHeight="1" x14ac:dyDescent="0.25">
      <c r="A97" s="639">
        <v>2</v>
      </c>
      <c r="B97" s="640" t="s">
        <v>963</v>
      </c>
      <c r="C97" s="649">
        <f>IF(C82=0,0,C70/C82)</f>
        <v>17913.672123137061</v>
      </c>
      <c r="D97" s="649">
        <f>IF(D82=0,0,D70/D82)</f>
        <v>19191.335395720547</v>
      </c>
      <c r="E97" s="649">
        <f>IF(E82=0,0,E70/E82)</f>
        <v>25146.568448500653</v>
      </c>
    </row>
    <row r="98" spans="1:5" ht="26.1" customHeight="1" x14ac:dyDescent="0.25">
      <c r="A98" s="650">
        <v>3</v>
      </c>
      <c r="B98" s="651" t="s">
        <v>964</v>
      </c>
      <c r="C98" s="654">
        <f>+C96+C97</f>
        <v>70476.994869289018</v>
      </c>
      <c r="D98" s="654">
        <f>+D96+D97</f>
        <v>75478.958494457329</v>
      </c>
      <c r="E98" s="654">
        <f>+E96+E97</f>
        <v>92952.638852672753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965</v>
      </c>
      <c r="B100" s="642" t="s">
        <v>966</v>
      </c>
    </row>
    <row r="101" spans="1:5" ht="26.1" customHeight="1" x14ac:dyDescent="0.25">
      <c r="A101" s="639">
        <v>1</v>
      </c>
      <c r="B101" s="640" t="s">
        <v>967</v>
      </c>
      <c r="C101" s="641">
        <f>IF(C83=0,0,C75/C83)</f>
        <v>61883.422999327508</v>
      </c>
      <c r="D101" s="641">
        <f>IF(D83=0,0,D75/D83)</f>
        <v>61017.574013157893</v>
      </c>
      <c r="E101" s="641">
        <f>IF(E83=0,0,E75/E83)</f>
        <v>65132.802452767653</v>
      </c>
    </row>
    <row r="102" spans="1:5" ht="26.1" customHeight="1" x14ac:dyDescent="0.25">
      <c r="A102" s="639">
        <v>2</v>
      </c>
      <c r="B102" s="640" t="s">
        <v>968</v>
      </c>
      <c r="C102" s="658">
        <f>IF(C83=0,0,C76/C83)</f>
        <v>21253.350706119705</v>
      </c>
      <c r="D102" s="658">
        <f>IF(D83=0,0,D76/D83)</f>
        <v>20800.220394736843</v>
      </c>
      <c r="E102" s="658">
        <f>IF(E83=0,0,E76/E83)</f>
        <v>24155.159098442164</v>
      </c>
    </row>
    <row r="103" spans="1:5" ht="26.1" customHeight="1" x14ac:dyDescent="0.25">
      <c r="A103" s="650">
        <v>3</v>
      </c>
      <c r="B103" s="651" t="s">
        <v>966</v>
      </c>
      <c r="C103" s="654">
        <f>+C101+C102</f>
        <v>83136.773705447209</v>
      </c>
      <c r="D103" s="654">
        <f>+D101+D102</f>
        <v>81817.794407894733</v>
      </c>
      <c r="E103" s="654">
        <f>+E101+E102</f>
        <v>89287.961551209824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969</v>
      </c>
      <c r="B107" s="634" t="s">
        <v>970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971</v>
      </c>
      <c r="C108" s="641">
        <f>IF(C19=0,0,C77/C19)</f>
        <v>2349.1569121140142</v>
      </c>
      <c r="D108" s="641">
        <f>IF(D19=0,0,D77/D19)</f>
        <v>2403.6151430228065</v>
      </c>
      <c r="E108" s="641">
        <f>IF(E19=0,0,E77/E19)</f>
        <v>2583.9978896882494</v>
      </c>
    </row>
    <row r="109" spans="1:5" ht="26.1" customHeight="1" x14ac:dyDescent="0.25">
      <c r="A109" s="639">
        <v>2</v>
      </c>
      <c r="B109" s="640" t="s">
        <v>972</v>
      </c>
      <c r="C109" s="641">
        <f>IF(C20=0,0,C77/C20)</f>
        <v>8608.9402855153203</v>
      </c>
      <c r="D109" s="641">
        <f>IF(D20=0,0,D77/D20)</f>
        <v>9310.3535466966132</v>
      </c>
      <c r="E109" s="641">
        <f>IF(E20=0,0,E77/E20)</f>
        <v>10563.991372549019</v>
      </c>
    </row>
    <row r="110" spans="1:5" ht="26.1" customHeight="1" x14ac:dyDescent="0.25">
      <c r="A110" s="639">
        <v>3</v>
      </c>
      <c r="B110" s="640" t="s">
        <v>973</v>
      </c>
      <c r="C110" s="641">
        <f>IF(C22=0,0,C77/C22)</f>
        <v>903.14476378949178</v>
      </c>
      <c r="D110" s="641">
        <f>IF(D22=0,0,D77/D22)</f>
        <v>915.60240871654003</v>
      </c>
      <c r="E110" s="641">
        <f>IF(E22=0,0,E77/E22)</f>
        <v>979.01041108676475</v>
      </c>
    </row>
    <row r="111" spans="1:5" ht="26.1" customHeight="1" x14ac:dyDescent="0.25">
      <c r="A111" s="639">
        <v>4</v>
      </c>
      <c r="B111" s="640" t="s">
        <v>974</v>
      </c>
      <c r="C111" s="641">
        <f>IF(C23=0,0,C77/C23)</f>
        <v>3309.7488296951251</v>
      </c>
      <c r="D111" s="641">
        <f>IF(D23=0,0,D77/D23)</f>
        <v>3546.566994347279</v>
      </c>
      <c r="E111" s="641">
        <f>IF(E23=0,0,E77/E23)</f>
        <v>4002.4249159135375</v>
      </c>
    </row>
    <row r="112" spans="1:5" ht="26.1" customHeight="1" x14ac:dyDescent="0.25">
      <c r="A112" s="639">
        <v>5</v>
      </c>
      <c r="B112" s="640" t="s">
        <v>975</v>
      </c>
      <c r="C112" s="641">
        <f>IF(C29=0,0,C77/C29)</f>
        <v>892.02230323635945</v>
      </c>
      <c r="D112" s="641">
        <f>IF(D29=0,0,D77/D29)</f>
        <v>897.57615315714168</v>
      </c>
      <c r="E112" s="641">
        <f>IF(E29=0,0,E77/E29)</f>
        <v>944.37056543919653</v>
      </c>
    </row>
    <row r="113" spans="1:7" ht="25.5" customHeight="1" x14ac:dyDescent="0.25">
      <c r="A113" s="639">
        <v>6</v>
      </c>
      <c r="B113" s="640" t="s">
        <v>976</v>
      </c>
      <c r="C113" s="641">
        <f>IF(C30=0,0,C77/C30)</f>
        <v>3268.9884197641654</v>
      </c>
      <c r="D113" s="641">
        <f>IF(D30=0,0,D77/D30)</f>
        <v>3476.7426662437215</v>
      </c>
      <c r="E113" s="641">
        <f>IF(E30=0,0,E77/E30)</f>
        <v>3860.8090763543614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FILING&amp;R&amp;12WINDHAM COMMUNITY MEMORIAL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3" sqref="A3"/>
    </sheetView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190183873</v>
      </c>
      <c r="D12" s="51">
        <v>193955564</v>
      </c>
      <c r="E12" s="51">
        <f t="shared" ref="E12:E19" si="0">D12-C12</f>
        <v>3771691</v>
      </c>
      <c r="F12" s="70">
        <f t="shared" ref="F12:F19" si="1">IF(C12=0,0,E12/C12)</f>
        <v>1.9831812973963359E-2</v>
      </c>
    </row>
    <row r="13" spans="1:8" ht="23.1" customHeight="1" x14ac:dyDescent="0.2">
      <c r="A13" s="25">
        <v>2</v>
      </c>
      <c r="B13" s="48" t="s">
        <v>72</v>
      </c>
      <c r="C13" s="51">
        <v>104418812</v>
      </c>
      <c r="D13" s="51">
        <v>104466765</v>
      </c>
      <c r="E13" s="51">
        <f t="shared" si="0"/>
        <v>47953</v>
      </c>
      <c r="F13" s="70">
        <f t="shared" si="1"/>
        <v>4.5923717270409092E-4</v>
      </c>
    </row>
    <row r="14" spans="1:8" ht="23.1" customHeight="1" x14ac:dyDescent="0.2">
      <c r="A14" s="25">
        <v>3</v>
      </c>
      <c r="B14" s="48" t="s">
        <v>73</v>
      </c>
      <c r="C14" s="51">
        <v>2159913</v>
      </c>
      <c r="D14" s="51">
        <v>2546093</v>
      </c>
      <c r="E14" s="51">
        <f t="shared" si="0"/>
        <v>386180</v>
      </c>
      <c r="F14" s="70">
        <f t="shared" si="1"/>
        <v>0.17879423847164214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83605148</v>
      </c>
      <c r="D16" s="27">
        <f>D12-D13-D14-D15</f>
        <v>86942706</v>
      </c>
      <c r="E16" s="27">
        <f t="shared" si="0"/>
        <v>3337558</v>
      </c>
      <c r="F16" s="28">
        <f t="shared" si="1"/>
        <v>3.9920484322329051E-2</v>
      </c>
    </row>
    <row r="17" spans="1:7" ht="23.1" customHeight="1" x14ac:dyDescent="0.2">
      <c r="A17" s="25">
        <v>5</v>
      </c>
      <c r="B17" s="48" t="s">
        <v>76</v>
      </c>
      <c r="C17" s="51">
        <v>2401877</v>
      </c>
      <c r="D17" s="51">
        <v>2622664</v>
      </c>
      <c r="E17" s="51">
        <f t="shared" si="0"/>
        <v>220787</v>
      </c>
      <c r="F17" s="70">
        <f t="shared" si="1"/>
        <v>9.1922692127864997E-2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86007025</v>
      </c>
      <c r="D19" s="27">
        <f>SUM(D16:D18)</f>
        <v>89565370</v>
      </c>
      <c r="E19" s="27">
        <f t="shared" si="0"/>
        <v>3558345</v>
      </c>
      <c r="F19" s="28">
        <f t="shared" si="1"/>
        <v>4.137272507681785E-2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37098685</v>
      </c>
      <c r="D22" s="51">
        <v>39301133</v>
      </c>
      <c r="E22" s="51">
        <f t="shared" ref="E22:E31" si="2">D22-C22</f>
        <v>2202448</v>
      </c>
      <c r="F22" s="70">
        <f t="shared" ref="F22:F31" si="3">IF(C22=0,0,E22/C22)</f>
        <v>5.9367279460174935E-2</v>
      </c>
    </row>
    <row r="23" spans="1:7" ht="23.1" customHeight="1" x14ac:dyDescent="0.2">
      <c r="A23" s="25">
        <v>2</v>
      </c>
      <c r="B23" s="48" t="s">
        <v>81</v>
      </c>
      <c r="C23" s="51">
        <v>12646534</v>
      </c>
      <c r="D23" s="51">
        <v>14575223</v>
      </c>
      <c r="E23" s="51">
        <f t="shared" si="2"/>
        <v>1928689</v>
      </c>
      <c r="F23" s="70">
        <f t="shared" si="3"/>
        <v>0.15250731939676121</v>
      </c>
    </row>
    <row r="24" spans="1:7" ht="23.1" customHeight="1" x14ac:dyDescent="0.2">
      <c r="A24" s="25">
        <v>3</v>
      </c>
      <c r="B24" s="48" t="s">
        <v>82</v>
      </c>
      <c r="C24" s="51">
        <v>910707</v>
      </c>
      <c r="D24" s="51">
        <v>932425</v>
      </c>
      <c r="E24" s="51">
        <f t="shared" si="2"/>
        <v>21718</v>
      </c>
      <c r="F24" s="70">
        <f t="shared" si="3"/>
        <v>2.3847406465526234E-2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9286201</v>
      </c>
      <c r="D25" s="51">
        <v>7995028</v>
      </c>
      <c r="E25" s="51">
        <f t="shared" si="2"/>
        <v>-1291173</v>
      </c>
      <c r="F25" s="70">
        <f t="shared" si="3"/>
        <v>-0.13904211205421893</v>
      </c>
    </row>
    <row r="26" spans="1:7" ht="23.1" customHeight="1" x14ac:dyDescent="0.2">
      <c r="A26" s="25">
        <v>5</v>
      </c>
      <c r="B26" s="48" t="s">
        <v>84</v>
      </c>
      <c r="C26" s="51">
        <v>4418804</v>
      </c>
      <c r="D26" s="51">
        <v>4522902</v>
      </c>
      <c r="E26" s="51">
        <f t="shared" si="2"/>
        <v>104098</v>
      </c>
      <c r="F26" s="70">
        <f t="shared" si="3"/>
        <v>2.3557958216748241E-2</v>
      </c>
    </row>
    <row r="27" spans="1:7" ht="23.1" customHeight="1" x14ac:dyDescent="0.2">
      <c r="A27" s="25">
        <v>6</v>
      </c>
      <c r="B27" s="48" t="s">
        <v>85</v>
      </c>
      <c r="C27" s="51">
        <v>4595065</v>
      </c>
      <c r="D27" s="51">
        <v>5459445</v>
      </c>
      <c r="E27" s="51">
        <f t="shared" si="2"/>
        <v>864380</v>
      </c>
      <c r="F27" s="70">
        <f t="shared" si="3"/>
        <v>0.18811050550971531</v>
      </c>
    </row>
    <row r="28" spans="1:7" ht="23.1" customHeight="1" x14ac:dyDescent="0.2">
      <c r="A28" s="25">
        <v>7</v>
      </c>
      <c r="B28" s="48" t="s">
        <v>86</v>
      </c>
      <c r="C28" s="51">
        <v>1483430</v>
      </c>
      <c r="D28" s="51">
        <v>1557105</v>
      </c>
      <c r="E28" s="51">
        <f t="shared" si="2"/>
        <v>73675</v>
      </c>
      <c r="F28" s="70">
        <f t="shared" si="3"/>
        <v>4.9665302710609871E-2</v>
      </c>
    </row>
    <row r="29" spans="1:7" ht="23.1" customHeight="1" x14ac:dyDescent="0.2">
      <c r="A29" s="25">
        <v>8</v>
      </c>
      <c r="B29" s="48" t="s">
        <v>87</v>
      </c>
      <c r="C29" s="51">
        <v>980763</v>
      </c>
      <c r="D29" s="51">
        <v>635157</v>
      </c>
      <c r="E29" s="51">
        <f t="shared" si="2"/>
        <v>-345606</v>
      </c>
      <c r="F29" s="70">
        <f t="shared" si="3"/>
        <v>-0.35238482691537099</v>
      </c>
    </row>
    <row r="30" spans="1:7" ht="23.1" customHeight="1" x14ac:dyDescent="0.2">
      <c r="A30" s="25">
        <v>9</v>
      </c>
      <c r="B30" s="48" t="s">
        <v>88</v>
      </c>
      <c r="C30" s="51">
        <v>13980968</v>
      </c>
      <c r="D30" s="51">
        <v>16523400</v>
      </c>
      <c r="E30" s="51">
        <f t="shared" si="2"/>
        <v>2542432</v>
      </c>
      <c r="F30" s="70">
        <f t="shared" si="3"/>
        <v>0.18184949711636561</v>
      </c>
    </row>
    <row r="31" spans="1:7" ht="23.1" customHeight="1" x14ac:dyDescent="0.25">
      <c r="A31" s="29"/>
      <c r="B31" s="71" t="s">
        <v>89</v>
      </c>
      <c r="C31" s="27">
        <f>SUM(C22:C30)</f>
        <v>85401157</v>
      </c>
      <c r="D31" s="27">
        <f>SUM(D22:D30)</f>
        <v>91501818</v>
      </c>
      <c r="E31" s="27">
        <f t="shared" si="2"/>
        <v>6100661</v>
      </c>
      <c r="F31" s="28">
        <f t="shared" si="3"/>
        <v>7.1435343668704632E-2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605868</v>
      </c>
      <c r="D33" s="27">
        <f>+D19-D31</f>
        <v>-1936448</v>
      </c>
      <c r="E33" s="27">
        <f>D33-C33</f>
        <v>-2542316</v>
      </c>
      <c r="F33" s="28">
        <f>IF(C33=0,0,E33/C33)</f>
        <v>-4.1961549380393093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152507</v>
      </c>
      <c r="D36" s="51">
        <v>96303</v>
      </c>
      <c r="E36" s="51">
        <f>D36-C36</f>
        <v>-56204</v>
      </c>
      <c r="F36" s="70">
        <f>IF(C36=0,0,E36/C36)</f>
        <v>-0.36853390336181291</v>
      </c>
    </row>
    <row r="37" spans="1:6" ht="23.1" customHeight="1" x14ac:dyDescent="0.2">
      <c r="A37" s="44">
        <v>2</v>
      </c>
      <c r="B37" s="48" t="s">
        <v>93</v>
      </c>
      <c r="C37" s="51">
        <v>205897</v>
      </c>
      <c r="D37" s="51">
        <v>252482</v>
      </c>
      <c r="E37" s="51">
        <f>D37-C37</f>
        <v>46585</v>
      </c>
      <c r="F37" s="70">
        <f>IF(C37=0,0,E37/C37)</f>
        <v>0.22625390365085454</v>
      </c>
    </row>
    <row r="38" spans="1:6" ht="23.1" customHeight="1" x14ac:dyDescent="0.2">
      <c r="A38" s="44">
        <v>3</v>
      </c>
      <c r="B38" s="48" t="s">
        <v>94</v>
      </c>
      <c r="C38" s="51">
        <v>-2151268</v>
      </c>
      <c r="D38" s="51">
        <v>-95417</v>
      </c>
      <c r="E38" s="51">
        <f>D38-C38</f>
        <v>2055851</v>
      </c>
      <c r="F38" s="70">
        <f>IF(C38=0,0,E38/C38)</f>
        <v>-0.95564615845166667</v>
      </c>
    </row>
    <row r="39" spans="1:6" ht="23.1" customHeight="1" x14ac:dyDescent="0.25">
      <c r="A39" s="20"/>
      <c r="B39" s="71" t="s">
        <v>95</v>
      </c>
      <c r="C39" s="27">
        <f>SUM(C36:C38)</f>
        <v>-1792864</v>
      </c>
      <c r="D39" s="27">
        <f>SUM(D36:D38)</f>
        <v>253368</v>
      </c>
      <c r="E39" s="27">
        <f>D39-C39</f>
        <v>2046232</v>
      </c>
      <c r="F39" s="28">
        <f>IF(C39=0,0,E39/C39)</f>
        <v>-1.1413202563049958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-1186996</v>
      </c>
      <c r="D41" s="27">
        <f>D33+D39</f>
        <v>-1683080</v>
      </c>
      <c r="E41" s="27">
        <f>D41-C41</f>
        <v>-496084</v>
      </c>
      <c r="F41" s="28">
        <f>IF(C41=0,0,E41/C41)</f>
        <v>0.4179323266464251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1992</v>
      </c>
      <c r="D44" s="51">
        <v>20260</v>
      </c>
      <c r="E44" s="51">
        <f>D44-C44</f>
        <v>18268</v>
      </c>
      <c r="F44" s="70">
        <f>IF(C44=0,0,E44/C44)</f>
        <v>9.1706827309236942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1992</v>
      </c>
      <c r="D46" s="27">
        <f>SUM(D44:D45)</f>
        <v>20260</v>
      </c>
      <c r="E46" s="27">
        <f>D46-C46</f>
        <v>18268</v>
      </c>
      <c r="F46" s="28">
        <f>IF(C46=0,0,E46/C46)</f>
        <v>9.1706827309236942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-1185004</v>
      </c>
      <c r="D48" s="27">
        <f>D41+D46</f>
        <v>-1662820</v>
      </c>
      <c r="E48" s="27">
        <f>D48-C48</f>
        <v>-477816</v>
      </c>
      <c r="F48" s="28">
        <f>IF(C48=0,0,E48/C48)</f>
        <v>0.403218892088128</v>
      </c>
    </row>
    <row r="49" spans="1:6" ht="23.1" customHeight="1" x14ac:dyDescent="0.2">
      <c r="A49" s="44"/>
      <c r="B49" s="48" t="s">
        <v>102</v>
      </c>
      <c r="C49" s="51">
        <v>1681042</v>
      </c>
      <c r="D49" s="51">
        <v>886449</v>
      </c>
      <c r="E49" s="51">
        <f>D49-C49</f>
        <v>-794593</v>
      </c>
      <c r="F49" s="70">
        <f>IF(C49=0,0,E49/C49)</f>
        <v>-0.47267885037970497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FILING&amp;RWINDHAM COMMUNITY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A3" sqref="A3:F3"/>
    </sheetView>
  </sheetViews>
  <sheetFormatPr defaultRowHeight="18" customHeight="1" x14ac:dyDescent="0.25"/>
  <cols>
    <col min="1" max="1" width="6.28515625" style="75" customWidth="1"/>
    <col min="2" max="2" width="66.570312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38791771</v>
      </c>
      <c r="D14" s="97">
        <v>38718930</v>
      </c>
      <c r="E14" s="97">
        <f t="shared" ref="E14:E25" si="0">D14-C14</f>
        <v>-72841</v>
      </c>
      <c r="F14" s="98">
        <f t="shared" ref="F14:F25" si="1">IF(C14=0,0,E14/C14)</f>
        <v>-1.8777436070139722E-3</v>
      </c>
    </row>
    <row r="15" spans="1:6" ht="18" customHeight="1" x14ac:dyDescent="0.25">
      <c r="A15" s="99">
        <v>2</v>
      </c>
      <c r="B15" s="100" t="s">
        <v>113</v>
      </c>
      <c r="C15" s="97">
        <v>2867764</v>
      </c>
      <c r="D15" s="97">
        <v>4682719</v>
      </c>
      <c r="E15" s="97">
        <f t="shared" si="0"/>
        <v>1814955</v>
      </c>
      <c r="F15" s="98">
        <f t="shared" si="1"/>
        <v>0.63288157602926876</v>
      </c>
    </row>
    <row r="16" spans="1:6" ht="18" customHeight="1" x14ac:dyDescent="0.25">
      <c r="A16" s="99">
        <v>3</v>
      </c>
      <c r="B16" s="100" t="s">
        <v>114</v>
      </c>
      <c r="C16" s="97">
        <v>5369993</v>
      </c>
      <c r="D16" s="97">
        <v>5417337</v>
      </c>
      <c r="E16" s="97">
        <f t="shared" si="0"/>
        <v>47344</v>
      </c>
      <c r="F16" s="98">
        <f t="shared" si="1"/>
        <v>8.8163988295701691E-3</v>
      </c>
    </row>
    <row r="17" spans="1:6" ht="18" customHeight="1" x14ac:dyDescent="0.25">
      <c r="A17" s="99">
        <v>4</v>
      </c>
      <c r="B17" s="100" t="s">
        <v>115</v>
      </c>
      <c r="C17" s="97">
        <v>3427253</v>
      </c>
      <c r="D17" s="97">
        <v>4618852</v>
      </c>
      <c r="E17" s="97">
        <f t="shared" si="0"/>
        <v>1191599</v>
      </c>
      <c r="F17" s="98">
        <f t="shared" si="1"/>
        <v>0.34768340709016815</v>
      </c>
    </row>
    <row r="18" spans="1:6" ht="18" customHeight="1" x14ac:dyDescent="0.25">
      <c r="A18" s="99">
        <v>5</v>
      </c>
      <c r="B18" s="100" t="s">
        <v>116</v>
      </c>
      <c r="C18" s="97">
        <v>176391</v>
      </c>
      <c r="D18" s="97">
        <v>136260</v>
      </c>
      <c r="E18" s="97">
        <f t="shared" si="0"/>
        <v>-40131</v>
      </c>
      <c r="F18" s="98">
        <f t="shared" si="1"/>
        <v>-0.22751160773508852</v>
      </c>
    </row>
    <row r="19" spans="1:6" ht="18" customHeight="1" x14ac:dyDescent="0.25">
      <c r="A19" s="99">
        <v>6</v>
      </c>
      <c r="B19" s="100" t="s">
        <v>117</v>
      </c>
      <c r="C19" s="97">
        <v>17563881</v>
      </c>
      <c r="D19" s="97">
        <v>16018356</v>
      </c>
      <c r="E19" s="97">
        <f t="shared" si="0"/>
        <v>-1545525</v>
      </c>
      <c r="F19" s="98">
        <f t="shared" si="1"/>
        <v>-8.7994504175927857E-2</v>
      </c>
    </row>
    <row r="20" spans="1:6" ht="18" customHeight="1" x14ac:dyDescent="0.25">
      <c r="A20" s="99">
        <v>7</v>
      </c>
      <c r="B20" s="100" t="s">
        <v>118</v>
      </c>
      <c r="C20" s="97">
        <v>0</v>
      </c>
      <c r="D20" s="97">
        <v>0</v>
      </c>
      <c r="E20" s="97">
        <f t="shared" si="0"/>
        <v>0</v>
      </c>
      <c r="F20" s="98">
        <f t="shared" si="1"/>
        <v>0</v>
      </c>
    </row>
    <row r="21" spans="1:6" ht="18" customHeight="1" x14ac:dyDescent="0.25">
      <c r="A21" s="99">
        <v>8</v>
      </c>
      <c r="B21" s="100" t="s">
        <v>119</v>
      </c>
      <c r="C21" s="97">
        <v>322444</v>
      </c>
      <c r="D21" s="97">
        <v>254774</v>
      </c>
      <c r="E21" s="97">
        <f t="shared" si="0"/>
        <v>-67670</v>
      </c>
      <c r="F21" s="98">
        <f t="shared" si="1"/>
        <v>-0.20986589919489895</v>
      </c>
    </row>
    <row r="22" spans="1:6" ht="18" customHeight="1" x14ac:dyDescent="0.25">
      <c r="A22" s="99">
        <v>9</v>
      </c>
      <c r="B22" s="100" t="s">
        <v>120</v>
      </c>
      <c r="C22" s="97">
        <v>921311</v>
      </c>
      <c r="D22" s="97">
        <v>1567998</v>
      </c>
      <c r="E22" s="97">
        <f t="shared" si="0"/>
        <v>646687</v>
      </c>
      <c r="F22" s="98">
        <f t="shared" si="1"/>
        <v>0.70192041558170915</v>
      </c>
    </row>
    <row r="23" spans="1:6" ht="18" customHeight="1" x14ac:dyDescent="0.25">
      <c r="A23" s="99">
        <v>10</v>
      </c>
      <c r="B23" s="100" t="s">
        <v>121</v>
      </c>
      <c r="C23" s="97">
        <v>2722254</v>
      </c>
      <c r="D23" s="97">
        <v>1854887</v>
      </c>
      <c r="E23" s="97">
        <f t="shared" si="0"/>
        <v>-867367</v>
      </c>
      <c r="F23" s="98">
        <f t="shared" si="1"/>
        <v>-0.31862089283365919</v>
      </c>
    </row>
    <row r="24" spans="1:6" ht="18" customHeight="1" x14ac:dyDescent="0.25">
      <c r="A24" s="99">
        <v>11</v>
      </c>
      <c r="B24" s="100" t="s">
        <v>122</v>
      </c>
      <c r="C24" s="97">
        <v>283149</v>
      </c>
      <c r="D24" s="97">
        <v>214667</v>
      </c>
      <c r="E24" s="97">
        <f t="shared" si="0"/>
        <v>-68482</v>
      </c>
      <c r="F24" s="98">
        <f t="shared" si="1"/>
        <v>-0.24185852678271863</v>
      </c>
    </row>
    <row r="25" spans="1:6" ht="18" customHeight="1" x14ac:dyDescent="0.25">
      <c r="A25" s="101"/>
      <c r="B25" s="102" t="s">
        <v>123</v>
      </c>
      <c r="C25" s="103">
        <f>SUM(C14:C24)</f>
        <v>72446211</v>
      </c>
      <c r="D25" s="103">
        <f>SUM(D14:D24)</f>
        <v>73484780</v>
      </c>
      <c r="E25" s="103">
        <f t="shared" si="0"/>
        <v>1038569</v>
      </c>
      <c r="F25" s="104">
        <f t="shared" si="1"/>
        <v>1.4335725577145781E-2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30441041</v>
      </c>
      <c r="D27" s="97">
        <v>30748244</v>
      </c>
      <c r="E27" s="97">
        <f t="shared" ref="E27:E38" si="2">D27-C27</f>
        <v>307203</v>
      </c>
      <c r="F27" s="98">
        <f t="shared" ref="F27:F38" si="3">IF(C27=0,0,E27/C27)</f>
        <v>1.0091737664293412E-2</v>
      </c>
    </row>
    <row r="28" spans="1:6" ht="18" customHeight="1" x14ac:dyDescent="0.25">
      <c r="A28" s="99">
        <v>2</v>
      </c>
      <c r="B28" s="100" t="s">
        <v>113</v>
      </c>
      <c r="C28" s="97">
        <v>3879268</v>
      </c>
      <c r="D28" s="97">
        <v>4957041</v>
      </c>
      <c r="E28" s="97">
        <f t="shared" si="2"/>
        <v>1077773</v>
      </c>
      <c r="F28" s="98">
        <f t="shared" si="3"/>
        <v>0.27782896154635361</v>
      </c>
    </row>
    <row r="29" spans="1:6" ht="18" customHeight="1" x14ac:dyDescent="0.25">
      <c r="A29" s="99">
        <v>3</v>
      </c>
      <c r="B29" s="100" t="s">
        <v>114</v>
      </c>
      <c r="C29" s="97">
        <v>5626178</v>
      </c>
      <c r="D29" s="97">
        <v>8393726</v>
      </c>
      <c r="E29" s="97">
        <f t="shared" si="2"/>
        <v>2767548</v>
      </c>
      <c r="F29" s="98">
        <f t="shared" si="3"/>
        <v>0.49190551738675881</v>
      </c>
    </row>
    <row r="30" spans="1:6" ht="18" customHeight="1" x14ac:dyDescent="0.25">
      <c r="A30" s="99">
        <v>4</v>
      </c>
      <c r="B30" s="100" t="s">
        <v>115</v>
      </c>
      <c r="C30" s="97">
        <v>11612879</v>
      </c>
      <c r="D30" s="97">
        <v>12861669</v>
      </c>
      <c r="E30" s="97">
        <f t="shared" si="2"/>
        <v>1248790</v>
      </c>
      <c r="F30" s="98">
        <f t="shared" si="3"/>
        <v>0.10753491877423334</v>
      </c>
    </row>
    <row r="31" spans="1:6" ht="18" customHeight="1" x14ac:dyDescent="0.25">
      <c r="A31" s="99">
        <v>5</v>
      </c>
      <c r="B31" s="100" t="s">
        <v>116</v>
      </c>
      <c r="C31" s="97">
        <v>412560</v>
      </c>
      <c r="D31" s="97">
        <v>473205</v>
      </c>
      <c r="E31" s="97">
        <f t="shared" si="2"/>
        <v>60645</v>
      </c>
      <c r="F31" s="98">
        <f t="shared" si="3"/>
        <v>0.14699680046538685</v>
      </c>
    </row>
    <row r="32" spans="1:6" ht="18" customHeight="1" x14ac:dyDescent="0.25">
      <c r="A32" s="99">
        <v>6</v>
      </c>
      <c r="B32" s="100" t="s">
        <v>117</v>
      </c>
      <c r="C32" s="97">
        <v>53425394</v>
      </c>
      <c r="D32" s="97">
        <v>53167559</v>
      </c>
      <c r="E32" s="97">
        <f t="shared" si="2"/>
        <v>-257835</v>
      </c>
      <c r="F32" s="98">
        <f t="shared" si="3"/>
        <v>-4.8260757796189579E-3</v>
      </c>
    </row>
    <row r="33" spans="1:6" ht="18" customHeight="1" x14ac:dyDescent="0.25">
      <c r="A33" s="99">
        <v>7</v>
      </c>
      <c r="B33" s="100" t="s">
        <v>118</v>
      </c>
      <c r="C33" s="97">
        <v>0</v>
      </c>
      <c r="D33" s="97">
        <v>0</v>
      </c>
      <c r="E33" s="97">
        <f t="shared" si="2"/>
        <v>0</v>
      </c>
      <c r="F33" s="98">
        <f t="shared" si="3"/>
        <v>0</v>
      </c>
    </row>
    <row r="34" spans="1:6" ht="18" customHeight="1" x14ac:dyDescent="0.25">
      <c r="A34" s="99">
        <v>8</v>
      </c>
      <c r="B34" s="100" t="s">
        <v>119</v>
      </c>
      <c r="C34" s="97">
        <v>2236807</v>
      </c>
      <c r="D34" s="97">
        <v>2240081</v>
      </c>
      <c r="E34" s="97">
        <f t="shared" si="2"/>
        <v>3274</v>
      </c>
      <c r="F34" s="98">
        <f t="shared" si="3"/>
        <v>1.4636935596142179E-3</v>
      </c>
    </row>
    <row r="35" spans="1:6" ht="18" customHeight="1" x14ac:dyDescent="0.25">
      <c r="A35" s="99">
        <v>9</v>
      </c>
      <c r="B35" s="100" t="s">
        <v>120</v>
      </c>
      <c r="C35" s="97">
        <v>3276135</v>
      </c>
      <c r="D35" s="97">
        <v>3290522</v>
      </c>
      <c r="E35" s="97">
        <f t="shared" si="2"/>
        <v>14387</v>
      </c>
      <c r="F35" s="98">
        <f t="shared" si="3"/>
        <v>4.391455175076729E-3</v>
      </c>
    </row>
    <row r="36" spans="1:6" ht="18" customHeight="1" x14ac:dyDescent="0.25">
      <c r="A36" s="99">
        <v>10</v>
      </c>
      <c r="B36" s="100" t="s">
        <v>121</v>
      </c>
      <c r="C36" s="97">
        <v>6749180</v>
      </c>
      <c r="D36" s="97">
        <v>4127519</v>
      </c>
      <c r="E36" s="97">
        <f t="shared" si="2"/>
        <v>-2621661</v>
      </c>
      <c r="F36" s="98">
        <f t="shared" si="3"/>
        <v>-0.388441410660258</v>
      </c>
    </row>
    <row r="37" spans="1:6" ht="18" customHeight="1" x14ac:dyDescent="0.25">
      <c r="A37" s="99">
        <v>11</v>
      </c>
      <c r="B37" s="100" t="s">
        <v>122</v>
      </c>
      <c r="C37" s="97">
        <v>78219</v>
      </c>
      <c r="D37" s="97">
        <v>211217</v>
      </c>
      <c r="E37" s="97">
        <f t="shared" si="2"/>
        <v>132998</v>
      </c>
      <c r="F37" s="98">
        <f t="shared" si="3"/>
        <v>1.7003285646709878</v>
      </c>
    </row>
    <row r="38" spans="1:6" ht="18" customHeight="1" x14ac:dyDescent="0.25">
      <c r="A38" s="101"/>
      <c r="B38" s="102" t="s">
        <v>126</v>
      </c>
      <c r="C38" s="103">
        <f>SUM(C27:C37)</f>
        <v>117737661</v>
      </c>
      <c r="D38" s="103">
        <f>SUM(D27:D37)</f>
        <v>120470783</v>
      </c>
      <c r="E38" s="103">
        <f t="shared" si="2"/>
        <v>2733122</v>
      </c>
      <c r="F38" s="104">
        <f t="shared" si="3"/>
        <v>2.3213659731188305E-2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69232812</v>
      </c>
      <c r="D41" s="103">
        <f t="shared" si="4"/>
        <v>69467174</v>
      </c>
      <c r="E41" s="107">
        <f t="shared" ref="E41:E52" si="5">D41-C41</f>
        <v>234362</v>
      </c>
      <c r="F41" s="108">
        <f t="shared" ref="F41:F52" si="6">IF(C41=0,0,E41/C41)</f>
        <v>3.3851290050157141E-3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6747032</v>
      </c>
      <c r="D42" s="103">
        <f t="shared" si="4"/>
        <v>9639760</v>
      </c>
      <c r="E42" s="107">
        <f t="shared" si="5"/>
        <v>2892728</v>
      </c>
      <c r="F42" s="108">
        <f t="shared" si="6"/>
        <v>0.42874081522067775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10996171</v>
      </c>
      <c r="D43" s="103">
        <f t="shared" si="4"/>
        <v>13811063</v>
      </c>
      <c r="E43" s="107">
        <f t="shared" si="5"/>
        <v>2814892</v>
      </c>
      <c r="F43" s="108">
        <f t="shared" si="6"/>
        <v>0.25598837995516804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15040132</v>
      </c>
      <c r="D44" s="103">
        <f t="shared" si="4"/>
        <v>17480521</v>
      </c>
      <c r="E44" s="107">
        <f t="shared" si="5"/>
        <v>2440389</v>
      </c>
      <c r="F44" s="108">
        <f t="shared" si="6"/>
        <v>0.1622584828377836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588951</v>
      </c>
      <c r="D45" s="103">
        <f t="shared" si="4"/>
        <v>609465</v>
      </c>
      <c r="E45" s="107">
        <f t="shared" si="5"/>
        <v>20514</v>
      </c>
      <c r="F45" s="108">
        <f t="shared" si="6"/>
        <v>3.4831420610543153E-2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70989275</v>
      </c>
      <c r="D46" s="103">
        <f t="shared" si="4"/>
        <v>69185915</v>
      </c>
      <c r="E46" s="107">
        <f t="shared" si="5"/>
        <v>-1803360</v>
      </c>
      <c r="F46" s="108">
        <f t="shared" si="6"/>
        <v>-2.5403273945254407E-2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0</v>
      </c>
      <c r="D47" s="103">
        <f t="shared" si="4"/>
        <v>0</v>
      </c>
      <c r="E47" s="107">
        <f t="shared" si="5"/>
        <v>0</v>
      </c>
      <c r="F47" s="108">
        <f t="shared" si="6"/>
        <v>0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2559251</v>
      </c>
      <c r="D48" s="103">
        <f t="shared" si="4"/>
        <v>2494855</v>
      </c>
      <c r="E48" s="107">
        <f t="shared" si="5"/>
        <v>-64396</v>
      </c>
      <c r="F48" s="108">
        <f t="shared" si="6"/>
        <v>-2.5162049365224436E-2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4197446</v>
      </c>
      <c r="D49" s="103">
        <f t="shared" si="4"/>
        <v>4858520</v>
      </c>
      <c r="E49" s="107">
        <f t="shared" si="5"/>
        <v>661074</v>
      </c>
      <c r="F49" s="108">
        <f t="shared" si="6"/>
        <v>0.15749434298856971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9471434</v>
      </c>
      <c r="D50" s="103">
        <f t="shared" si="4"/>
        <v>5982406</v>
      </c>
      <c r="E50" s="107">
        <f t="shared" si="5"/>
        <v>-3489028</v>
      </c>
      <c r="F50" s="108">
        <f t="shared" si="6"/>
        <v>-0.36837378584911218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361368</v>
      </c>
      <c r="D51" s="103">
        <f t="shared" si="4"/>
        <v>425884</v>
      </c>
      <c r="E51" s="107">
        <f t="shared" si="5"/>
        <v>64516</v>
      </c>
      <c r="F51" s="108">
        <f t="shared" si="6"/>
        <v>0.17853268690088775</v>
      </c>
    </row>
    <row r="52" spans="1:6" ht="18.75" customHeight="1" thickBot="1" x14ac:dyDescent="0.3">
      <c r="A52" s="109"/>
      <c r="B52" s="110" t="s">
        <v>128</v>
      </c>
      <c r="C52" s="111">
        <f>SUM(C41:C51)</f>
        <v>190183872</v>
      </c>
      <c r="D52" s="112">
        <f>SUM(D41:D51)</f>
        <v>193955563</v>
      </c>
      <c r="E52" s="111">
        <f t="shared" si="5"/>
        <v>3771691</v>
      </c>
      <c r="F52" s="113">
        <f t="shared" si="6"/>
        <v>1.9831813078240411E-2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23264310</v>
      </c>
      <c r="D57" s="97">
        <v>24076685</v>
      </c>
      <c r="E57" s="97">
        <f t="shared" ref="E57:E68" si="7">D57-C57</f>
        <v>812375</v>
      </c>
      <c r="F57" s="98">
        <f t="shared" ref="F57:F68" si="8">IF(C57=0,0,E57/C57)</f>
        <v>3.4919367907322418E-2</v>
      </c>
    </row>
    <row r="58" spans="1:6" ht="18" customHeight="1" x14ac:dyDescent="0.25">
      <c r="A58" s="99">
        <v>2</v>
      </c>
      <c r="B58" s="100" t="s">
        <v>113</v>
      </c>
      <c r="C58" s="97">
        <v>1433336</v>
      </c>
      <c r="D58" s="97">
        <v>2531836</v>
      </c>
      <c r="E58" s="97">
        <f t="shared" si="7"/>
        <v>1098500</v>
      </c>
      <c r="F58" s="98">
        <f t="shared" si="8"/>
        <v>0.7663939229880502</v>
      </c>
    </row>
    <row r="59" spans="1:6" ht="18" customHeight="1" x14ac:dyDescent="0.25">
      <c r="A59" s="99">
        <v>3</v>
      </c>
      <c r="B59" s="100" t="s">
        <v>114</v>
      </c>
      <c r="C59" s="97">
        <v>2741277</v>
      </c>
      <c r="D59" s="97">
        <v>2692056</v>
      </c>
      <c r="E59" s="97">
        <f t="shared" si="7"/>
        <v>-49221</v>
      </c>
      <c r="F59" s="98">
        <f t="shared" si="8"/>
        <v>-1.7955500301501819E-2</v>
      </c>
    </row>
    <row r="60" spans="1:6" ht="18" customHeight="1" x14ac:dyDescent="0.25">
      <c r="A60" s="99">
        <v>4</v>
      </c>
      <c r="B60" s="100" t="s">
        <v>115</v>
      </c>
      <c r="C60" s="97">
        <v>1783647</v>
      </c>
      <c r="D60" s="97">
        <v>2351919</v>
      </c>
      <c r="E60" s="97">
        <f t="shared" si="7"/>
        <v>568272</v>
      </c>
      <c r="F60" s="98">
        <f t="shared" si="8"/>
        <v>0.31860115818881202</v>
      </c>
    </row>
    <row r="61" spans="1:6" ht="18" customHeight="1" x14ac:dyDescent="0.25">
      <c r="A61" s="99">
        <v>5</v>
      </c>
      <c r="B61" s="100" t="s">
        <v>116</v>
      </c>
      <c r="C61" s="97">
        <v>62014</v>
      </c>
      <c r="D61" s="97">
        <v>57058</v>
      </c>
      <c r="E61" s="97">
        <f t="shared" si="7"/>
        <v>-4956</v>
      </c>
      <c r="F61" s="98">
        <f t="shared" si="8"/>
        <v>-7.9917437997871446E-2</v>
      </c>
    </row>
    <row r="62" spans="1:6" ht="18" customHeight="1" x14ac:dyDescent="0.25">
      <c r="A62" s="99">
        <v>6</v>
      </c>
      <c r="B62" s="100" t="s">
        <v>117</v>
      </c>
      <c r="C62" s="97">
        <v>9808537</v>
      </c>
      <c r="D62" s="97">
        <v>8698382</v>
      </c>
      <c r="E62" s="97">
        <f t="shared" si="7"/>
        <v>-1110155</v>
      </c>
      <c r="F62" s="98">
        <f t="shared" si="8"/>
        <v>-0.11318252660921807</v>
      </c>
    </row>
    <row r="63" spans="1:6" ht="18" customHeight="1" x14ac:dyDescent="0.25">
      <c r="A63" s="99">
        <v>7</v>
      </c>
      <c r="B63" s="100" t="s">
        <v>118</v>
      </c>
      <c r="C63" s="97">
        <v>0</v>
      </c>
      <c r="D63" s="97">
        <v>0</v>
      </c>
      <c r="E63" s="97">
        <f t="shared" si="7"/>
        <v>0</v>
      </c>
      <c r="F63" s="98">
        <f t="shared" si="8"/>
        <v>0</v>
      </c>
    </row>
    <row r="64" spans="1:6" ht="18" customHeight="1" x14ac:dyDescent="0.25">
      <c r="A64" s="99">
        <v>8</v>
      </c>
      <c r="B64" s="100" t="s">
        <v>119</v>
      </c>
      <c r="C64" s="97">
        <v>189440</v>
      </c>
      <c r="D64" s="97">
        <v>151797</v>
      </c>
      <c r="E64" s="97">
        <f t="shared" si="7"/>
        <v>-37643</v>
      </c>
      <c r="F64" s="98">
        <f t="shared" si="8"/>
        <v>-0.19870671452702704</v>
      </c>
    </row>
    <row r="65" spans="1:6" ht="18" customHeight="1" x14ac:dyDescent="0.25">
      <c r="A65" s="99">
        <v>9</v>
      </c>
      <c r="B65" s="100" t="s">
        <v>120</v>
      </c>
      <c r="C65" s="97">
        <v>74458</v>
      </c>
      <c r="D65" s="97">
        <v>147158</v>
      </c>
      <c r="E65" s="97">
        <f t="shared" si="7"/>
        <v>72700</v>
      </c>
      <c r="F65" s="98">
        <f t="shared" si="8"/>
        <v>0.97638937387520486</v>
      </c>
    </row>
    <row r="66" spans="1:6" ht="18" customHeight="1" x14ac:dyDescent="0.25">
      <c r="A66" s="99">
        <v>10</v>
      </c>
      <c r="B66" s="100" t="s">
        <v>121</v>
      </c>
      <c r="C66" s="97">
        <v>571030</v>
      </c>
      <c r="D66" s="97">
        <v>582283</v>
      </c>
      <c r="E66" s="97">
        <f t="shared" si="7"/>
        <v>11253</v>
      </c>
      <c r="F66" s="98">
        <f t="shared" si="8"/>
        <v>1.9706495280458119E-2</v>
      </c>
    </row>
    <row r="67" spans="1:6" ht="18" customHeight="1" x14ac:dyDescent="0.25">
      <c r="A67" s="99">
        <v>11</v>
      </c>
      <c r="B67" s="100" t="s">
        <v>122</v>
      </c>
      <c r="C67" s="97">
        <v>118212</v>
      </c>
      <c r="D67" s="97">
        <v>63718</v>
      </c>
      <c r="E67" s="97">
        <f t="shared" si="7"/>
        <v>-54494</v>
      </c>
      <c r="F67" s="98">
        <f t="shared" si="8"/>
        <v>-0.4609853483571888</v>
      </c>
    </row>
    <row r="68" spans="1:6" ht="18" customHeight="1" x14ac:dyDescent="0.25">
      <c r="A68" s="101"/>
      <c r="B68" s="102" t="s">
        <v>131</v>
      </c>
      <c r="C68" s="103">
        <f>SUM(C57:C67)</f>
        <v>40046261</v>
      </c>
      <c r="D68" s="103">
        <f>SUM(D57:D67)</f>
        <v>41352892</v>
      </c>
      <c r="E68" s="103">
        <f t="shared" si="7"/>
        <v>1306631</v>
      </c>
      <c r="F68" s="104">
        <f t="shared" si="8"/>
        <v>3.2628039856205306E-2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7866579</v>
      </c>
      <c r="D70" s="97">
        <v>8157216</v>
      </c>
      <c r="E70" s="97">
        <f t="shared" ref="E70:E81" si="9">D70-C70</f>
        <v>290637</v>
      </c>
      <c r="F70" s="98">
        <f t="shared" ref="F70:F81" si="10">IF(C70=0,0,E70/C70)</f>
        <v>3.6945793082355113E-2</v>
      </c>
    </row>
    <row r="71" spans="1:6" ht="18" customHeight="1" x14ac:dyDescent="0.25">
      <c r="A71" s="99">
        <v>2</v>
      </c>
      <c r="B71" s="100" t="s">
        <v>113</v>
      </c>
      <c r="C71" s="97">
        <v>1017325</v>
      </c>
      <c r="D71" s="97">
        <v>1341064</v>
      </c>
      <c r="E71" s="97">
        <f t="shared" si="9"/>
        <v>323739</v>
      </c>
      <c r="F71" s="98">
        <f t="shared" si="10"/>
        <v>0.31822573907060181</v>
      </c>
    </row>
    <row r="72" spans="1:6" ht="18" customHeight="1" x14ac:dyDescent="0.25">
      <c r="A72" s="99">
        <v>3</v>
      </c>
      <c r="B72" s="100" t="s">
        <v>114</v>
      </c>
      <c r="C72" s="97">
        <v>1454493</v>
      </c>
      <c r="D72" s="97">
        <v>1873675</v>
      </c>
      <c r="E72" s="97">
        <f t="shared" si="9"/>
        <v>419182</v>
      </c>
      <c r="F72" s="98">
        <f t="shared" si="10"/>
        <v>0.28819801814102919</v>
      </c>
    </row>
    <row r="73" spans="1:6" ht="18" customHeight="1" x14ac:dyDescent="0.25">
      <c r="A73" s="99">
        <v>4</v>
      </c>
      <c r="B73" s="100" t="s">
        <v>115</v>
      </c>
      <c r="C73" s="97">
        <v>3570678</v>
      </c>
      <c r="D73" s="97">
        <v>3870021</v>
      </c>
      <c r="E73" s="97">
        <f t="shared" si="9"/>
        <v>299343</v>
      </c>
      <c r="F73" s="98">
        <f t="shared" si="10"/>
        <v>8.3833658481666504E-2</v>
      </c>
    </row>
    <row r="74" spans="1:6" ht="18" customHeight="1" x14ac:dyDescent="0.25">
      <c r="A74" s="99">
        <v>5</v>
      </c>
      <c r="B74" s="100" t="s">
        <v>116</v>
      </c>
      <c r="C74" s="97">
        <v>167114</v>
      </c>
      <c r="D74" s="97">
        <v>170553</v>
      </c>
      <c r="E74" s="97">
        <f t="shared" si="9"/>
        <v>3439</v>
      </c>
      <c r="F74" s="98">
        <f t="shared" si="10"/>
        <v>2.0578766590471174E-2</v>
      </c>
    </row>
    <row r="75" spans="1:6" ht="18" customHeight="1" x14ac:dyDescent="0.25">
      <c r="A75" s="99">
        <v>6</v>
      </c>
      <c r="B75" s="100" t="s">
        <v>117</v>
      </c>
      <c r="C75" s="97">
        <v>22354842</v>
      </c>
      <c r="D75" s="97">
        <v>23328960</v>
      </c>
      <c r="E75" s="97">
        <f t="shared" si="9"/>
        <v>974118</v>
      </c>
      <c r="F75" s="98">
        <f t="shared" si="10"/>
        <v>4.3575257655589783E-2</v>
      </c>
    </row>
    <row r="76" spans="1:6" ht="18" customHeight="1" x14ac:dyDescent="0.25">
      <c r="A76" s="99">
        <v>7</v>
      </c>
      <c r="B76" s="100" t="s">
        <v>118</v>
      </c>
      <c r="C76" s="97">
        <v>0</v>
      </c>
      <c r="D76" s="97">
        <v>0</v>
      </c>
      <c r="E76" s="97">
        <f t="shared" si="9"/>
        <v>0</v>
      </c>
      <c r="F76" s="98">
        <f t="shared" si="10"/>
        <v>0</v>
      </c>
    </row>
    <row r="77" spans="1:6" ht="18" customHeight="1" x14ac:dyDescent="0.25">
      <c r="A77" s="99">
        <v>8</v>
      </c>
      <c r="B77" s="100" t="s">
        <v>119</v>
      </c>
      <c r="C77" s="97">
        <v>1369506</v>
      </c>
      <c r="D77" s="97">
        <v>1523255</v>
      </c>
      <c r="E77" s="97">
        <f t="shared" si="9"/>
        <v>153749</v>
      </c>
      <c r="F77" s="98">
        <f t="shared" si="10"/>
        <v>0.11226602877241867</v>
      </c>
    </row>
    <row r="78" spans="1:6" ht="18" customHeight="1" x14ac:dyDescent="0.25">
      <c r="A78" s="99">
        <v>9</v>
      </c>
      <c r="B78" s="100" t="s">
        <v>120</v>
      </c>
      <c r="C78" s="97">
        <v>176601</v>
      </c>
      <c r="D78" s="97">
        <v>155386</v>
      </c>
      <c r="E78" s="97">
        <f t="shared" si="9"/>
        <v>-21215</v>
      </c>
      <c r="F78" s="98">
        <f t="shared" si="10"/>
        <v>-0.12012955759027412</v>
      </c>
    </row>
    <row r="79" spans="1:6" ht="18" customHeight="1" x14ac:dyDescent="0.25">
      <c r="A79" s="99">
        <v>10</v>
      </c>
      <c r="B79" s="100" t="s">
        <v>121</v>
      </c>
      <c r="C79" s="97">
        <v>929303</v>
      </c>
      <c r="D79" s="97">
        <v>656708</v>
      </c>
      <c r="E79" s="97">
        <f t="shared" si="9"/>
        <v>-272595</v>
      </c>
      <c r="F79" s="98">
        <f t="shared" si="10"/>
        <v>-0.29333274507883866</v>
      </c>
    </row>
    <row r="80" spans="1:6" ht="18" customHeight="1" x14ac:dyDescent="0.25">
      <c r="A80" s="99">
        <v>11</v>
      </c>
      <c r="B80" s="100" t="s">
        <v>122</v>
      </c>
      <c r="C80" s="97">
        <v>16035</v>
      </c>
      <c r="D80" s="97">
        <v>58337</v>
      </c>
      <c r="E80" s="97">
        <f t="shared" si="9"/>
        <v>42302</v>
      </c>
      <c r="F80" s="98">
        <f t="shared" si="10"/>
        <v>2.6381041471780482</v>
      </c>
    </row>
    <row r="81" spans="1:6" ht="18" customHeight="1" x14ac:dyDescent="0.25">
      <c r="A81" s="101"/>
      <c r="B81" s="102" t="s">
        <v>133</v>
      </c>
      <c r="C81" s="103">
        <f>SUM(C70:C80)</f>
        <v>38922476</v>
      </c>
      <c r="D81" s="103">
        <f>SUM(D70:D80)</f>
        <v>41135175</v>
      </c>
      <c r="E81" s="103">
        <f t="shared" si="9"/>
        <v>2212699</v>
      </c>
      <c r="F81" s="104">
        <f t="shared" si="10"/>
        <v>5.6848875698452483E-2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31130889</v>
      </c>
      <c r="D84" s="103">
        <f t="shared" si="11"/>
        <v>32233901</v>
      </c>
      <c r="E84" s="103">
        <f t="shared" ref="E84:E95" si="12">D84-C84</f>
        <v>1103012</v>
      </c>
      <c r="F84" s="104">
        <f t="shared" ref="F84:F95" si="13">IF(C84=0,0,E84/C84)</f>
        <v>3.5431432748354856E-2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2450661</v>
      </c>
      <c r="D85" s="103">
        <f t="shared" si="11"/>
        <v>3872900</v>
      </c>
      <c r="E85" s="103">
        <f t="shared" si="12"/>
        <v>1422239</v>
      </c>
      <c r="F85" s="104">
        <f t="shared" si="13"/>
        <v>0.58034913845693059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4195770</v>
      </c>
      <c r="D86" s="103">
        <f t="shared" si="11"/>
        <v>4565731</v>
      </c>
      <c r="E86" s="103">
        <f t="shared" si="12"/>
        <v>369961</v>
      </c>
      <c r="F86" s="104">
        <f t="shared" si="13"/>
        <v>8.8174756957602532E-2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5354325</v>
      </c>
      <c r="D87" s="103">
        <f t="shared" si="11"/>
        <v>6221940</v>
      </c>
      <c r="E87" s="103">
        <f t="shared" si="12"/>
        <v>867615</v>
      </c>
      <c r="F87" s="104">
        <f t="shared" si="13"/>
        <v>0.16204003305738818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229128</v>
      </c>
      <c r="D88" s="103">
        <f t="shared" si="11"/>
        <v>227611</v>
      </c>
      <c r="E88" s="103">
        <f t="shared" si="12"/>
        <v>-1517</v>
      </c>
      <c r="F88" s="104">
        <f t="shared" si="13"/>
        <v>-6.6207534653119652E-3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32163379</v>
      </c>
      <c r="D89" s="103">
        <f t="shared" si="11"/>
        <v>32027342</v>
      </c>
      <c r="E89" s="103">
        <f t="shared" si="12"/>
        <v>-136037</v>
      </c>
      <c r="F89" s="104">
        <f t="shared" si="13"/>
        <v>-4.22956182557809E-3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0</v>
      </c>
      <c r="D90" s="103">
        <f t="shared" si="11"/>
        <v>0</v>
      </c>
      <c r="E90" s="103">
        <f t="shared" si="12"/>
        <v>0</v>
      </c>
      <c r="F90" s="104">
        <f t="shared" si="13"/>
        <v>0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1558946</v>
      </c>
      <c r="D91" s="103">
        <f t="shared" si="11"/>
        <v>1675052</v>
      </c>
      <c r="E91" s="103">
        <f t="shared" si="12"/>
        <v>116106</v>
      </c>
      <c r="F91" s="104">
        <f t="shared" si="13"/>
        <v>7.4477242957741968E-2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251059</v>
      </c>
      <c r="D92" s="103">
        <f t="shared" si="11"/>
        <v>302544</v>
      </c>
      <c r="E92" s="103">
        <f t="shared" si="12"/>
        <v>51485</v>
      </c>
      <c r="F92" s="104">
        <f t="shared" si="13"/>
        <v>0.20507131789738667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1500333</v>
      </c>
      <c r="D93" s="103">
        <f t="shared" si="11"/>
        <v>1238991</v>
      </c>
      <c r="E93" s="103">
        <f t="shared" si="12"/>
        <v>-261342</v>
      </c>
      <c r="F93" s="104">
        <f t="shared" si="13"/>
        <v>-0.17418932996874695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134247</v>
      </c>
      <c r="D94" s="103">
        <f t="shared" si="11"/>
        <v>122055</v>
      </c>
      <c r="E94" s="103">
        <f t="shared" si="12"/>
        <v>-12192</v>
      </c>
      <c r="F94" s="104">
        <f t="shared" si="13"/>
        <v>-9.0817671903282757E-2</v>
      </c>
    </row>
    <row r="95" spans="1:6" ht="18.75" customHeight="1" thickBot="1" x14ac:dyDescent="0.3">
      <c r="A95" s="115"/>
      <c r="B95" s="116" t="s">
        <v>134</v>
      </c>
      <c r="C95" s="112">
        <f>SUM(C84:C94)</f>
        <v>78968737</v>
      </c>
      <c r="D95" s="112">
        <f>SUM(D84:D94)</f>
        <v>82488067</v>
      </c>
      <c r="E95" s="112">
        <f t="shared" si="12"/>
        <v>3519330</v>
      </c>
      <c r="F95" s="113">
        <f t="shared" si="13"/>
        <v>4.4566117348438787E-2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2345</v>
      </c>
      <c r="D100" s="117">
        <v>2256</v>
      </c>
      <c r="E100" s="117">
        <f t="shared" ref="E100:E111" si="14">D100-C100</f>
        <v>-89</v>
      </c>
      <c r="F100" s="98">
        <f t="shared" ref="F100:F111" si="15">IF(C100=0,0,E100/C100)</f>
        <v>-3.7953091684434968E-2</v>
      </c>
    </row>
    <row r="101" spans="1:6" ht="18" customHeight="1" x14ac:dyDescent="0.25">
      <c r="A101" s="99">
        <v>2</v>
      </c>
      <c r="B101" s="100" t="s">
        <v>113</v>
      </c>
      <c r="C101" s="117">
        <v>189</v>
      </c>
      <c r="D101" s="117">
        <v>261</v>
      </c>
      <c r="E101" s="117">
        <f t="shared" si="14"/>
        <v>72</v>
      </c>
      <c r="F101" s="98">
        <f t="shared" si="15"/>
        <v>0.38095238095238093</v>
      </c>
    </row>
    <row r="102" spans="1:6" ht="18" customHeight="1" x14ac:dyDescent="0.25">
      <c r="A102" s="99">
        <v>3</v>
      </c>
      <c r="B102" s="100" t="s">
        <v>114</v>
      </c>
      <c r="C102" s="117">
        <v>420</v>
      </c>
      <c r="D102" s="117">
        <v>428</v>
      </c>
      <c r="E102" s="117">
        <f t="shared" si="14"/>
        <v>8</v>
      </c>
      <c r="F102" s="98">
        <f t="shared" si="15"/>
        <v>1.9047619047619049E-2</v>
      </c>
    </row>
    <row r="103" spans="1:6" ht="18" customHeight="1" x14ac:dyDescent="0.25">
      <c r="A103" s="99">
        <v>4</v>
      </c>
      <c r="B103" s="100" t="s">
        <v>115</v>
      </c>
      <c r="C103" s="117">
        <v>541</v>
      </c>
      <c r="D103" s="117">
        <v>633</v>
      </c>
      <c r="E103" s="117">
        <f t="shared" si="14"/>
        <v>92</v>
      </c>
      <c r="F103" s="98">
        <f t="shared" si="15"/>
        <v>0.17005545286506468</v>
      </c>
    </row>
    <row r="104" spans="1:6" ht="18" customHeight="1" x14ac:dyDescent="0.25">
      <c r="A104" s="99">
        <v>5</v>
      </c>
      <c r="B104" s="100" t="s">
        <v>116</v>
      </c>
      <c r="C104" s="117">
        <v>13</v>
      </c>
      <c r="D104" s="117">
        <v>14</v>
      </c>
      <c r="E104" s="117">
        <f t="shared" si="14"/>
        <v>1</v>
      </c>
      <c r="F104" s="98">
        <f t="shared" si="15"/>
        <v>7.6923076923076927E-2</v>
      </c>
    </row>
    <row r="105" spans="1:6" ht="18" customHeight="1" x14ac:dyDescent="0.25">
      <c r="A105" s="99">
        <v>6</v>
      </c>
      <c r="B105" s="100" t="s">
        <v>117</v>
      </c>
      <c r="C105" s="117">
        <v>1497</v>
      </c>
      <c r="D105" s="117">
        <v>1260</v>
      </c>
      <c r="E105" s="117">
        <f t="shared" si="14"/>
        <v>-237</v>
      </c>
      <c r="F105" s="98">
        <f t="shared" si="15"/>
        <v>-0.15831663326653306</v>
      </c>
    </row>
    <row r="106" spans="1:6" ht="18" customHeight="1" x14ac:dyDescent="0.25">
      <c r="A106" s="99">
        <v>7</v>
      </c>
      <c r="B106" s="100" t="s">
        <v>118</v>
      </c>
      <c r="C106" s="117">
        <v>0</v>
      </c>
      <c r="D106" s="117">
        <v>0</v>
      </c>
      <c r="E106" s="117">
        <f t="shared" si="14"/>
        <v>0</v>
      </c>
      <c r="F106" s="98">
        <f t="shared" si="15"/>
        <v>0</v>
      </c>
    </row>
    <row r="107" spans="1:6" ht="18" customHeight="1" x14ac:dyDescent="0.25">
      <c r="A107" s="99">
        <v>8</v>
      </c>
      <c r="B107" s="100" t="s">
        <v>119</v>
      </c>
      <c r="C107" s="117">
        <v>17</v>
      </c>
      <c r="D107" s="117">
        <v>15</v>
      </c>
      <c r="E107" s="117">
        <f t="shared" si="14"/>
        <v>-2</v>
      </c>
      <c r="F107" s="98">
        <f t="shared" si="15"/>
        <v>-0.11764705882352941</v>
      </c>
    </row>
    <row r="108" spans="1:6" ht="18" customHeight="1" x14ac:dyDescent="0.25">
      <c r="A108" s="99">
        <v>9</v>
      </c>
      <c r="B108" s="100" t="s">
        <v>120</v>
      </c>
      <c r="C108" s="117">
        <v>87</v>
      </c>
      <c r="D108" s="117">
        <v>106</v>
      </c>
      <c r="E108" s="117">
        <f t="shared" si="14"/>
        <v>19</v>
      </c>
      <c r="F108" s="98">
        <f t="shared" si="15"/>
        <v>0.21839080459770116</v>
      </c>
    </row>
    <row r="109" spans="1:6" ht="18" customHeight="1" x14ac:dyDescent="0.25">
      <c r="A109" s="99">
        <v>10</v>
      </c>
      <c r="B109" s="100" t="s">
        <v>121</v>
      </c>
      <c r="C109" s="117">
        <v>202</v>
      </c>
      <c r="D109" s="117">
        <v>115</v>
      </c>
      <c r="E109" s="117">
        <f t="shared" si="14"/>
        <v>-87</v>
      </c>
      <c r="F109" s="98">
        <f t="shared" si="15"/>
        <v>-0.43069306930693069</v>
      </c>
    </row>
    <row r="110" spans="1:6" ht="18" customHeight="1" x14ac:dyDescent="0.25">
      <c r="A110" s="99">
        <v>11</v>
      </c>
      <c r="B110" s="100" t="s">
        <v>122</v>
      </c>
      <c r="C110" s="117">
        <v>32</v>
      </c>
      <c r="D110" s="117">
        <v>12</v>
      </c>
      <c r="E110" s="117">
        <f t="shared" si="14"/>
        <v>-20</v>
      </c>
      <c r="F110" s="98">
        <f t="shared" si="15"/>
        <v>-0.625</v>
      </c>
    </row>
    <row r="111" spans="1:6" ht="18" customHeight="1" x14ac:dyDescent="0.25">
      <c r="A111" s="101"/>
      <c r="B111" s="102" t="s">
        <v>138</v>
      </c>
      <c r="C111" s="118">
        <f>SUM(C100:C110)</f>
        <v>5343</v>
      </c>
      <c r="D111" s="118">
        <f>SUM(D100:D110)</f>
        <v>5100</v>
      </c>
      <c r="E111" s="118">
        <f t="shared" si="14"/>
        <v>-243</v>
      </c>
      <c r="F111" s="104">
        <f t="shared" si="15"/>
        <v>-4.5480067377877596E-2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11210</v>
      </c>
      <c r="D113" s="117">
        <v>11040</v>
      </c>
      <c r="E113" s="117">
        <f t="shared" ref="E113:E124" si="16">D113-C113</f>
        <v>-170</v>
      </c>
      <c r="F113" s="98">
        <f t="shared" ref="F113:F124" si="17">IF(C113=0,0,E113/C113)</f>
        <v>-1.5165031222123104E-2</v>
      </c>
    </row>
    <row r="114" spans="1:6" ht="18" customHeight="1" x14ac:dyDescent="0.25">
      <c r="A114" s="99">
        <v>2</v>
      </c>
      <c r="B114" s="100" t="s">
        <v>113</v>
      </c>
      <c r="C114" s="117">
        <v>783</v>
      </c>
      <c r="D114" s="117">
        <v>1300</v>
      </c>
      <c r="E114" s="117">
        <f t="shared" si="16"/>
        <v>517</v>
      </c>
      <c r="F114" s="98">
        <f t="shared" si="17"/>
        <v>0.66028097062579816</v>
      </c>
    </row>
    <row r="115" spans="1:6" ht="18" customHeight="1" x14ac:dyDescent="0.25">
      <c r="A115" s="99">
        <v>3</v>
      </c>
      <c r="B115" s="100" t="s">
        <v>114</v>
      </c>
      <c r="C115" s="117">
        <v>1772</v>
      </c>
      <c r="D115" s="117">
        <v>1733</v>
      </c>
      <c r="E115" s="117">
        <f t="shared" si="16"/>
        <v>-39</v>
      </c>
      <c r="F115" s="98">
        <f t="shared" si="17"/>
        <v>-2.2009029345372459E-2</v>
      </c>
    </row>
    <row r="116" spans="1:6" ht="18" customHeight="1" x14ac:dyDescent="0.25">
      <c r="A116" s="99">
        <v>4</v>
      </c>
      <c r="B116" s="100" t="s">
        <v>115</v>
      </c>
      <c r="C116" s="117">
        <v>1282</v>
      </c>
      <c r="D116" s="117">
        <v>1626</v>
      </c>
      <c r="E116" s="117">
        <f t="shared" si="16"/>
        <v>344</v>
      </c>
      <c r="F116" s="98">
        <f t="shared" si="17"/>
        <v>0.26833073322932915</v>
      </c>
    </row>
    <row r="117" spans="1:6" ht="18" customHeight="1" x14ac:dyDescent="0.25">
      <c r="A117" s="99">
        <v>5</v>
      </c>
      <c r="B117" s="100" t="s">
        <v>116</v>
      </c>
      <c r="C117" s="117">
        <v>28</v>
      </c>
      <c r="D117" s="117">
        <v>38</v>
      </c>
      <c r="E117" s="117">
        <f t="shared" si="16"/>
        <v>10</v>
      </c>
      <c r="F117" s="98">
        <f t="shared" si="17"/>
        <v>0.35714285714285715</v>
      </c>
    </row>
    <row r="118" spans="1:6" ht="18" customHeight="1" x14ac:dyDescent="0.25">
      <c r="A118" s="99">
        <v>6</v>
      </c>
      <c r="B118" s="100" t="s">
        <v>117</v>
      </c>
      <c r="C118" s="117">
        <v>4545</v>
      </c>
      <c r="D118" s="117">
        <v>4043</v>
      </c>
      <c r="E118" s="117">
        <f t="shared" si="16"/>
        <v>-502</v>
      </c>
      <c r="F118" s="98">
        <f t="shared" si="17"/>
        <v>-0.11045104510451045</v>
      </c>
    </row>
    <row r="119" spans="1:6" ht="18" customHeight="1" x14ac:dyDescent="0.25">
      <c r="A119" s="99">
        <v>7</v>
      </c>
      <c r="B119" s="100" t="s">
        <v>118</v>
      </c>
      <c r="C119" s="117">
        <v>0</v>
      </c>
      <c r="D119" s="117">
        <v>0</v>
      </c>
      <c r="E119" s="117">
        <f t="shared" si="16"/>
        <v>0</v>
      </c>
      <c r="F119" s="98">
        <f t="shared" si="17"/>
        <v>0</v>
      </c>
    </row>
    <row r="120" spans="1:6" ht="18" customHeight="1" x14ac:dyDescent="0.25">
      <c r="A120" s="99">
        <v>8</v>
      </c>
      <c r="B120" s="100" t="s">
        <v>119</v>
      </c>
      <c r="C120" s="117">
        <v>57</v>
      </c>
      <c r="D120" s="117">
        <v>50</v>
      </c>
      <c r="E120" s="117">
        <f t="shared" si="16"/>
        <v>-7</v>
      </c>
      <c r="F120" s="98">
        <f t="shared" si="17"/>
        <v>-0.12280701754385964</v>
      </c>
    </row>
    <row r="121" spans="1:6" ht="18" customHeight="1" x14ac:dyDescent="0.25">
      <c r="A121" s="99">
        <v>9</v>
      </c>
      <c r="B121" s="100" t="s">
        <v>120</v>
      </c>
      <c r="C121" s="117">
        <v>242</v>
      </c>
      <c r="D121" s="117">
        <v>398</v>
      </c>
      <c r="E121" s="117">
        <f t="shared" si="16"/>
        <v>156</v>
      </c>
      <c r="F121" s="98">
        <f t="shared" si="17"/>
        <v>0.64462809917355368</v>
      </c>
    </row>
    <row r="122" spans="1:6" ht="18" customHeight="1" x14ac:dyDescent="0.25">
      <c r="A122" s="99">
        <v>10</v>
      </c>
      <c r="B122" s="100" t="s">
        <v>121</v>
      </c>
      <c r="C122" s="117">
        <v>704</v>
      </c>
      <c r="D122" s="117">
        <v>568</v>
      </c>
      <c r="E122" s="117">
        <f t="shared" si="16"/>
        <v>-136</v>
      </c>
      <c r="F122" s="98">
        <f t="shared" si="17"/>
        <v>-0.19318181818181818</v>
      </c>
    </row>
    <row r="123" spans="1:6" ht="18" customHeight="1" x14ac:dyDescent="0.25">
      <c r="A123" s="99">
        <v>11</v>
      </c>
      <c r="B123" s="100" t="s">
        <v>122</v>
      </c>
      <c r="C123" s="117">
        <v>73</v>
      </c>
      <c r="D123" s="117">
        <v>54</v>
      </c>
      <c r="E123" s="117">
        <f t="shared" si="16"/>
        <v>-19</v>
      </c>
      <c r="F123" s="98">
        <f t="shared" si="17"/>
        <v>-0.26027397260273971</v>
      </c>
    </row>
    <row r="124" spans="1:6" ht="18" customHeight="1" x14ac:dyDescent="0.25">
      <c r="A124" s="101"/>
      <c r="B124" s="102" t="s">
        <v>140</v>
      </c>
      <c r="C124" s="118">
        <f>SUM(C113:C123)</f>
        <v>20696</v>
      </c>
      <c r="D124" s="118">
        <f>SUM(D113:D123)</f>
        <v>20850</v>
      </c>
      <c r="E124" s="118">
        <f t="shared" si="16"/>
        <v>154</v>
      </c>
      <c r="F124" s="104">
        <f t="shared" si="17"/>
        <v>7.441051410900657E-3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42896</v>
      </c>
      <c r="D126" s="117">
        <v>42252</v>
      </c>
      <c r="E126" s="117">
        <f t="shared" ref="E126:E137" si="18">D126-C126</f>
        <v>-644</v>
      </c>
      <c r="F126" s="98">
        <f t="shared" ref="F126:F137" si="19">IF(C126=0,0,E126/C126)</f>
        <v>-1.5013054830287207E-2</v>
      </c>
    </row>
    <row r="127" spans="1:6" ht="18" customHeight="1" x14ac:dyDescent="0.25">
      <c r="A127" s="99">
        <v>2</v>
      </c>
      <c r="B127" s="100" t="s">
        <v>113</v>
      </c>
      <c r="C127" s="117">
        <v>5167</v>
      </c>
      <c r="D127" s="117">
        <v>6519</v>
      </c>
      <c r="E127" s="117">
        <f t="shared" si="18"/>
        <v>1352</v>
      </c>
      <c r="F127" s="98">
        <f t="shared" si="19"/>
        <v>0.26166053802980455</v>
      </c>
    </row>
    <row r="128" spans="1:6" ht="18" customHeight="1" x14ac:dyDescent="0.25">
      <c r="A128" s="99">
        <v>3</v>
      </c>
      <c r="B128" s="100" t="s">
        <v>114</v>
      </c>
      <c r="C128" s="117">
        <v>6720</v>
      </c>
      <c r="D128" s="117">
        <v>8661</v>
      </c>
      <c r="E128" s="117">
        <f t="shared" si="18"/>
        <v>1941</v>
      </c>
      <c r="F128" s="98">
        <f t="shared" si="19"/>
        <v>0.28883928571428569</v>
      </c>
    </row>
    <row r="129" spans="1:6" ht="18" customHeight="1" x14ac:dyDescent="0.25">
      <c r="A129" s="99">
        <v>4</v>
      </c>
      <c r="B129" s="100" t="s">
        <v>115</v>
      </c>
      <c r="C129" s="117">
        <v>15088</v>
      </c>
      <c r="D129" s="117">
        <v>17673</v>
      </c>
      <c r="E129" s="117">
        <f t="shared" si="18"/>
        <v>2585</v>
      </c>
      <c r="F129" s="98">
        <f t="shared" si="19"/>
        <v>0.17132820784729585</v>
      </c>
    </row>
    <row r="130" spans="1:6" ht="18" customHeight="1" x14ac:dyDescent="0.25">
      <c r="A130" s="99">
        <v>5</v>
      </c>
      <c r="B130" s="100" t="s">
        <v>116</v>
      </c>
      <c r="C130" s="117">
        <v>450</v>
      </c>
      <c r="D130" s="117">
        <v>535</v>
      </c>
      <c r="E130" s="117">
        <f t="shared" si="18"/>
        <v>85</v>
      </c>
      <c r="F130" s="98">
        <f t="shared" si="19"/>
        <v>0.18888888888888888</v>
      </c>
    </row>
    <row r="131" spans="1:6" ht="18" customHeight="1" x14ac:dyDescent="0.25">
      <c r="A131" s="99">
        <v>6</v>
      </c>
      <c r="B131" s="100" t="s">
        <v>117</v>
      </c>
      <c r="C131" s="117">
        <v>74757</v>
      </c>
      <c r="D131" s="117">
        <v>73175</v>
      </c>
      <c r="E131" s="117">
        <f t="shared" si="18"/>
        <v>-1582</v>
      </c>
      <c r="F131" s="98">
        <f t="shared" si="19"/>
        <v>-2.1161897882472545E-2</v>
      </c>
    </row>
    <row r="132" spans="1:6" ht="18" customHeight="1" x14ac:dyDescent="0.25">
      <c r="A132" s="99">
        <v>7</v>
      </c>
      <c r="B132" s="100" t="s">
        <v>118</v>
      </c>
      <c r="C132" s="117">
        <v>0</v>
      </c>
      <c r="D132" s="117">
        <v>0</v>
      </c>
      <c r="E132" s="117">
        <f t="shared" si="18"/>
        <v>0</v>
      </c>
      <c r="F132" s="98">
        <f t="shared" si="19"/>
        <v>0</v>
      </c>
    </row>
    <row r="133" spans="1:6" ht="18" customHeight="1" x14ac:dyDescent="0.25">
      <c r="A133" s="99">
        <v>8</v>
      </c>
      <c r="B133" s="100" t="s">
        <v>119</v>
      </c>
      <c r="C133" s="117">
        <v>2037</v>
      </c>
      <c r="D133" s="117">
        <v>1851</v>
      </c>
      <c r="E133" s="117">
        <f t="shared" si="18"/>
        <v>-186</v>
      </c>
      <c r="F133" s="98">
        <f t="shared" si="19"/>
        <v>-9.1310751104565532E-2</v>
      </c>
    </row>
    <row r="134" spans="1:6" ht="18" customHeight="1" x14ac:dyDescent="0.25">
      <c r="A134" s="99">
        <v>9</v>
      </c>
      <c r="B134" s="100" t="s">
        <v>120</v>
      </c>
      <c r="C134" s="117">
        <v>4847</v>
      </c>
      <c r="D134" s="117">
        <v>4982</v>
      </c>
      <c r="E134" s="117">
        <f t="shared" si="18"/>
        <v>135</v>
      </c>
      <c r="F134" s="98">
        <f t="shared" si="19"/>
        <v>2.7852279760676706E-2</v>
      </c>
    </row>
    <row r="135" spans="1:6" ht="18" customHeight="1" x14ac:dyDescent="0.25">
      <c r="A135" s="99">
        <v>10</v>
      </c>
      <c r="B135" s="100" t="s">
        <v>121</v>
      </c>
      <c r="C135" s="117">
        <v>6777</v>
      </c>
      <c r="D135" s="117">
        <v>4005</v>
      </c>
      <c r="E135" s="117">
        <f t="shared" si="18"/>
        <v>-2772</v>
      </c>
      <c r="F135" s="98">
        <f t="shared" si="19"/>
        <v>-0.40903054448871184</v>
      </c>
    </row>
    <row r="136" spans="1:6" ht="18" customHeight="1" x14ac:dyDescent="0.25">
      <c r="A136" s="99">
        <v>11</v>
      </c>
      <c r="B136" s="100" t="s">
        <v>122</v>
      </c>
      <c r="C136" s="117">
        <v>102</v>
      </c>
      <c r="D136" s="117">
        <v>181</v>
      </c>
      <c r="E136" s="117">
        <f t="shared" si="18"/>
        <v>79</v>
      </c>
      <c r="F136" s="98">
        <f t="shared" si="19"/>
        <v>0.77450980392156865</v>
      </c>
    </row>
    <row r="137" spans="1:6" ht="18" customHeight="1" x14ac:dyDescent="0.25">
      <c r="A137" s="101"/>
      <c r="B137" s="102" t="s">
        <v>143</v>
      </c>
      <c r="C137" s="118">
        <f>SUM(C126:C136)</f>
        <v>158841</v>
      </c>
      <c r="D137" s="118">
        <f>SUM(D126:D136)</f>
        <v>159834</v>
      </c>
      <c r="E137" s="118">
        <f t="shared" si="18"/>
        <v>993</v>
      </c>
      <c r="F137" s="104">
        <f t="shared" si="19"/>
        <v>6.2515345534213456E-3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4487155</v>
      </c>
      <c r="D142" s="97">
        <v>5173583</v>
      </c>
      <c r="E142" s="97">
        <f t="shared" ref="E142:E153" si="20">D142-C142</f>
        <v>686428</v>
      </c>
      <c r="F142" s="98">
        <f t="shared" ref="F142:F153" si="21">IF(C142=0,0,E142/C142)</f>
        <v>0.15297621767021644</v>
      </c>
    </row>
    <row r="143" spans="1:6" ht="18" customHeight="1" x14ac:dyDescent="0.25">
      <c r="A143" s="99">
        <v>2</v>
      </c>
      <c r="B143" s="100" t="s">
        <v>113</v>
      </c>
      <c r="C143" s="97">
        <v>496648</v>
      </c>
      <c r="D143" s="97">
        <v>718141</v>
      </c>
      <c r="E143" s="97">
        <f t="shared" si="20"/>
        <v>221493</v>
      </c>
      <c r="F143" s="98">
        <f t="shared" si="21"/>
        <v>0.44597582191008522</v>
      </c>
    </row>
    <row r="144" spans="1:6" ht="18" customHeight="1" x14ac:dyDescent="0.25">
      <c r="A144" s="99">
        <v>3</v>
      </c>
      <c r="B144" s="100" t="s">
        <v>114</v>
      </c>
      <c r="C144" s="97">
        <v>2686678</v>
      </c>
      <c r="D144" s="97">
        <v>4284511</v>
      </c>
      <c r="E144" s="97">
        <f t="shared" si="20"/>
        <v>1597833</v>
      </c>
      <c r="F144" s="98">
        <f t="shared" si="21"/>
        <v>0.59472441431388501</v>
      </c>
    </row>
    <row r="145" spans="1:6" ht="18" customHeight="1" x14ac:dyDescent="0.25">
      <c r="A145" s="99">
        <v>4</v>
      </c>
      <c r="B145" s="100" t="s">
        <v>115</v>
      </c>
      <c r="C145" s="97">
        <v>6520795</v>
      </c>
      <c r="D145" s="97">
        <v>6808915</v>
      </c>
      <c r="E145" s="97">
        <f t="shared" si="20"/>
        <v>288120</v>
      </c>
      <c r="F145" s="98">
        <f t="shared" si="21"/>
        <v>4.4184796485704579E-2</v>
      </c>
    </row>
    <row r="146" spans="1:6" ht="18" customHeight="1" x14ac:dyDescent="0.25">
      <c r="A146" s="99">
        <v>5</v>
      </c>
      <c r="B146" s="100" t="s">
        <v>116</v>
      </c>
      <c r="C146" s="97">
        <v>218499</v>
      </c>
      <c r="D146" s="97">
        <v>280812</v>
      </c>
      <c r="E146" s="97">
        <f t="shared" si="20"/>
        <v>62313</v>
      </c>
      <c r="F146" s="98">
        <f t="shared" si="21"/>
        <v>0.28518665989318032</v>
      </c>
    </row>
    <row r="147" spans="1:6" ht="18" customHeight="1" x14ac:dyDescent="0.25">
      <c r="A147" s="99">
        <v>6</v>
      </c>
      <c r="B147" s="100" t="s">
        <v>117</v>
      </c>
      <c r="C147" s="97">
        <v>10283821</v>
      </c>
      <c r="D147" s="97">
        <v>11410289</v>
      </c>
      <c r="E147" s="97">
        <f t="shared" si="20"/>
        <v>1126468</v>
      </c>
      <c r="F147" s="98">
        <f t="shared" si="21"/>
        <v>0.10953788479982295</v>
      </c>
    </row>
    <row r="148" spans="1:6" ht="18" customHeight="1" x14ac:dyDescent="0.25">
      <c r="A148" s="99">
        <v>7</v>
      </c>
      <c r="B148" s="100" t="s">
        <v>118</v>
      </c>
      <c r="C148" s="97">
        <v>0</v>
      </c>
      <c r="D148" s="97">
        <v>0</v>
      </c>
      <c r="E148" s="97">
        <f t="shared" si="20"/>
        <v>0</v>
      </c>
      <c r="F148" s="98">
        <f t="shared" si="21"/>
        <v>0</v>
      </c>
    </row>
    <row r="149" spans="1:6" ht="18" customHeight="1" x14ac:dyDescent="0.25">
      <c r="A149" s="99">
        <v>8</v>
      </c>
      <c r="B149" s="100" t="s">
        <v>119</v>
      </c>
      <c r="C149" s="97">
        <v>485797</v>
      </c>
      <c r="D149" s="97">
        <v>502722</v>
      </c>
      <c r="E149" s="97">
        <f t="shared" si="20"/>
        <v>16925</v>
      </c>
      <c r="F149" s="98">
        <f t="shared" si="21"/>
        <v>3.4839655246944712E-2</v>
      </c>
    </row>
    <row r="150" spans="1:6" ht="18" customHeight="1" x14ac:dyDescent="0.25">
      <c r="A150" s="99">
        <v>9</v>
      </c>
      <c r="B150" s="100" t="s">
        <v>120</v>
      </c>
      <c r="C150" s="97">
        <v>2166838</v>
      </c>
      <c r="D150" s="97">
        <v>2236098</v>
      </c>
      <c r="E150" s="97">
        <f t="shared" si="20"/>
        <v>69260</v>
      </c>
      <c r="F150" s="98">
        <f t="shared" si="21"/>
        <v>3.1963626260938752E-2</v>
      </c>
    </row>
    <row r="151" spans="1:6" ht="18" customHeight="1" x14ac:dyDescent="0.25">
      <c r="A151" s="99">
        <v>10</v>
      </c>
      <c r="B151" s="100" t="s">
        <v>121</v>
      </c>
      <c r="C151" s="97">
        <v>3598286</v>
      </c>
      <c r="D151" s="97">
        <v>2237938</v>
      </c>
      <c r="E151" s="97">
        <f t="shared" si="20"/>
        <v>-1360348</v>
      </c>
      <c r="F151" s="98">
        <f t="shared" si="21"/>
        <v>-0.37805444036410668</v>
      </c>
    </row>
    <row r="152" spans="1:6" ht="18" customHeight="1" x14ac:dyDescent="0.25">
      <c r="A152" s="99">
        <v>11</v>
      </c>
      <c r="B152" s="100" t="s">
        <v>122</v>
      </c>
      <c r="C152" s="97">
        <v>287107</v>
      </c>
      <c r="D152" s="97">
        <v>141946</v>
      </c>
      <c r="E152" s="97">
        <f t="shared" si="20"/>
        <v>-145161</v>
      </c>
      <c r="F152" s="98">
        <f t="shared" si="21"/>
        <v>-0.50559895787981479</v>
      </c>
    </row>
    <row r="153" spans="1:6" ht="33.75" customHeight="1" x14ac:dyDescent="0.25">
      <c r="A153" s="101"/>
      <c r="B153" s="102" t="s">
        <v>147</v>
      </c>
      <c r="C153" s="103">
        <f>SUM(C142:C152)</f>
        <v>31231624</v>
      </c>
      <c r="D153" s="103">
        <f>SUM(D142:D152)</f>
        <v>33794955</v>
      </c>
      <c r="E153" s="103">
        <f t="shared" si="20"/>
        <v>2563331</v>
      </c>
      <c r="F153" s="104">
        <f t="shared" si="21"/>
        <v>8.2074854640924205E-2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1286713</v>
      </c>
      <c r="D155" s="97">
        <v>1476535</v>
      </c>
      <c r="E155" s="97">
        <f t="shared" ref="E155:E166" si="22">D155-C155</f>
        <v>189822</v>
      </c>
      <c r="F155" s="98">
        <f t="shared" ref="F155:F166" si="23">IF(C155=0,0,E155/C155)</f>
        <v>0.14752473939409955</v>
      </c>
    </row>
    <row r="156" spans="1:6" ht="18" customHeight="1" x14ac:dyDescent="0.25">
      <c r="A156" s="99">
        <v>2</v>
      </c>
      <c r="B156" s="100" t="s">
        <v>113</v>
      </c>
      <c r="C156" s="97">
        <v>145098</v>
      </c>
      <c r="D156" s="97">
        <v>202837</v>
      </c>
      <c r="E156" s="97">
        <f t="shared" si="22"/>
        <v>57739</v>
      </c>
      <c r="F156" s="98">
        <f t="shared" si="23"/>
        <v>0.39793105349487934</v>
      </c>
    </row>
    <row r="157" spans="1:6" ht="18" customHeight="1" x14ac:dyDescent="0.25">
      <c r="A157" s="99">
        <v>3</v>
      </c>
      <c r="B157" s="100" t="s">
        <v>114</v>
      </c>
      <c r="C157" s="97">
        <v>729990</v>
      </c>
      <c r="D157" s="97">
        <v>988662</v>
      </c>
      <c r="E157" s="97">
        <f t="shared" si="22"/>
        <v>258672</v>
      </c>
      <c r="F157" s="98">
        <f t="shared" si="23"/>
        <v>0.35435005958985738</v>
      </c>
    </row>
    <row r="158" spans="1:6" ht="18" customHeight="1" x14ac:dyDescent="0.25">
      <c r="A158" s="99">
        <v>4</v>
      </c>
      <c r="B158" s="100" t="s">
        <v>115</v>
      </c>
      <c r="C158" s="97">
        <v>2013165</v>
      </c>
      <c r="D158" s="97">
        <v>2008891</v>
      </c>
      <c r="E158" s="97">
        <f t="shared" si="22"/>
        <v>-4274</v>
      </c>
      <c r="F158" s="98">
        <f t="shared" si="23"/>
        <v>-2.1230251867084913E-3</v>
      </c>
    </row>
    <row r="159" spans="1:6" ht="18" customHeight="1" x14ac:dyDescent="0.25">
      <c r="A159" s="99">
        <v>5</v>
      </c>
      <c r="B159" s="100" t="s">
        <v>116</v>
      </c>
      <c r="C159" s="97">
        <v>107984</v>
      </c>
      <c r="D159" s="97">
        <v>100362</v>
      </c>
      <c r="E159" s="97">
        <f t="shared" si="22"/>
        <v>-7622</v>
      </c>
      <c r="F159" s="98">
        <f t="shared" si="23"/>
        <v>-7.0584531041635798E-2</v>
      </c>
    </row>
    <row r="160" spans="1:6" ht="18" customHeight="1" x14ac:dyDescent="0.25">
      <c r="A160" s="99">
        <v>6</v>
      </c>
      <c r="B160" s="100" t="s">
        <v>117</v>
      </c>
      <c r="C160" s="97">
        <v>4511234</v>
      </c>
      <c r="D160" s="97">
        <v>5149839</v>
      </c>
      <c r="E160" s="97">
        <f t="shared" si="22"/>
        <v>638605</v>
      </c>
      <c r="F160" s="98">
        <f t="shared" si="23"/>
        <v>0.14155882847132292</v>
      </c>
    </row>
    <row r="161" spans="1:6" ht="18" customHeight="1" x14ac:dyDescent="0.25">
      <c r="A161" s="99">
        <v>7</v>
      </c>
      <c r="B161" s="100" t="s">
        <v>118</v>
      </c>
      <c r="C161" s="97">
        <v>0</v>
      </c>
      <c r="D161" s="97">
        <v>0</v>
      </c>
      <c r="E161" s="97">
        <f t="shared" si="22"/>
        <v>0</v>
      </c>
      <c r="F161" s="98">
        <f t="shared" si="23"/>
        <v>0</v>
      </c>
    </row>
    <row r="162" spans="1:6" ht="18" customHeight="1" x14ac:dyDescent="0.25">
      <c r="A162" s="99">
        <v>8</v>
      </c>
      <c r="B162" s="100" t="s">
        <v>119</v>
      </c>
      <c r="C162" s="97">
        <v>322561</v>
      </c>
      <c r="D162" s="97">
        <v>386758</v>
      </c>
      <c r="E162" s="97">
        <f t="shared" si="22"/>
        <v>64197</v>
      </c>
      <c r="F162" s="98">
        <f t="shared" si="23"/>
        <v>0.19902282048976783</v>
      </c>
    </row>
    <row r="163" spans="1:6" ht="18" customHeight="1" x14ac:dyDescent="0.25">
      <c r="A163" s="99">
        <v>9</v>
      </c>
      <c r="B163" s="100" t="s">
        <v>120</v>
      </c>
      <c r="C163" s="97">
        <v>69764</v>
      </c>
      <c r="D163" s="97">
        <v>65233</v>
      </c>
      <c r="E163" s="97">
        <f t="shared" si="22"/>
        <v>-4531</v>
      </c>
      <c r="F163" s="98">
        <f t="shared" si="23"/>
        <v>-6.4947537411845654E-2</v>
      </c>
    </row>
    <row r="164" spans="1:6" ht="18" customHeight="1" x14ac:dyDescent="0.25">
      <c r="A164" s="99">
        <v>10</v>
      </c>
      <c r="B164" s="100" t="s">
        <v>121</v>
      </c>
      <c r="C164" s="97">
        <v>492111</v>
      </c>
      <c r="D164" s="97">
        <v>381059</v>
      </c>
      <c r="E164" s="97">
        <f t="shared" si="22"/>
        <v>-111052</v>
      </c>
      <c r="F164" s="98">
        <f t="shared" si="23"/>
        <v>-0.22566453503376271</v>
      </c>
    </row>
    <row r="165" spans="1:6" ht="18" customHeight="1" x14ac:dyDescent="0.25">
      <c r="A165" s="99">
        <v>11</v>
      </c>
      <c r="B165" s="100" t="s">
        <v>122</v>
      </c>
      <c r="C165" s="97">
        <v>59389</v>
      </c>
      <c r="D165" s="97">
        <v>36011</v>
      </c>
      <c r="E165" s="97">
        <f t="shared" si="22"/>
        <v>-23378</v>
      </c>
      <c r="F165" s="98">
        <f t="shared" si="23"/>
        <v>-0.39364192022091632</v>
      </c>
    </row>
    <row r="166" spans="1:6" ht="33.75" customHeight="1" x14ac:dyDescent="0.25">
      <c r="A166" s="101"/>
      <c r="B166" s="102" t="s">
        <v>149</v>
      </c>
      <c r="C166" s="103">
        <f>SUM(C155:C165)</f>
        <v>9738009</v>
      </c>
      <c r="D166" s="103">
        <f>SUM(D155:D165)</f>
        <v>10796187</v>
      </c>
      <c r="E166" s="103">
        <f t="shared" si="22"/>
        <v>1058178</v>
      </c>
      <c r="F166" s="104">
        <f t="shared" si="23"/>
        <v>0.10866471780833228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3190</v>
      </c>
      <c r="D168" s="117">
        <v>3606</v>
      </c>
      <c r="E168" s="117">
        <f t="shared" ref="E168:E179" si="24">D168-C168</f>
        <v>416</v>
      </c>
      <c r="F168" s="98">
        <f t="shared" ref="F168:F179" si="25">IF(C168=0,0,E168/C168)</f>
        <v>0.13040752351097179</v>
      </c>
    </row>
    <row r="169" spans="1:6" ht="18" customHeight="1" x14ac:dyDescent="0.25">
      <c r="A169" s="99">
        <v>2</v>
      </c>
      <c r="B169" s="100" t="s">
        <v>113</v>
      </c>
      <c r="C169" s="117">
        <v>359</v>
      </c>
      <c r="D169" s="117">
        <v>504</v>
      </c>
      <c r="E169" s="117">
        <f t="shared" si="24"/>
        <v>145</v>
      </c>
      <c r="F169" s="98">
        <f t="shared" si="25"/>
        <v>0.40389972144846797</v>
      </c>
    </row>
    <row r="170" spans="1:6" ht="18" customHeight="1" x14ac:dyDescent="0.25">
      <c r="A170" s="99">
        <v>3</v>
      </c>
      <c r="B170" s="100" t="s">
        <v>114</v>
      </c>
      <c r="C170" s="117">
        <v>1979</v>
      </c>
      <c r="D170" s="117">
        <v>3025</v>
      </c>
      <c r="E170" s="117">
        <f t="shared" si="24"/>
        <v>1046</v>
      </c>
      <c r="F170" s="98">
        <f t="shared" si="25"/>
        <v>0.52854977261243052</v>
      </c>
    </row>
    <row r="171" spans="1:6" ht="18" customHeight="1" x14ac:dyDescent="0.25">
      <c r="A171" s="99">
        <v>4</v>
      </c>
      <c r="B171" s="100" t="s">
        <v>115</v>
      </c>
      <c r="C171" s="117">
        <v>5811</v>
      </c>
      <c r="D171" s="117">
        <v>7185</v>
      </c>
      <c r="E171" s="117">
        <f t="shared" si="24"/>
        <v>1374</v>
      </c>
      <c r="F171" s="98">
        <f t="shared" si="25"/>
        <v>0.23644811564274651</v>
      </c>
    </row>
    <row r="172" spans="1:6" ht="18" customHeight="1" x14ac:dyDescent="0.25">
      <c r="A172" s="99">
        <v>5</v>
      </c>
      <c r="B172" s="100" t="s">
        <v>116</v>
      </c>
      <c r="C172" s="117">
        <v>212</v>
      </c>
      <c r="D172" s="117">
        <v>266</v>
      </c>
      <c r="E172" s="117">
        <f t="shared" si="24"/>
        <v>54</v>
      </c>
      <c r="F172" s="98">
        <f t="shared" si="25"/>
        <v>0.25471698113207547</v>
      </c>
    </row>
    <row r="173" spans="1:6" ht="18" customHeight="1" x14ac:dyDescent="0.25">
      <c r="A173" s="99">
        <v>6</v>
      </c>
      <c r="B173" s="100" t="s">
        <v>117</v>
      </c>
      <c r="C173" s="117">
        <v>8757</v>
      </c>
      <c r="D173" s="117">
        <v>9316</v>
      </c>
      <c r="E173" s="117">
        <f t="shared" si="24"/>
        <v>559</v>
      </c>
      <c r="F173" s="98">
        <f t="shared" si="25"/>
        <v>6.3834646568459524E-2</v>
      </c>
    </row>
    <row r="174" spans="1:6" ht="18" customHeight="1" x14ac:dyDescent="0.25">
      <c r="A174" s="99">
        <v>7</v>
      </c>
      <c r="B174" s="100" t="s">
        <v>118</v>
      </c>
      <c r="C174" s="117">
        <v>0</v>
      </c>
      <c r="D174" s="117">
        <v>0</v>
      </c>
      <c r="E174" s="117">
        <f t="shared" si="24"/>
        <v>0</v>
      </c>
      <c r="F174" s="98">
        <f t="shared" si="25"/>
        <v>0</v>
      </c>
    </row>
    <row r="175" spans="1:6" ht="18" customHeight="1" x14ac:dyDescent="0.25">
      <c r="A175" s="99">
        <v>8</v>
      </c>
      <c r="B175" s="100" t="s">
        <v>119</v>
      </c>
      <c r="C175" s="117">
        <v>717</v>
      </c>
      <c r="D175" s="117">
        <v>698</v>
      </c>
      <c r="E175" s="117">
        <f t="shared" si="24"/>
        <v>-19</v>
      </c>
      <c r="F175" s="98">
        <f t="shared" si="25"/>
        <v>-2.6499302649930265E-2</v>
      </c>
    </row>
    <row r="176" spans="1:6" ht="18" customHeight="1" x14ac:dyDescent="0.25">
      <c r="A176" s="99">
        <v>9</v>
      </c>
      <c r="B176" s="100" t="s">
        <v>120</v>
      </c>
      <c r="C176" s="117">
        <v>2304</v>
      </c>
      <c r="D176" s="117">
        <v>2313</v>
      </c>
      <c r="E176" s="117">
        <f t="shared" si="24"/>
        <v>9</v>
      </c>
      <c r="F176" s="98">
        <f t="shared" si="25"/>
        <v>3.90625E-3</v>
      </c>
    </row>
    <row r="177" spans="1:6" ht="18" customHeight="1" x14ac:dyDescent="0.25">
      <c r="A177" s="99">
        <v>10</v>
      </c>
      <c r="B177" s="100" t="s">
        <v>121</v>
      </c>
      <c r="C177" s="117">
        <v>2679</v>
      </c>
      <c r="D177" s="117">
        <v>1670</v>
      </c>
      <c r="E177" s="117">
        <f t="shared" si="24"/>
        <v>-1009</v>
      </c>
      <c r="F177" s="98">
        <f t="shared" si="25"/>
        <v>-0.37663307204180663</v>
      </c>
    </row>
    <row r="178" spans="1:6" ht="18" customHeight="1" x14ac:dyDescent="0.25">
      <c r="A178" s="99">
        <v>11</v>
      </c>
      <c r="B178" s="100" t="s">
        <v>122</v>
      </c>
      <c r="C178" s="117">
        <v>285</v>
      </c>
      <c r="D178" s="117">
        <v>114</v>
      </c>
      <c r="E178" s="117">
        <f t="shared" si="24"/>
        <v>-171</v>
      </c>
      <c r="F178" s="98">
        <f t="shared" si="25"/>
        <v>-0.6</v>
      </c>
    </row>
    <row r="179" spans="1:6" ht="33.75" customHeight="1" x14ac:dyDescent="0.25">
      <c r="A179" s="101"/>
      <c r="B179" s="102" t="s">
        <v>151</v>
      </c>
      <c r="C179" s="118">
        <f>SUM(C168:C178)</f>
        <v>26293</v>
      </c>
      <c r="D179" s="118">
        <f>SUM(D168:D178)</f>
        <v>28697</v>
      </c>
      <c r="E179" s="118">
        <f t="shared" si="24"/>
        <v>2404</v>
      </c>
      <c r="F179" s="104">
        <f t="shared" si="25"/>
        <v>9.1431179401361584E-2</v>
      </c>
    </row>
  </sheetData>
  <mergeCells count="23"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39:A40"/>
    <mergeCell ref="B39:B40"/>
    <mergeCell ref="C39:F40"/>
    <mergeCell ref="A53:A54"/>
    <mergeCell ref="B53:B54"/>
    <mergeCell ref="C53:F54"/>
    <mergeCell ref="A2:F2"/>
    <mergeCell ref="A3:F3"/>
    <mergeCell ref="A4:F4"/>
    <mergeCell ref="A5:F5"/>
    <mergeCell ref="C9:F9"/>
    <mergeCell ref="A10:A11"/>
    <mergeCell ref="B10:B11"/>
    <mergeCell ref="C10:F11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FILING&amp;RWINDHAM COMMUNITY MEMORIAL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>
      <selection activeCell="B4" sqref="B4"/>
    </sheetView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15137005</v>
      </c>
      <c r="D15" s="146">
        <v>12409863</v>
      </c>
      <c r="E15" s="146">
        <f>+D15-C15</f>
        <v>-2727142</v>
      </c>
      <c r="F15" s="150">
        <f>IF(C15=0,0,E15/C15)</f>
        <v>-0.18016390957127912</v>
      </c>
    </row>
    <row r="16" spans="1:7" ht="15" customHeight="1" x14ac:dyDescent="0.2">
      <c r="A16" s="141">
        <v>2</v>
      </c>
      <c r="B16" s="149" t="s">
        <v>158</v>
      </c>
      <c r="C16" s="146">
        <v>127711</v>
      </c>
      <c r="D16" s="146">
        <v>887642</v>
      </c>
      <c r="E16" s="146">
        <f>+D16-C16</f>
        <v>759931</v>
      </c>
      <c r="F16" s="150">
        <f>IF(C16=0,0,E16/C16)</f>
        <v>5.9503958155523016</v>
      </c>
    </row>
    <row r="17" spans="1:7" ht="15" customHeight="1" x14ac:dyDescent="0.2">
      <c r="A17" s="141">
        <v>3</v>
      </c>
      <c r="B17" s="149" t="s">
        <v>159</v>
      </c>
      <c r="C17" s="146">
        <v>21833969</v>
      </c>
      <c r="D17" s="146">
        <v>26003628</v>
      </c>
      <c r="E17" s="146">
        <f>+D17-C17</f>
        <v>4169659</v>
      </c>
      <c r="F17" s="150">
        <f>IF(C17=0,0,E17/C17)</f>
        <v>0.19097118806021937</v>
      </c>
    </row>
    <row r="18" spans="1:7" ht="15.75" customHeight="1" x14ac:dyDescent="0.25">
      <c r="A18" s="141"/>
      <c r="B18" s="151" t="s">
        <v>160</v>
      </c>
      <c r="C18" s="147">
        <f>SUM(C15:C17)</f>
        <v>37098685</v>
      </c>
      <c r="D18" s="147">
        <f>SUM(D15:D17)</f>
        <v>39301133</v>
      </c>
      <c r="E18" s="147">
        <f>+D18-C18</f>
        <v>2202448</v>
      </c>
      <c r="F18" s="148">
        <f>IF(C18=0,0,E18/C18)</f>
        <v>5.9367279460174935E-2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5158691</v>
      </c>
      <c r="D21" s="146">
        <v>4602323</v>
      </c>
      <c r="E21" s="146">
        <f>+D21-C21</f>
        <v>-556368</v>
      </c>
      <c r="F21" s="150">
        <f>IF(C21=0,0,E21/C21)</f>
        <v>-0.10785061559221128</v>
      </c>
    </row>
    <row r="22" spans="1:7" ht="15" customHeight="1" x14ac:dyDescent="0.2">
      <c r="A22" s="141">
        <v>2</v>
      </c>
      <c r="B22" s="149" t="s">
        <v>163</v>
      </c>
      <c r="C22" s="146">
        <v>43524</v>
      </c>
      <c r="D22" s="146">
        <v>329191</v>
      </c>
      <c r="E22" s="146">
        <f>+D22-C22</f>
        <v>285667</v>
      </c>
      <c r="F22" s="150">
        <f>IF(C22=0,0,E22/C22)</f>
        <v>6.5634362650491687</v>
      </c>
    </row>
    <row r="23" spans="1:7" ht="15" customHeight="1" x14ac:dyDescent="0.2">
      <c r="A23" s="141">
        <v>3</v>
      </c>
      <c r="B23" s="149" t="s">
        <v>164</v>
      </c>
      <c r="C23" s="146">
        <v>7444319</v>
      </c>
      <c r="D23" s="146">
        <v>9643709</v>
      </c>
      <c r="E23" s="146">
        <f>+D23-C23</f>
        <v>2199390</v>
      </c>
      <c r="F23" s="150">
        <f>IF(C23=0,0,E23/C23)</f>
        <v>0.29544542623710779</v>
      </c>
    </row>
    <row r="24" spans="1:7" ht="15.75" customHeight="1" x14ac:dyDescent="0.25">
      <c r="A24" s="141"/>
      <c r="B24" s="151" t="s">
        <v>165</v>
      </c>
      <c r="C24" s="147">
        <f>SUM(C21:C23)</f>
        <v>12646534</v>
      </c>
      <c r="D24" s="147">
        <f>SUM(D21:D23)</f>
        <v>14575223</v>
      </c>
      <c r="E24" s="147">
        <f>+D24-C24</f>
        <v>1928689</v>
      </c>
      <c r="F24" s="148">
        <f>IF(C24=0,0,E24/C24)</f>
        <v>0.15250731939676121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663417</v>
      </c>
      <c r="D27" s="146">
        <v>592337</v>
      </c>
      <c r="E27" s="146">
        <f>+D27-C27</f>
        <v>-71080</v>
      </c>
      <c r="F27" s="150">
        <f>IF(C27=0,0,E27/C27)</f>
        <v>-0.10714226497059919</v>
      </c>
    </row>
    <row r="28" spans="1:7" ht="15" customHeight="1" x14ac:dyDescent="0.2">
      <c r="A28" s="141">
        <v>2</v>
      </c>
      <c r="B28" s="149" t="s">
        <v>168</v>
      </c>
      <c r="C28" s="146">
        <v>910707</v>
      </c>
      <c r="D28" s="146">
        <v>932425</v>
      </c>
      <c r="E28" s="146">
        <f>+D28-C28</f>
        <v>21718</v>
      </c>
      <c r="F28" s="150">
        <f>IF(C28=0,0,E28/C28)</f>
        <v>2.3847406465526234E-2</v>
      </c>
    </row>
    <row r="29" spans="1:7" ht="15" customHeight="1" x14ac:dyDescent="0.2">
      <c r="A29" s="141">
        <v>3</v>
      </c>
      <c r="B29" s="149" t="s">
        <v>169</v>
      </c>
      <c r="C29" s="146">
        <v>5514297</v>
      </c>
      <c r="D29" s="146">
        <v>5853147</v>
      </c>
      <c r="E29" s="146">
        <f>+D29-C29</f>
        <v>338850</v>
      </c>
      <c r="F29" s="150">
        <f>IF(C29=0,0,E29/C29)</f>
        <v>6.1449356101058755E-2</v>
      </c>
    </row>
    <row r="30" spans="1:7" ht="15.75" customHeight="1" x14ac:dyDescent="0.25">
      <c r="A30" s="141"/>
      <c r="B30" s="151" t="s">
        <v>170</v>
      </c>
      <c r="C30" s="147">
        <f>SUM(C27:C29)</f>
        <v>7088421</v>
      </c>
      <c r="D30" s="147">
        <f>SUM(D27:D29)</f>
        <v>7377909</v>
      </c>
      <c r="E30" s="147">
        <f>+D30-C30</f>
        <v>289488</v>
      </c>
      <c r="F30" s="148">
        <f>IF(C30=0,0,E30/C30)</f>
        <v>4.0839560742794483E-2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7012568</v>
      </c>
      <c r="D33" s="146">
        <v>5671740</v>
      </c>
      <c r="E33" s="146">
        <f>+D33-C33</f>
        <v>-1340828</v>
      </c>
      <c r="F33" s="150">
        <f>IF(C33=0,0,E33/C33)</f>
        <v>-0.19120356479965683</v>
      </c>
    </row>
    <row r="34" spans="1:7" ht="15" customHeight="1" x14ac:dyDescent="0.2">
      <c r="A34" s="141">
        <v>2</v>
      </c>
      <c r="B34" s="149" t="s">
        <v>174</v>
      </c>
      <c r="C34" s="146">
        <v>2273633</v>
      </c>
      <c r="D34" s="146">
        <v>2323288</v>
      </c>
      <c r="E34" s="146">
        <f>+D34-C34</f>
        <v>49655</v>
      </c>
      <c r="F34" s="150">
        <f>IF(C34=0,0,E34/C34)</f>
        <v>2.1839496523845318E-2</v>
      </c>
    </row>
    <row r="35" spans="1:7" ht="15.75" customHeight="1" x14ac:dyDescent="0.25">
      <c r="A35" s="141"/>
      <c r="B35" s="151" t="s">
        <v>175</v>
      </c>
      <c r="C35" s="147">
        <f>SUM(C33:C34)</f>
        <v>9286201</v>
      </c>
      <c r="D35" s="147">
        <f>SUM(D33:D34)</f>
        <v>7995028</v>
      </c>
      <c r="E35" s="147">
        <f>+D35-C35</f>
        <v>-1291173</v>
      </c>
      <c r="F35" s="148">
        <f>IF(C35=0,0,E35/C35)</f>
        <v>-0.13904211205421893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1556957</v>
      </c>
      <c r="D38" s="146">
        <v>1663918</v>
      </c>
      <c r="E38" s="146">
        <f>+D38-C38</f>
        <v>106961</v>
      </c>
      <c r="F38" s="150">
        <f>IF(C38=0,0,E38/C38)</f>
        <v>6.8698750190275007E-2</v>
      </c>
    </row>
    <row r="39" spans="1:7" ht="15" customHeight="1" x14ac:dyDescent="0.2">
      <c r="A39" s="141">
        <v>2</v>
      </c>
      <c r="B39" s="149" t="s">
        <v>179</v>
      </c>
      <c r="C39" s="146">
        <v>2861847</v>
      </c>
      <c r="D39" s="146">
        <v>2843074</v>
      </c>
      <c r="E39" s="146">
        <f>+D39-C39</f>
        <v>-18773</v>
      </c>
      <c r="F39" s="150">
        <f>IF(C39=0,0,E39/C39)</f>
        <v>-6.5597497001062604E-3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15910</v>
      </c>
      <c r="E40" s="146">
        <f>+D40-C40</f>
        <v>15910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4418804</v>
      </c>
      <c r="D41" s="147">
        <f>SUM(D38:D40)</f>
        <v>4522902</v>
      </c>
      <c r="E41" s="147">
        <f>+D41-C41</f>
        <v>104098</v>
      </c>
      <c r="F41" s="148">
        <f>IF(C41=0,0,E41/C41)</f>
        <v>2.3557958216748241E-2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4595065</v>
      </c>
      <c r="D44" s="146">
        <v>5459445</v>
      </c>
      <c r="E44" s="146">
        <f>+D44-C44</f>
        <v>864380</v>
      </c>
      <c r="F44" s="150">
        <f>IF(C44=0,0,E44/C44)</f>
        <v>0.18811050550971531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1483430</v>
      </c>
      <c r="D47" s="146">
        <v>1557105</v>
      </c>
      <c r="E47" s="146">
        <f>+D47-C47</f>
        <v>73675</v>
      </c>
      <c r="F47" s="150">
        <f>IF(C47=0,0,E47/C47)</f>
        <v>4.9665302710609871E-2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980763</v>
      </c>
      <c r="D50" s="146">
        <v>635157</v>
      </c>
      <c r="E50" s="146">
        <f>+D50-C50</f>
        <v>-345606</v>
      </c>
      <c r="F50" s="150">
        <f>IF(C50=0,0,E50/C50)</f>
        <v>-0.35238482691537099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97451</v>
      </c>
      <c r="D53" s="146">
        <v>81761</v>
      </c>
      <c r="E53" s="146">
        <f t="shared" ref="E53:E59" si="0">+D53-C53</f>
        <v>-15690</v>
      </c>
      <c r="F53" s="150">
        <f t="shared" ref="F53:F59" si="1">IF(C53=0,0,E53/C53)</f>
        <v>-0.16100399174969984</v>
      </c>
    </row>
    <row r="54" spans="1:7" ht="15" customHeight="1" x14ac:dyDescent="0.2">
      <c r="A54" s="141">
        <v>2</v>
      </c>
      <c r="B54" s="149" t="s">
        <v>193</v>
      </c>
      <c r="C54" s="146">
        <v>706731</v>
      </c>
      <c r="D54" s="146">
        <v>848236</v>
      </c>
      <c r="E54" s="146">
        <f t="shared" si="0"/>
        <v>141505</v>
      </c>
      <c r="F54" s="150">
        <f t="shared" si="1"/>
        <v>0.20022469652526917</v>
      </c>
    </row>
    <row r="55" spans="1:7" ht="15" customHeight="1" x14ac:dyDescent="0.2">
      <c r="A55" s="141">
        <v>3</v>
      </c>
      <c r="B55" s="149" t="s">
        <v>194</v>
      </c>
      <c r="C55" s="146">
        <v>18761</v>
      </c>
      <c r="D55" s="146">
        <v>2488</v>
      </c>
      <c r="E55" s="146">
        <f t="shared" si="0"/>
        <v>-16273</v>
      </c>
      <c r="F55" s="150">
        <f t="shared" si="1"/>
        <v>-0.86738446777890299</v>
      </c>
    </row>
    <row r="56" spans="1:7" ht="15" customHeight="1" x14ac:dyDescent="0.2">
      <c r="A56" s="141">
        <v>4</v>
      </c>
      <c r="B56" s="149" t="s">
        <v>195</v>
      </c>
      <c r="C56" s="146">
        <v>780780</v>
      </c>
      <c r="D56" s="146">
        <v>670559</v>
      </c>
      <c r="E56" s="146">
        <f t="shared" si="0"/>
        <v>-110221</v>
      </c>
      <c r="F56" s="150">
        <f t="shared" si="1"/>
        <v>-0.14116780655242195</v>
      </c>
    </row>
    <row r="57" spans="1:7" ht="15" customHeight="1" x14ac:dyDescent="0.2">
      <c r="A57" s="141">
        <v>5</v>
      </c>
      <c r="B57" s="149" t="s">
        <v>196</v>
      </c>
      <c r="C57" s="146">
        <v>125087</v>
      </c>
      <c r="D57" s="146">
        <v>139052</v>
      </c>
      <c r="E57" s="146">
        <f t="shared" si="0"/>
        <v>13965</v>
      </c>
      <c r="F57" s="150">
        <f t="shared" si="1"/>
        <v>0.11164229696131492</v>
      </c>
    </row>
    <row r="58" spans="1:7" ht="15" customHeight="1" x14ac:dyDescent="0.2">
      <c r="A58" s="141">
        <v>6</v>
      </c>
      <c r="B58" s="149" t="s">
        <v>197</v>
      </c>
      <c r="C58" s="146">
        <v>0</v>
      </c>
      <c r="D58" s="146">
        <v>0</v>
      </c>
      <c r="E58" s="146">
        <f t="shared" si="0"/>
        <v>0</v>
      </c>
      <c r="F58" s="150">
        <f t="shared" si="1"/>
        <v>0</v>
      </c>
    </row>
    <row r="59" spans="1:7" ht="15.75" customHeight="1" x14ac:dyDescent="0.25">
      <c r="A59" s="141"/>
      <c r="B59" s="151" t="s">
        <v>198</v>
      </c>
      <c r="C59" s="147">
        <f>SUM(C53:C58)</f>
        <v>1728810</v>
      </c>
      <c r="D59" s="147">
        <f>SUM(D53:D58)</f>
        <v>1742096</v>
      </c>
      <c r="E59" s="147">
        <f t="shared" si="0"/>
        <v>13286</v>
      </c>
      <c r="F59" s="148">
        <f t="shared" si="1"/>
        <v>7.6850550378584114E-3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150392</v>
      </c>
      <c r="D62" s="146">
        <v>196835</v>
      </c>
      <c r="E62" s="146">
        <f t="shared" ref="E62:E78" si="2">+D62-C62</f>
        <v>46443</v>
      </c>
      <c r="F62" s="150">
        <f t="shared" ref="F62:F78" si="3">IF(C62=0,0,E62/C62)</f>
        <v>0.30881296877493486</v>
      </c>
    </row>
    <row r="63" spans="1:7" ht="15" customHeight="1" x14ac:dyDescent="0.2">
      <c r="A63" s="141">
        <v>2</v>
      </c>
      <c r="B63" s="149" t="s">
        <v>202</v>
      </c>
      <c r="C63" s="146">
        <v>365969</v>
      </c>
      <c r="D63" s="146">
        <v>311514</v>
      </c>
      <c r="E63" s="146">
        <f t="shared" si="2"/>
        <v>-54455</v>
      </c>
      <c r="F63" s="150">
        <f t="shared" si="3"/>
        <v>-0.14879675600938877</v>
      </c>
    </row>
    <row r="64" spans="1:7" ht="15" customHeight="1" x14ac:dyDescent="0.2">
      <c r="A64" s="141">
        <v>3</v>
      </c>
      <c r="B64" s="149" t="s">
        <v>203</v>
      </c>
      <c r="C64" s="146">
        <v>248583</v>
      </c>
      <c r="D64" s="146">
        <v>149511</v>
      </c>
      <c r="E64" s="146">
        <f t="shared" si="2"/>
        <v>-99072</v>
      </c>
      <c r="F64" s="150">
        <f t="shared" si="3"/>
        <v>-0.39854696419304619</v>
      </c>
    </row>
    <row r="65" spans="1:7" ht="15" customHeight="1" x14ac:dyDescent="0.2">
      <c r="A65" s="141">
        <v>4</v>
      </c>
      <c r="B65" s="149" t="s">
        <v>204</v>
      </c>
      <c r="C65" s="146">
        <v>419385</v>
      </c>
      <c r="D65" s="146">
        <v>371726</v>
      </c>
      <c r="E65" s="146">
        <f t="shared" si="2"/>
        <v>-47659</v>
      </c>
      <c r="F65" s="150">
        <f t="shared" si="3"/>
        <v>-0.11364021126172848</v>
      </c>
    </row>
    <row r="66" spans="1:7" ht="15" customHeight="1" x14ac:dyDescent="0.2">
      <c r="A66" s="141">
        <v>5</v>
      </c>
      <c r="B66" s="149" t="s">
        <v>205</v>
      </c>
      <c r="C66" s="146">
        <v>602604</v>
      </c>
      <c r="D66" s="146">
        <v>686518</v>
      </c>
      <c r="E66" s="146">
        <f t="shared" si="2"/>
        <v>83914</v>
      </c>
      <c r="F66" s="150">
        <f t="shared" si="3"/>
        <v>0.13925231163417434</v>
      </c>
    </row>
    <row r="67" spans="1:7" ht="15" customHeight="1" x14ac:dyDescent="0.2">
      <c r="A67" s="141">
        <v>6</v>
      </c>
      <c r="B67" s="149" t="s">
        <v>206</v>
      </c>
      <c r="C67" s="146">
        <v>119718</v>
      </c>
      <c r="D67" s="146">
        <v>175865</v>
      </c>
      <c r="E67" s="146">
        <f t="shared" si="2"/>
        <v>56147</v>
      </c>
      <c r="F67" s="150">
        <f t="shared" si="3"/>
        <v>0.46899380210160546</v>
      </c>
    </row>
    <row r="68" spans="1:7" ht="15" customHeight="1" x14ac:dyDescent="0.2">
      <c r="A68" s="141">
        <v>7</v>
      </c>
      <c r="B68" s="149" t="s">
        <v>207</v>
      </c>
      <c r="C68" s="146">
        <v>2385947</v>
      </c>
      <c r="D68" s="146">
        <v>2642551</v>
      </c>
      <c r="E68" s="146">
        <f t="shared" si="2"/>
        <v>256604</v>
      </c>
      <c r="F68" s="150">
        <f t="shared" si="3"/>
        <v>0.1075480721072178</v>
      </c>
    </row>
    <row r="69" spans="1:7" ht="15" customHeight="1" x14ac:dyDescent="0.2">
      <c r="A69" s="141">
        <v>8</v>
      </c>
      <c r="B69" s="149" t="s">
        <v>208</v>
      </c>
      <c r="C69" s="146">
        <v>220231</v>
      </c>
      <c r="D69" s="146">
        <v>408819</v>
      </c>
      <c r="E69" s="146">
        <f t="shared" si="2"/>
        <v>188588</v>
      </c>
      <c r="F69" s="150">
        <f t="shared" si="3"/>
        <v>0.85631904681902182</v>
      </c>
    </row>
    <row r="70" spans="1:7" ht="15" customHeight="1" x14ac:dyDescent="0.2">
      <c r="A70" s="141">
        <v>9</v>
      </c>
      <c r="B70" s="149" t="s">
        <v>209</v>
      </c>
      <c r="C70" s="146">
        <v>67447</v>
      </c>
      <c r="D70" s="146">
        <v>72501</v>
      </c>
      <c r="E70" s="146">
        <f t="shared" si="2"/>
        <v>5054</v>
      </c>
      <c r="F70" s="150">
        <f t="shared" si="3"/>
        <v>7.4932910285112758E-2</v>
      </c>
    </row>
    <row r="71" spans="1:7" ht="15" customHeight="1" x14ac:dyDescent="0.2">
      <c r="A71" s="141">
        <v>10</v>
      </c>
      <c r="B71" s="149" t="s">
        <v>210</v>
      </c>
      <c r="C71" s="146">
        <v>164847</v>
      </c>
      <c r="D71" s="146">
        <v>148574</v>
      </c>
      <c r="E71" s="146">
        <f t="shared" si="2"/>
        <v>-16273</v>
      </c>
      <c r="F71" s="150">
        <f t="shared" si="3"/>
        <v>-9.8715778873743526E-2</v>
      </c>
    </row>
    <row r="72" spans="1:7" ht="15" customHeight="1" x14ac:dyDescent="0.2">
      <c r="A72" s="141">
        <v>11</v>
      </c>
      <c r="B72" s="149" t="s">
        <v>211</v>
      </c>
      <c r="C72" s="146">
        <v>77698</v>
      </c>
      <c r="D72" s="146">
        <v>71179</v>
      </c>
      <c r="E72" s="146">
        <f t="shared" si="2"/>
        <v>-6519</v>
      </c>
      <c r="F72" s="150">
        <f t="shared" si="3"/>
        <v>-8.390177353342429E-2</v>
      </c>
    </row>
    <row r="73" spans="1:7" ht="15" customHeight="1" x14ac:dyDescent="0.2">
      <c r="A73" s="141">
        <v>12</v>
      </c>
      <c r="B73" s="149" t="s">
        <v>212</v>
      </c>
      <c r="C73" s="146">
        <v>209391</v>
      </c>
      <c r="D73" s="146">
        <v>1401737</v>
      </c>
      <c r="E73" s="146">
        <f t="shared" si="2"/>
        <v>1192346</v>
      </c>
      <c r="F73" s="150">
        <f t="shared" si="3"/>
        <v>5.6943517152122105</v>
      </c>
    </row>
    <row r="74" spans="1:7" ht="15" customHeight="1" x14ac:dyDescent="0.2">
      <c r="A74" s="141">
        <v>13</v>
      </c>
      <c r="B74" s="149" t="s">
        <v>213</v>
      </c>
      <c r="C74" s="146">
        <v>73436</v>
      </c>
      <c r="D74" s="146">
        <v>65091</v>
      </c>
      <c r="E74" s="146">
        <f t="shared" si="2"/>
        <v>-8345</v>
      </c>
      <c r="F74" s="150">
        <f t="shared" si="3"/>
        <v>-0.11363636363636363</v>
      </c>
    </row>
    <row r="75" spans="1:7" ht="15" customHeight="1" x14ac:dyDescent="0.2">
      <c r="A75" s="141">
        <v>14</v>
      </c>
      <c r="B75" s="149" t="s">
        <v>214</v>
      </c>
      <c r="C75" s="146">
        <v>129497</v>
      </c>
      <c r="D75" s="146">
        <v>138053</v>
      </c>
      <c r="E75" s="146">
        <f t="shared" si="2"/>
        <v>8556</v>
      </c>
      <c r="F75" s="150">
        <f t="shared" si="3"/>
        <v>6.6071028672478896E-2</v>
      </c>
    </row>
    <row r="76" spans="1:7" ht="15" customHeight="1" x14ac:dyDescent="0.2">
      <c r="A76" s="141">
        <v>15</v>
      </c>
      <c r="B76" s="149" t="s">
        <v>215</v>
      </c>
      <c r="C76" s="146">
        <v>180847</v>
      </c>
      <c r="D76" s="146">
        <v>267748</v>
      </c>
      <c r="E76" s="146">
        <f t="shared" si="2"/>
        <v>86901</v>
      </c>
      <c r="F76" s="150">
        <f t="shared" si="3"/>
        <v>0.48052220938141083</v>
      </c>
    </row>
    <row r="77" spans="1:7" ht="15" customHeight="1" x14ac:dyDescent="0.2">
      <c r="A77" s="141">
        <v>16</v>
      </c>
      <c r="B77" s="149" t="s">
        <v>216</v>
      </c>
      <c r="C77" s="146">
        <v>574630</v>
      </c>
      <c r="D77" s="146">
        <v>281781</v>
      </c>
      <c r="E77" s="146">
        <f t="shared" si="2"/>
        <v>-292849</v>
      </c>
      <c r="F77" s="150">
        <f t="shared" si="3"/>
        <v>-0.5096305448723526</v>
      </c>
    </row>
    <row r="78" spans="1:7" ht="15.75" customHeight="1" x14ac:dyDescent="0.25">
      <c r="A78" s="141"/>
      <c r="B78" s="151" t="s">
        <v>217</v>
      </c>
      <c r="C78" s="147">
        <f>SUM(C62:C77)</f>
        <v>5990622</v>
      </c>
      <c r="D78" s="147">
        <f>SUM(D62:D77)</f>
        <v>7390003</v>
      </c>
      <c r="E78" s="147">
        <f t="shared" si="2"/>
        <v>1399381</v>
      </c>
      <c r="F78" s="148">
        <f t="shared" si="3"/>
        <v>0.23359527608318467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83822</v>
      </c>
      <c r="D81" s="146">
        <v>945817</v>
      </c>
      <c r="E81" s="146">
        <f>+D81-C81</f>
        <v>861995</v>
      </c>
      <c r="F81" s="150">
        <f>IF(C81=0,0,E81/C81)</f>
        <v>10.283636754074109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85401157</v>
      </c>
      <c r="D83" s="147">
        <f>+D81+D78+D59+D50+D47+D44+D41+D35+D30+D24+D18</f>
        <v>91501818</v>
      </c>
      <c r="E83" s="147">
        <f>+D83-C83</f>
        <v>6100661</v>
      </c>
      <c r="F83" s="148">
        <f>IF(C83=0,0,E83/C83)</f>
        <v>7.1435343668704632E-2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1580099</v>
      </c>
      <c r="D91" s="146">
        <v>2779388</v>
      </c>
      <c r="E91" s="146">
        <f t="shared" ref="E91:E109" si="4">D91-C91</f>
        <v>1199289</v>
      </c>
      <c r="F91" s="150">
        <f t="shared" ref="F91:F109" si="5">IF(C91=0,0,E91/C91)</f>
        <v>0.75899611353465823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739808</v>
      </c>
      <c r="D92" s="146">
        <v>754250</v>
      </c>
      <c r="E92" s="146">
        <f t="shared" si="4"/>
        <v>14442</v>
      </c>
      <c r="F92" s="150">
        <f t="shared" si="5"/>
        <v>1.9521281197283618E-2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589955</v>
      </c>
      <c r="D93" s="146">
        <v>604333</v>
      </c>
      <c r="E93" s="146">
        <f t="shared" si="4"/>
        <v>14378</v>
      </c>
      <c r="F93" s="150">
        <f t="shared" si="5"/>
        <v>2.4371350357230637E-2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1833396</v>
      </c>
      <c r="D94" s="146">
        <v>1466725</v>
      </c>
      <c r="E94" s="146">
        <f t="shared" si="4"/>
        <v>-366671</v>
      </c>
      <c r="F94" s="150">
        <f t="shared" si="5"/>
        <v>-0.199995527425608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1999012</v>
      </c>
      <c r="D95" s="146">
        <v>2121519</v>
      </c>
      <c r="E95" s="146">
        <f t="shared" si="4"/>
        <v>122507</v>
      </c>
      <c r="F95" s="150">
        <f t="shared" si="5"/>
        <v>6.1283774184447116E-2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151269</v>
      </c>
      <c r="D96" s="146">
        <v>160250</v>
      </c>
      <c r="E96" s="146">
        <f t="shared" si="4"/>
        <v>8981</v>
      </c>
      <c r="F96" s="150">
        <f t="shared" si="5"/>
        <v>5.9371054214677164E-2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742139</v>
      </c>
      <c r="D97" s="146">
        <v>880984</v>
      </c>
      <c r="E97" s="146">
        <f t="shared" si="4"/>
        <v>138845</v>
      </c>
      <c r="F97" s="150">
        <f t="shared" si="5"/>
        <v>0.1870875941029915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398768</v>
      </c>
      <c r="D98" s="146">
        <v>456998</v>
      </c>
      <c r="E98" s="146">
        <f t="shared" si="4"/>
        <v>58230</v>
      </c>
      <c r="F98" s="150">
        <f t="shared" si="5"/>
        <v>0.14602475624924768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162822</v>
      </c>
      <c r="D99" s="146">
        <v>226382</v>
      </c>
      <c r="E99" s="146">
        <f t="shared" si="4"/>
        <v>63560</v>
      </c>
      <c r="F99" s="150">
        <f t="shared" si="5"/>
        <v>0.39036493839898784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1977147</v>
      </c>
      <c r="D100" s="146">
        <v>1966012</v>
      </c>
      <c r="E100" s="146">
        <f t="shared" si="4"/>
        <v>-11135</v>
      </c>
      <c r="F100" s="150">
        <f t="shared" si="5"/>
        <v>-5.6318523610030006E-3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1180973</v>
      </c>
      <c r="D101" s="146">
        <v>1155350</v>
      </c>
      <c r="E101" s="146">
        <f t="shared" si="4"/>
        <v>-25623</v>
      </c>
      <c r="F101" s="150">
        <f t="shared" si="5"/>
        <v>-2.1696516347113778E-2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461189</v>
      </c>
      <c r="D102" s="146">
        <v>523697</v>
      </c>
      <c r="E102" s="146">
        <f t="shared" si="4"/>
        <v>62508</v>
      </c>
      <c r="F102" s="150">
        <f t="shared" si="5"/>
        <v>0.13553662381366424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1334725</v>
      </c>
      <c r="D103" s="146">
        <v>1258211</v>
      </c>
      <c r="E103" s="146">
        <f t="shared" si="4"/>
        <v>-76514</v>
      </c>
      <c r="F103" s="150">
        <f t="shared" si="5"/>
        <v>-5.7325666335762047E-2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462262</v>
      </c>
      <c r="D104" s="146">
        <v>465258</v>
      </c>
      <c r="E104" s="146">
        <f t="shared" si="4"/>
        <v>2996</v>
      </c>
      <c r="F104" s="150">
        <f t="shared" si="5"/>
        <v>6.4811730144377E-3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1844471</v>
      </c>
      <c r="D105" s="146">
        <v>1873714</v>
      </c>
      <c r="E105" s="146">
        <f t="shared" si="4"/>
        <v>29243</v>
      </c>
      <c r="F105" s="150">
        <f t="shared" si="5"/>
        <v>1.5854410288912105E-2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384688</v>
      </c>
      <c r="D106" s="146">
        <v>416757</v>
      </c>
      <c r="E106" s="146">
        <f t="shared" si="4"/>
        <v>32069</v>
      </c>
      <c r="F106" s="150">
        <f t="shared" si="5"/>
        <v>8.3363660940814377E-2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3355073</v>
      </c>
      <c r="D107" s="146">
        <v>3403240</v>
      </c>
      <c r="E107" s="146">
        <f t="shared" si="4"/>
        <v>48167</v>
      </c>
      <c r="F107" s="150">
        <f t="shared" si="5"/>
        <v>1.4356468547778245E-2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472523</v>
      </c>
      <c r="D108" s="146">
        <v>436302</v>
      </c>
      <c r="E108" s="146">
        <f t="shared" si="4"/>
        <v>-36221</v>
      </c>
      <c r="F108" s="150">
        <f t="shared" si="5"/>
        <v>-7.6654469729515812E-2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19670319</v>
      </c>
      <c r="D109" s="147">
        <f>SUM(D91:D108)</f>
        <v>20949370</v>
      </c>
      <c r="E109" s="147">
        <f t="shared" si="4"/>
        <v>1279051</v>
      </c>
      <c r="F109" s="148">
        <f t="shared" si="5"/>
        <v>6.5024415719948422E-2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119603</v>
      </c>
      <c r="D112" s="146">
        <v>156136</v>
      </c>
      <c r="E112" s="146">
        <f t="shared" ref="E112:E118" si="6">D112-C112</f>
        <v>36533</v>
      </c>
      <c r="F112" s="150">
        <f t="shared" ref="F112:F118" si="7">IF(C112=0,0,E112/C112)</f>
        <v>0.3054522043761444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0</v>
      </c>
      <c r="D113" s="146">
        <v>0</v>
      </c>
      <c r="E113" s="146">
        <f t="shared" si="6"/>
        <v>0</v>
      </c>
      <c r="F113" s="150">
        <f t="shared" si="7"/>
        <v>0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2438186</v>
      </c>
      <c r="D114" s="146">
        <v>2597521</v>
      </c>
      <c r="E114" s="146">
        <f t="shared" si="6"/>
        <v>159335</v>
      </c>
      <c r="F114" s="150">
        <f t="shared" si="7"/>
        <v>6.534981334483915E-2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951548</v>
      </c>
      <c r="D115" s="146">
        <v>1048330</v>
      </c>
      <c r="E115" s="146">
        <f t="shared" si="6"/>
        <v>96782</v>
      </c>
      <c r="F115" s="150">
        <f t="shared" si="7"/>
        <v>0.10171005561464057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372</v>
      </c>
      <c r="D116" s="146">
        <v>0</v>
      </c>
      <c r="E116" s="146">
        <f t="shared" si="6"/>
        <v>-372</v>
      </c>
      <c r="F116" s="150">
        <f t="shared" si="7"/>
        <v>-1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0</v>
      </c>
      <c r="D117" s="146">
        <v>0</v>
      </c>
      <c r="E117" s="146">
        <f t="shared" si="6"/>
        <v>0</v>
      </c>
      <c r="F117" s="150">
        <f t="shared" si="7"/>
        <v>0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3509709</v>
      </c>
      <c r="D118" s="147">
        <f>SUM(D112:D117)</f>
        <v>3801987</v>
      </c>
      <c r="E118" s="147">
        <f t="shared" si="6"/>
        <v>292278</v>
      </c>
      <c r="F118" s="148">
        <f t="shared" si="7"/>
        <v>8.3276989630764256E-2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4672343</v>
      </c>
      <c r="D121" s="146">
        <v>4314508</v>
      </c>
      <c r="E121" s="146">
        <f t="shared" ref="E121:E155" si="8">D121-C121</f>
        <v>-357835</v>
      </c>
      <c r="F121" s="150">
        <f t="shared" ref="F121:F155" si="9">IF(C121=0,0,E121/C121)</f>
        <v>-7.6585772919496711E-2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253547</v>
      </c>
      <c r="D122" s="146">
        <v>255510</v>
      </c>
      <c r="E122" s="146">
        <f t="shared" si="8"/>
        <v>1963</v>
      </c>
      <c r="F122" s="150">
        <f t="shared" si="9"/>
        <v>7.7421543145846728E-3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0</v>
      </c>
      <c r="D123" s="146">
        <v>0</v>
      </c>
      <c r="E123" s="146">
        <f t="shared" si="8"/>
        <v>0</v>
      </c>
      <c r="F123" s="150">
        <f t="shared" si="9"/>
        <v>0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878596</v>
      </c>
      <c r="D124" s="146">
        <v>935002</v>
      </c>
      <c r="E124" s="146">
        <f t="shared" si="8"/>
        <v>56406</v>
      </c>
      <c r="F124" s="150">
        <f t="shared" si="9"/>
        <v>6.4200155702962447E-2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2226186</v>
      </c>
      <c r="D125" s="146">
        <v>2501319</v>
      </c>
      <c r="E125" s="146">
        <f t="shared" si="8"/>
        <v>275133</v>
      </c>
      <c r="F125" s="150">
        <f t="shared" si="9"/>
        <v>0.12358940358083287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460333</v>
      </c>
      <c r="D126" s="146">
        <v>499392</v>
      </c>
      <c r="E126" s="146">
        <f t="shared" si="8"/>
        <v>39059</v>
      </c>
      <c r="F126" s="150">
        <f t="shared" si="9"/>
        <v>8.4849445944566212E-2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0</v>
      </c>
      <c r="D127" s="146">
        <v>0</v>
      </c>
      <c r="E127" s="146">
        <f t="shared" si="8"/>
        <v>0</v>
      </c>
      <c r="F127" s="150">
        <f t="shared" si="9"/>
        <v>0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700776</v>
      </c>
      <c r="D128" s="146">
        <v>644383</v>
      </c>
      <c r="E128" s="146">
        <f t="shared" si="8"/>
        <v>-56393</v>
      </c>
      <c r="F128" s="150">
        <f t="shared" si="9"/>
        <v>-8.0472219368243211E-2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474812</v>
      </c>
      <c r="D129" s="146">
        <v>465624</v>
      </c>
      <c r="E129" s="146">
        <f t="shared" si="8"/>
        <v>-9188</v>
      </c>
      <c r="F129" s="150">
        <f t="shared" si="9"/>
        <v>-1.9350816744311432E-2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4403555</v>
      </c>
      <c r="D130" s="146">
        <v>4545022</v>
      </c>
      <c r="E130" s="146">
        <f t="shared" si="8"/>
        <v>141467</v>
      </c>
      <c r="F130" s="150">
        <f t="shared" si="9"/>
        <v>3.2125634856383083E-2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494736</v>
      </c>
      <c r="D132" s="146">
        <v>542447</v>
      </c>
      <c r="E132" s="146">
        <f t="shared" si="8"/>
        <v>47711</v>
      </c>
      <c r="F132" s="150">
        <f t="shared" si="9"/>
        <v>9.6437291808156272E-2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224325</v>
      </c>
      <c r="D133" s="146">
        <v>215038</v>
      </c>
      <c r="E133" s="146">
        <f t="shared" si="8"/>
        <v>-9287</v>
      </c>
      <c r="F133" s="150">
        <f t="shared" si="9"/>
        <v>-4.1399754820015601E-2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99003</v>
      </c>
      <c r="D134" s="146">
        <v>125451</v>
      </c>
      <c r="E134" s="146">
        <f t="shared" si="8"/>
        <v>26448</v>
      </c>
      <c r="F134" s="150">
        <f t="shared" si="9"/>
        <v>0.26714341989636675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981487</v>
      </c>
      <c r="D138" s="146">
        <v>1063357</v>
      </c>
      <c r="E138" s="146">
        <f t="shared" si="8"/>
        <v>81870</v>
      </c>
      <c r="F138" s="150">
        <f t="shared" si="9"/>
        <v>8.3414247972718944E-2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0</v>
      </c>
      <c r="D140" s="146">
        <v>0</v>
      </c>
      <c r="E140" s="146">
        <f t="shared" si="8"/>
        <v>0</v>
      </c>
      <c r="F140" s="150">
        <f t="shared" si="9"/>
        <v>0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5170508</v>
      </c>
      <c r="D144" s="146">
        <v>5221387</v>
      </c>
      <c r="E144" s="146">
        <f t="shared" si="8"/>
        <v>50879</v>
      </c>
      <c r="F144" s="150">
        <f t="shared" si="9"/>
        <v>9.8402323330705616E-3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538321</v>
      </c>
      <c r="D145" s="146">
        <v>513348</v>
      </c>
      <c r="E145" s="146">
        <f t="shared" si="8"/>
        <v>-24973</v>
      </c>
      <c r="F145" s="150">
        <f t="shared" si="9"/>
        <v>-4.639053650145545E-2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583509</v>
      </c>
      <c r="D149" s="146">
        <v>642737</v>
      </c>
      <c r="E149" s="146">
        <f t="shared" si="8"/>
        <v>59228</v>
      </c>
      <c r="F149" s="150">
        <f t="shared" si="9"/>
        <v>0.10150314733791595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1701527</v>
      </c>
      <c r="D152" s="146">
        <v>1579624</v>
      </c>
      <c r="E152" s="146">
        <f t="shared" si="8"/>
        <v>-121903</v>
      </c>
      <c r="F152" s="150">
        <f t="shared" si="9"/>
        <v>-7.1643294523096021E-2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1412320</v>
      </c>
      <c r="D154" s="146">
        <v>2594367</v>
      </c>
      <c r="E154" s="146">
        <f t="shared" si="8"/>
        <v>1182047</v>
      </c>
      <c r="F154" s="150">
        <f t="shared" si="9"/>
        <v>0.83695408972470831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25275884</v>
      </c>
      <c r="D155" s="147">
        <f>SUM(D121:D154)</f>
        <v>26658516</v>
      </c>
      <c r="E155" s="147">
        <f t="shared" si="8"/>
        <v>1382632</v>
      </c>
      <c r="F155" s="148">
        <f t="shared" si="9"/>
        <v>5.4701627844153743E-2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6520881</v>
      </c>
      <c r="D158" s="146">
        <v>6826418</v>
      </c>
      <c r="E158" s="146">
        <f t="shared" ref="E158:E171" si="10">D158-C158</f>
        <v>305537</v>
      </c>
      <c r="F158" s="150">
        <f t="shared" ref="F158:F171" si="11">IF(C158=0,0,E158/C158)</f>
        <v>4.6855171870181345E-2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2224780</v>
      </c>
      <c r="D159" s="146">
        <v>2246988</v>
      </c>
      <c r="E159" s="146">
        <f t="shared" si="10"/>
        <v>22208</v>
      </c>
      <c r="F159" s="150">
        <f t="shared" si="11"/>
        <v>9.9821105907100926E-3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0</v>
      </c>
      <c r="D160" s="146">
        <v>0</v>
      </c>
      <c r="E160" s="146">
        <f t="shared" si="10"/>
        <v>0</v>
      </c>
      <c r="F160" s="150">
        <f t="shared" si="11"/>
        <v>0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0</v>
      </c>
      <c r="D161" s="146">
        <v>0</v>
      </c>
      <c r="E161" s="146">
        <f t="shared" si="10"/>
        <v>0</v>
      </c>
      <c r="F161" s="150">
        <f t="shared" si="11"/>
        <v>0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516821</v>
      </c>
      <c r="D163" s="146">
        <v>550119</v>
      </c>
      <c r="E163" s="146">
        <f t="shared" si="10"/>
        <v>33298</v>
      </c>
      <c r="F163" s="150">
        <f t="shared" si="11"/>
        <v>6.4428496520071751E-2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327320</v>
      </c>
      <c r="D164" s="146">
        <v>348409</v>
      </c>
      <c r="E164" s="146">
        <f t="shared" si="10"/>
        <v>21089</v>
      </c>
      <c r="F164" s="150">
        <f t="shared" si="11"/>
        <v>6.4429304655994141E-2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1118723</v>
      </c>
      <c r="D167" s="146">
        <v>1130930</v>
      </c>
      <c r="E167" s="146">
        <f t="shared" si="10"/>
        <v>12207</v>
      </c>
      <c r="F167" s="150">
        <f t="shared" si="11"/>
        <v>1.0911548256360154E-2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836205</v>
      </c>
      <c r="D169" s="146">
        <v>694052</v>
      </c>
      <c r="E169" s="146">
        <f t="shared" si="10"/>
        <v>-142153</v>
      </c>
      <c r="F169" s="150">
        <f t="shared" si="11"/>
        <v>-0.16999778762384821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571413</v>
      </c>
      <c r="D170" s="146">
        <v>660090</v>
      </c>
      <c r="E170" s="146">
        <f t="shared" si="10"/>
        <v>88677</v>
      </c>
      <c r="F170" s="150">
        <f t="shared" si="11"/>
        <v>0.15518897889967501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12116143</v>
      </c>
      <c r="D171" s="147">
        <f>SUM(D158:D170)</f>
        <v>12457006</v>
      </c>
      <c r="E171" s="147">
        <f t="shared" si="10"/>
        <v>340863</v>
      </c>
      <c r="F171" s="148">
        <f t="shared" si="11"/>
        <v>2.8132962775365065E-2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24829102</v>
      </c>
      <c r="D174" s="146">
        <v>27634939</v>
      </c>
      <c r="E174" s="146">
        <f>D174-C174</f>
        <v>2805837</v>
      </c>
      <c r="F174" s="150">
        <f>IF(C174=0,0,E174/C174)</f>
        <v>0.11300597983769207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85401157</v>
      </c>
      <c r="D176" s="147">
        <f>+D174+D171+D155+D118+D109</f>
        <v>91501818</v>
      </c>
      <c r="E176" s="147">
        <f>D176-C176</f>
        <v>6100661</v>
      </c>
      <c r="F176" s="148">
        <f>IF(C176=0,0,E176/C176)</f>
        <v>7.1435343668704632E-2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FILING&amp;RWINDHAM COMMUNITY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>
      <selection activeCell="A3" sqref="A3"/>
    </sheetView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81011511</v>
      </c>
      <c r="D11" s="164">
        <v>83605148</v>
      </c>
      <c r="E11" s="51">
        <v>86942706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4257607</v>
      </c>
      <c r="D12" s="49">
        <v>2401877</v>
      </c>
      <c r="E12" s="49">
        <v>2622664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85269118</v>
      </c>
      <c r="D13" s="51">
        <f>+D11+D12</f>
        <v>86007025</v>
      </c>
      <c r="E13" s="51">
        <f>+E11+E12</f>
        <v>89565370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83487134</v>
      </c>
      <c r="D14" s="49">
        <v>85401157</v>
      </c>
      <c r="E14" s="49">
        <v>91501818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1781984</v>
      </c>
      <c r="D15" s="51">
        <f>+D13-D14</f>
        <v>605868</v>
      </c>
      <c r="E15" s="51">
        <f>+E13-E14</f>
        <v>-1936448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310467</v>
      </c>
      <c r="D16" s="49">
        <v>-1790872</v>
      </c>
      <c r="E16" s="49">
        <v>273628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2092451</v>
      </c>
      <c r="D17" s="51">
        <f>D15+D16</f>
        <v>-1185004</v>
      </c>
      <c r="E17" s="51">
        <f>E15+E16</f>
        <v>-1662820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2.0822536122370772E-2</v>
      </c>
      <c r="D20" s="169">
        <f>IF(+D27=0,0,+D24/+D27)</f>
        <v>7.1942018059172096E-3</v>
      </c>
      <c r="E20" s="169">
        <f>IF(+E27=0,0,+E24/+E27)</f>
        <v>-2.1554648238619047E-2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3.6278161433009985E-3</v>
      </c>
      <c r="D21" s="169">
        <f>IF(D27=0,0,+D26/D27)</f>
        <v>-2.1265184126850346E-2</v>
      </c>
      <c r="E21" s="169">
        <f>IF(E27=0,0,+E26/E27)</f>
        <v>3.0457597044882445E-3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2.4450352265671771E-2</v>
      </c>
      <c r="D22" s="169">
        <f>IF(D27=0,0,+D28/D27)</f>
        <v>-1.4070982320933135E-2</v>
      </c>
      <c r="E22" s="169">
        <f>IF(E27=0,0,+E28/E27)</f>
        <v>-1.85088885341308E-2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1781984</v>
      </c>
      <c r="D24" s="51">
        <f>+D15</f>
        <v>605868</v>
      </c>
      <c r="E24" s="51">
        <f>+E15</f>
        <v>-1936448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85269118</v>
      </c>
      <c r="D25" s="51">
        <f>+D13</f>
        <v>86007025</v>
      </c>
      <c r="E25" s="51">
        <f>+E13</f>
        <v>89565370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310467</v>
      </c>
      <c r="D26" s="51">
        <f>+D16</f>
        <v>-1790872</v>
      </c>
      <c r="E26" s="51">
        <f>+E16</f>
        <v>273628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85579585</v>
      </c>
      <c r="D27" s="51">
        <f>+D25+D26</f>
        <v>84216153</v>
      </c>
      <c r="E27" s="51">
        <f>+E25+E26</f>
        <v>89838998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2092451</v>
      </c>
      <c r="D28" s="51">
        <f>+D17</f>
        <v>-1185004</v>
      </c>
      <c r="E28" s="51">
        <f>+E17</f>
        <v>-1662820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10143299</v>
      </c>
      <c r="D31" s="51">
        <v>-25502905</v>
      </c>
      <c r="E31" s="51">
        <v>-25203815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13271987</v>
      </c>
      <c r="D32" s="51">
        <v>-20171322</v>
      </c>
      <c r="E32" s="51">
        <v>-19935723</v>
      </c>
      <c r="F32" s="13"/>
    </row>
    <row r="33" spans="1:6" ht="24" customHeight="1" x14ac:dyDescent="0.2">
      <c r="A33" s="25">
        <v>3</v>
      </c>
      <c r="B33" s="48" t="s">
        <v>319</v>
      </c>
      <c r="C33" s="51">
        <v>579689</v>
      </c>
      <c r="D33" s="51">
        <f>+D32-C32</f>
        <v>-33443309</v>
      </c>
      <c r="E33" s="51">
        <f>+E32-D32</f>
        <v>235599</v>
      </c>
      <c r="F33" s="5"/>
    </row>
    <row r="34" spans="1:6" ht="24" customHeight="1" x14ac:dyDescent="0.2">
      <c r="A34" s="25">
        <v>4</v>
      </c>
      <c r="B34" s="48" t="s">
        <v>320</v>
      </c>
      <c r="C34" s="171">
        <v>1.0456000000000001</v>
      </c>
      <c r="D34" s="171">
        <f>IF(C32=0,0,+D33/C32)</f>
        <v>-2.5198419046070493</v>
      </c>
      <c r="E34" s="171">
        <f>IF(D32=0,0,+E33/D32)</f>
        <v>-1.1679898818728886E-2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0.38690305022737859</v>
      </c>
      <c r="D38" s="172">
        <f>IF((D40+D41)=0,0,+D39/(D40+D41))</f>
        <v>0.44904520900150141</v>
      </c>
      <c r="E38" s="172">
        <f>IF((E40+E41)=0,0,+E39/(E40+E41))</f>
        <v>0.46547279895106186</v>
      </c>
      <c r="F38" s="5"/>
    </row>
    <row r="39" spans="1:6" ht="24" customHeight="1" x14ac:dyDescent="0.2">
      <c r="A39" s="21">
        <v>2</v>
      </c>
      <c r="B39" s="48" t="s">
        <v>324</v>
      </c>
      <c r="C39" s="51">
        <v>74979824</v>
      </c>
      <c r="D39" s="51">
        <v>85401157</v>
      </c>
      <c r="E39" s="23">
        <v>91501818</v>
      </c>
      <c r="F39" s="5"/>
    </row>
    <row r="40" spans="1:6" ht="24" customHeight="1" x14ac:dyDescent="0.2">
      <c r="A40" s="21">
        <v>3</v>
      </c>
      <c r="B40" s="48" t="s">
        <v>325</v>
      </c>
      <c r="C40" s="51">
        <v>193794864</v>
      </c>
      <c r="D40" s="51">
        <v>190183873</v>
      </c>
      <c r="E40" s="23">
        <v>193955564</v>
      </c>
      <c r="F40" s="5"/>
    </row>
    <row r="41" spans="1:6" ht="24" customHeight="1" x14ac:dyDescent="0.2">
      <c r="A41" s="21">
        <v>4</v>
      </c>
      <c r="B41" s="48" t="s">
        <v>326</v>
      </c>
      <c r="C41" s="51">
        <v>0</v>
      </c>
      <c r="D41" s="51">
        <v>0</v>
      </c>
      <c r="E41" s="23">
        <v>2622664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1.0991416358764226</v>
      </c>
      <c r="D43" s="173">
        <f>IF(D38=0,0,IF((D46-D47)=0,0,((+D44-D45)/(D46-D47)/D38)))</f>
        <v>1.0210651866040521</v>
      </c>
      <c r="E43" s="173">
        <f>IF(E38=0,0,IF((E46-E47)=0,0,((+E44-E45)/(E46-E47)/E38)))</f>
        <v>1.0100986310940772</v>
      </c>
      <c r="F43" s="5"/>
    </row>
    <row r="44" spans="1:6" ht="24" customHeight="1" x14ac:dyDescent="0.2">
      <c r="A44" s="21">
        <v>6</v>
      </c>
      <c r="B44" s="48" t="s">
        <v>328</v>
      </c>
      <c r="C44" s="51">
        <v>32730912</v>
      </c>
      <c r="D44" s="51">
        <v>33973384</v>
      </c>
      <c r="E44" s="23">
        <v>34004938</v>
      </c>
      <c r="F44" s="5"/>
    </row>
    <row r="45" spans="1:6" ht="24" customHeight="1" x14ac:dyDescent="0.2">
      <c r="A45" s="21">
        <v>7</v>
      </c>
      <c r="B45" s="48" t="s">
        <v>329</v>
      </c>
      <c r="C45" s="51">
        <v>431230</v>
      </c>
      <c r="D45" s="51">
        <v>251059</v>
      </c>
      <c r="E45" s="23">
        <v>302544</v>
      </c>
      <c r="F45" s="5"/>
    </row>
    <row r="46" spans="1:6" ht="24" customHeight="1" x14ac:dyDescent="0.2">
      <c r="A46" s="21">
        <v>8</v>
      </c>
      <c r="B46" s="48" t="s">
        <v>330</v>
      </c>
      <c r="C46" s="51">
        <v>81460726</v>
      </c>
      <c r="D46" s="51">
        <v>77745972</v>
      </c>
      <c r="E46" s="23">
        <v>76539290</v>
      </c>
      <c r="F46" s="5"/>
    </row>
    <row r="47" spans="1:6" ht="24" customHeight="1" x14ac:dyDescent="0.2">
      <c r="A47" s="21">
        <v>9</v>
      </c>
      <c r="B47" s="48" t="s">
        <v>331</v>
      </c>
      <c r="C47" s="51">
        <v>5508163</v>
      </c>
      <c r="D47" s="51">
        <v>4197446</v>
      </c>
      <c r="E47" s="174">
        <v>4858520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1.1193150644401724</v>
      </c>
      <c r="D49" s="175">
        <f>IF(D38=0,0,IF(D51=0,0,(D50/D51)/D38))</f>
        <v>0.98426552341206985</v>
      </c>
      <c r="E49" s="175">
        <f>IF(E38=0,0,IF(E51=0,0,(E50/E51)/E38))</f>
        <v>0.98057350122314446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33210428</v>
      </c>
      <c r="D50" s="176">
        <v>33581550</v>
      </c>
      <c r="E50" s="176">
        <v>36106801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76686686</v>
      </c>
      <c r="D51" s="176">
        <v>75979844</v>
      </c>
      <c r="E51" s="176">
        <v>79106934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0.85491755465473185</v>
      </c>
      <c r="D53" s="175">
        <f>IF(D38=0,0,IF(D55=0,0,(D54/D55)/D38))</f>
        <v>0.81684246568091279</v>
      </c>
      <c r="E53" s="175">
        <f>IF(E38=0,0,IF(E55=0,0,(E54/E55)/E38))</f>
        <v>0.74063773963013879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8593760</v>
      </c>
      <c r="D54" s="176">
        <v>9550095</v>
      </c>
      <c r="E54" s="176">
        <v>10787671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25981058</v>
      </c>
      <c r="D55" s="176">
        <v>26036303</v>
      </c>
      <c r="E55" s="176">
        <v>31291584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2644909.4892715835</v>
      </c>
      <c r="D57" s="53">
        <f>+D60*D38</f>
        <v>2800024.9930905341</v>
      </c>
      <c r="E57" s="53">
        <f>+E60*E38</f>
        <v>2938954.2909706971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2586401</v>
      </c>
      <c r="D58" s="51">
        <v>2094259</v>
      </c>
      <c r="E58" s="52">
        <v>2446867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4249703</v>
      </c>
      <c r="D59" s="51">
        <v>4141249</v>
      </c>
      <c r="E59" s="52">
        <v>3867045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6836104</v>
      </c>
      <c r="D60" s="51">
        <v>6235508</v>
      </c>
      <c r="E60" s="52">
        <v>6313912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3.5274949288645753E-2</v>
      </c>
      <c r="D62" s="178">
        <f>IF(D63=0,0,+D57/D63)</f>
        <v>3.2786733710065942E-2</v>
      </c>
      <c r="E62" s="178">
        <f>IF(E63=0,0,+E57/E63)</f>
        <v>3.211908085772347E-2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74979824</v>
      </c>
      <c r="D63" s="176">
        <v>85401157</v>
      </c>
      <c r="E63" s="176">
        <v>91501818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2.5709401573602126</v>
      </c>
      <c r="D67" s="179">
        <f>IF(D69=0,0,D68/D69)</f>
        <v>2.6296984491256148</v>
      </c>
      <c r="E67" s="179">
        <f>IF(E69=0,0,E68/E69)</f>
        <v>2.1047881220072964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24271629</v>
      </c>
      <c r="D68" s="180">
        <v>24003919</v>
      </c>
      <c r="E68" s="180">
        <v>22752848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9440760</v>
      </c>
      <c r="D69" s="180">
        <v>9128012</v>
      </c>
      <c r="E69" s="180">
        <v>10810042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12.761846060794941</v>
      </c>
      <c r="D71" s="181">
        <f>IF((D77/365)=0,0,+D74/(D77/365))</f>
        <v>15.132808255151589</v>
      </c>
      <c r="E71" s="181">
        <f>IF((E77/365)=0,0,+E74/(E77/365))</f>
        <v>13.907273401751754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2778004</v>
      </c>
      <c r="D72" s="182">
        <v>3357508</v>
      </c>
      <c r="E72" s="182">
        <v>3314081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0</v>
      </c>
      <c r="E73" s="184">
        <v>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2778004</v>
      </c>
      <c r="D74" s="180">
        <f>+D72+D73</f>
        <v>3357508</v>
      </c>
      <c r="E74" s="180">
        <f>+E72+E73</f>
        <v>3314081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83487134</v>
      </c>
      <c r="D75" s="180">
        <f>+D14</f>
        <v>85401157</v>
      </c>
      <c r="E75" s="180">
        <f>+E14</f>
        <v>91501818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4033781</v>
      </c>
      <c r="D76" s="180">
        <v>4418804</v>
      </c>
      <c r="E76" s="180">
        <v>4522902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79453353</v>
      </c>
      <c r="D77" s="180">
        <f>+D75-D76</f>
        <v>80982353</v>
      </c>
      <c r="E77" s="180">
        <f>+E75-E76</f>
        <v>86978916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63.812965912955264</v>
      </c>
      <c r="D79" s="179">
        <f>IF((D84/365)=0,0,+D83/(D84/365))</f>
        <v>62.755877185935965</v>
      </c>
      <c r="E79" s="179">
        <f>IF((E84/365)=0,0,+E83/(E84/365))</f>
        <v>65.812031948948075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11996552</v>
      </c>
      <c r="D80" s="189">
        <v>13116037</v>
      </c>
      <c r="E80" s="189">
        <v>14090656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2166694</v>
      </c>
      <c r="D81" s="190">
        <v>1258523</v>
      </c>
      <c r="E81" s="190">
        <v>1585717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0</v>
      </c>
      <c r="D82" s="190">
        <v>0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14163246</v>
      </c>
      <c r="D83" s="191">
        <f>+D80+D81-D82</f>
        <v>14374560</v>
      </c>
      <c r="E83" s="191">
        <f>+E80+E81-E82</f>
        <v>15676373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81011511</v>
      </c>
      <c r="D84" s="191">
        <f>+D11</f>
        <v>83605148</v>
      </c>
      <c r="E84" s="191">
        <f>+E11</f>
        <v>86942706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43.369817256170421</v>
      </c>
      <c r="D86" s="179">
        <f>IF((D90/365)=0,0,+D87/(D90/365))</f>
        <v>41.141362983118064</v>
      </c>
      <c r="E86" s="179">
        <f>IF((E90/365)=0,0,+E87/(E90/365))</f>
        <v>45.363468659462256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9440760</v>
      </c>
      <c r="D87" s="51">
        <f>+D69</f>
        <v>9128012</v>
      </c>
      <c r="E87" s="51">
        <f>+E69</f>
        <v>10810042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83487134</v>
      </c>
      <c r="D88" s="51">
        <f t="shared" si="0"/>
        <v>85401157</v>
      </c>
      <c r="E88" s="51">
        <f t="shared" si="0"/>
        <v>91501818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4033781</v>
      </c>
      <c r="D89" s="52">
        <f t="shared" si="0"/>
        <v>4418804</v>
      </c>
      <c r="E89" s="52">
        <f t="shared" si="0"/>
        <v>4522902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79453353</v>
      </c>
      <c r="D90" s="51">
        <f>+D88-D89</f>
        <v>80982353</v>
      </c>
      <c r="E90" s="51">
        <f>+E88-E89</f>
        <v>86978916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18.927220302949056</v>
      </c>
      <c r="D94" s="192">
        <f>IF(D96=0,0,(D95/D96)*100)</f>
        <v>-28.936722605178705</v>
      </c>
      <c r="E94" s="192">
        <f>IF(E96=0,0,(E95/E96)*100)</f>
        <v>-29.38916666594185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13271987</v>
      </c>
      <c r="D95" s="51">
        <f>+D32</f>
        <v>-20171322</v>
      </c>
      <c r="E95" s="51">
        <f>+E32</f>
        <v>-19935723</v>
      </c>
      <c r="F95" s="28"/>
    </row>
    <row r="96" spans="1:6" ht="24" customHeight="1" x14ac:dyDescent="0.25">
      <c r="A96" s="21">
        <v>3</v>
      </c>
      <c r="B96" s="48" t="s">
        <v>43</v>
      </c>
      <c r="C96" s="51">
        <v>70121163</v>
      </c>
      <c r="D96" s="51">
        <v>69708385</v>
      </c>
      <c r="E96" s="51">
        <v>67833577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20.793216576908382</v>
      </c>
      <c r="D98" s="192">
        <f>IF(D104=0,0,(D101/D104)*100)</f>
        <v>11.218239863091544</v>
      </c>
      <c r="E98" s="192">
        <f>IF(E104=0,0,(E101/E104)*100)</f>
        <v>9.4563545541952614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2092451</v>
      </c>
      <c r="D99" s="51">
        <f>+D28</f>
        <v>-1185004</v>
      </c>
      <c r="E99" s="51">
        <f>+E28</f>
        <v>-1662820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4033781</v>
      </c>
      <c r="D100" s="52">
        <f>+D76</f>
        <v>4418804</v>
      </c>
      <c r="E100" s="52">
        <f>+E76</f>
        <v>4522902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6126232</v>
      </c>
      <c r="D101" s="51">
        <f>+D99+D100</f>
        <v>3233800</v>
      </c>
      <c r="E101" s="51">
        <f>+E99+E100</f>
        <v>2860082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9440760</v>
      </c>
      <c r="D102" s="180">
        <f>+D69</f>
        <v>9128012</v>
      </c>
      <c r="E102" s="180">
        <f>+E69</f>
        <v>10810042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20021887</v>
      </c>
      <c r="D103" s="194">
        <v>19698257</v>
      </c>
      <c r="E103" s="194">
        <v>19435038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29462647</v>
      </c>
      <c r="D104" s="180">
        <f>+D102+D103</f>
        <v>28826269</v>
      </c>
      <c r="E104" s="180">
        <f>+E102+E103</f>
        <v>30245080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60.136849800056311</v>
      </c>
      <c r="D106" s="197">
        <f>IF(D109=0,0,(D107/D109)*100)</f>
        <v>-4163.9641486899263</v>
      </c>
      <c r="E106" s="197">
        <f>IF(E109=0,0,(E107/E109)*100)</f>
        <v>-3881.68968513137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20021887</v>
      </c>
      <c r="D107" s="180">
        <f>+D103</f>
        <v>19698257</v>
      </c>
      <c r="E107" s="180">
        <f>+E103</f>
        <v>19435038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13271987</v>
      </c>
      <c r="D108" s="180">
        <f>+D32</f>
        <v>-20171322</v>
      </c>
      <c r="E108" s="180">
        <f>+E32</f>
        <v>-19935723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33293874</v>
      </c>
      <c r="D109" s="180">
        <f>+D107+D108</f>
        <v>-473065</v>
      </c>
      <c r="E109" s="180">
        <f>+E107+E108</f>
        <v>-500685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6.0289667695242688</v>
      </c>
      <c r="D111" s="197">
        <f>IF((+D113+D115)=0,0,((+D112+D113+D114)/(+D113+D115)))</f>
        <v>1.4906847019028766</v>
      </c>
      <c r="E111" s="197">
        <f>IF((+E113+E115)=0,0,((+E112+E113+E114)/(+E113+E115)))</f>
        <v>1.8076895374524156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2092451</v>
      </c>
      <c r="D112" s="180">
        <f>+D17</f>
        <v>-1185004</v>
      </c>
      <c r="E112" s="180">
        <f>+E17</f>
        <v>-1662820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1218189</v>
      </c>
      <c r="D113" s="180">
        <v>1483430</v>
      </c>
      <c r="E113" s="180">
        <v>1557105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4033781</v>
      </c>
      <c r="D114" s="180">
        <v>4418804</v>
      </c>
      <c r="E114" s="180">
        <v>4522902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0</v>
      </c>
      <c r="D115" s="180">
        <v>1681042</v>
      </c>
      <c r="E115" s="180">
        <v>886449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13.082644050333917</v>
      </c>
      <c r="D119" s="197">
        <f>IF(+D121=0,0,(+D120)/(+D121))</f>
        <v>13.121617297350143</v>
      </c>
      <c r="E119" s="197">
        <f>IF(+E121=0,0,(+E120)/(+E121))</f>
        <v>13.816095949016804</v>
      </c>
    </row>
    <row r="120" spans="1:8" ht="24" customHeight="1" x14ac:dyDescent="0.25">
      <c r="A120" s="17">
        <v>21</v>
      </c>
      <c r="B120" s="48" t="s">
        <v>369</v>
      </c>
      <c r="C120" s="180">
        <v>52772521</v>
      </c>
      <c r="D120" s="180">
        <v>57981855</v>
      </c>
      <c r="E120" s="180">
        <v>62488848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4033781</v>
      </c>
      <c r="D121" s="180">
        <v>4418804</v>
      </c>
      <c r="E121" s="180">
        <v>4522902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21050</v>
      </c>
      <c r="D124" s="198">
        <v>20696</v>
      </c>
      <c r="E124" s="198">
        <v>20850</v>
      </c>
    </row>
    <row r="125" spans="1:8" ht="24" customHeight="1" x14ac:dyDescent="0.2">
      <c r="A125" s="44">
        <v>2</v>
      </c>
      <c r="B125" s="48" t="s">
        <v>373</v>
      </c>
      <c r="C125" s="198">
        <v>5744</v>
      </c>
      <c r="D125" s="198">
        <v>5343</v>
      </c>
      <c r="E125" s="198">
        <v>5100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3.6646935933147633</v>
      </c>
      <c r="D126" s="199">
        <f>IF(D125=0,0,D124/D125)</f>
        <v>3.8734793187347933</v>
      </c>
      <c r="E126" s="199">
        <f>IF(E125=0,0,E124/E125)</f>
        <v>4.0882352941176467</v>
      </c>
    </row>
    <row r="127" spans="1:8" ht="24" customHeight="1" x14ac:dyDescent="0.2">
      <c r="A127" s="44">
        <v>4</v>
      </c>
      <c r="B127" s="48" t="s">
        <v>375</v>
      </c>
      <c r="C127" s="198">
        <v>87</v>
      </c>
      <c r="D127" s="198">
        <v>87</v>
      </c>
      <c r="E127" s="198">
        <v>87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144</v>
      </c>
      <c r="E128" s="198">
        <v>144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144</v>
      </c>
      <c r="D129" s="198">
        <v>144</v>
      </c>
      <c r="E129" s="198">
        <v>144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0.66279999999999994</v>
      </c>
      <c r="D130" s="171">
        <v>0.65169999999999995</v>
      </c>
      <c r="E130" s="171">
        <v>0.65649999999999997</v>
      </c>
    </row>
    <row r="131" spans="1:8" ht="24" customHeight="1" x14ac:dyDescent="0.2">
      <c r="A131" s="44">
        <v>7</v>
      </c>
      <c r="B131" s="48" t="s">
        <v>379</v>
      </c>
      <c r="C131" s="171">
        <v>0.40039999999999998</v>
      </c>
      <c r="D131" s="171">
        <v>0.39369999999999999</v>
      </c>
      <c r="E131" s="171">
        <v>0.39660000000000001</v>
      </c>
    </row>
    <row r="132" spans="1:8" ht="24" customHeight="1" x14ac:dyDescent="0.2">
      <c r="A132" s="44">
        <v>8</v>
      </c>
      <c r="B132" s="48" t="s">
        <v>380</v>
      </c>
      <c r="C132" s="199">
        <v>594.79999999999995</v>
      </c>
      <c r="D132" s="199">
        <v>608</v>
      </c>
      <c r="E132" s="199">
        <v>603.4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0.39192247633559579</v>
      </c>
      <c r="D135" s="203">
        <f>IF(D149=0,0,D143/D149)</f>
        <v>0.38672325281755093</v>
      </c>
      <c r="E135" s="203">
        <f>IF(E149=0,0,E143/E149)</f>
        <v>0.36957315645763067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0.39571062110294108</v>
      </c>
      <c r="D136" s="203">
        <f>IF(D149=0,0,D144/D149)</f>
        <v>0.3995072915567347</v>
      </c>
      <c r="E136" s="203">
        <f>IF(E149=0,0,E144/E149)</f>
        <v>0.40786112225169269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0.13406473971363864</v>
      </c>
      <c r="D137" s="203">
        <f>IF(D149=0,0,D145/D149)</f>
        <v>0.13690068768343991</v>
      </c>
      <c r="E137" s="203">
        <f>IF(E149=0,0,E145/E149)</f>
        <v>0.16133377849371724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4.7056437986922092E-2</v>
      </c>
      <c r="D138" s="203">
        <f>IF(D149=0,0,D146/D149)</f>
        <v>5.1701560415693078E-2</v>
      </c>
      <c r="E138" s="203">
        <f>IF(E149=0,0,E146/E149)</f>
        <v>3.3039995697158757E-2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2.8422646948992415E-2</v>
      </c>
      <c r="D139" s="203">
        <f>IF(D149=0,0,D147/D149)</f>
        <v>2.2070462304656084E-2</v>
      </c>
      <c r="E139" s="203">
        <f>IF(E149=0,0,E147/E149)</f>
        <v>2.5049655188030595E-2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2.8230779119099874E-3</v>
      </c>
      <c r="D140" s="203">
        <f>IF(D149=0,0,D148/D149)</f>
        <v>3.0967452219253103E-3</v>
      </c>
      <c r="E140" s="203">
        <f>IF(E149=0,0,E148/E149)</f>
        <v>3.1422919117700589E-3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0.99999999999999989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75952563</v>
      </c>
      <c r="D143" s="205">
        <f>+D46-D147</f>
        <v>73548526</v>
      </c>
      <c r="E143" s="205">
        <f>+E46-E147</f>
        <v>71680770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76686686</v>
      </c>
      <c r="D144" s="205">
        <f>+D51</f>
        <v>75979844</v>
      </c>
      <c r="E144" s="205">
        <f>+E51</f>
        <v>79106934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25981058</v>
      </c>
      <c r="D145" s="205">
        <f>+D55</f>
        <v>26036303</v>
      </c>
      <c r="E145" s="205">
        <f>+E55</f>
        <v>31291584</v>
      </c>
    </row>
    <row r="146" spans="1:7" ht="20.100000000000001" customHeight="1" x14ac:dyDescent="0.2">
      <c r="A146" s="202">
        <v>11</v>
      </c>
      <c r="B146" s="201" t="s">
        <v>392</v>
      </c>
      <c r="C146" s="204">
        <v>9119296</v>
      </c>
      <c r="D146" s="205">
        <v>9832803</v>
      </c>
      <c r="E146" s="205">
        <v>6408291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5508163</v>
      </c>
      <c r="D147" s="205">
        <f>+D47</f>
        <v>4197446</v>
      </c>
      <c r="E147" s="205">
        <f>+E47</f>
        <v>4858520</v>
      </c>
    </row>
    <row r="148" spans="1:7" ht="20.100000000000001" customHeight="1" x14ac:dyDescent="0.2">
      <c r="A148" s="202">
        <v>13</v>
      </c>
      <c r="B148" s="201" t="s">
        <v>394</v>
      </c>
      <c r="C148" s="206">
        <v>547098</v>
      </c>
      <c r="D148" s="205">
        <v>588951</v>
      </c>
      <c r="E148" s="205">
        <v>609465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193794864</v>
      </c>
      <c r="D149" s="205">
        <f>SUM(D143:D148)</f>
        <v>190183873</v>
      </c>
      <c r="E149" s="205">
        <f>SUM(E143:E148)</f>
        <v>193955564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0.42366114938119154</v>
      </c>
      <c r="D152" s="203">
        <f>IF(D166=0,0,D160/D166)</f>
        <v>0.42703383827489616</v>
      </c>
      <c r="E152" s="203">
        <f>IF(E166=0,0,E160/E166)</f>
        <v>0.40857296365060902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0.43560701612855834</v>
      </c>
      <c r="D153" s="203">
        <f>IF(D166=0,0,D161/D166)</f>
        <v>0.42525117089999992</v>
      </c>
      <c r="E153" s="203">
        <f>IF(E166=0,0,E161/E166)</f>
        <v>0.43772150703931517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0.11272068372394839</v>
      </c>
      <c r="D154" s="203">
        <f>IF(D166=0,0,D162/D166)</f>
        <v>0.1209351289906581</v>
      </c>
      <c r="E154" s="203">
        <f>IF(E166=0,0,E162/E166)</f>
        <v>0.13077856461347312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1.9475134019900257E-2</v>
      </c>
      <c r="D155" s="203">
        <f>IF(D166=0,0,D163/D166)</f>
        <v>2.0699139413921524E-2</v>
      </c>
      <c r="E155" s="203">
        <f>IF(E166=0,0,E163/E166)</f>
        <v>1.6499913860267813E-2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5.6562599423626283E-3</v>
      </c>
      <c r="D156" s="203">
        <f>IF(D166=0,0,D164/D166)</f>
        <v>3.1792199500911386E-3</v>
      </c>
      <c r="E156" s="203">
        <f>IF(E166=0,0,E164/E166)</f>
        <v>3.6677305094323523E-3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2.8797568040388132E-3</v>
      </c>
      <c r="D157" s="203">
        <f>IF(D166=0,0,D165/D166)</f>
        <v>2.9015024704331749E-3</v>
      </c>
      <c r="E157" s="203">
        <f>IF(E166=0,0,E165/E166)</f>
        <v>2.7593203269025567E-3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1</v>
      </c>
      <c r="E158" s="203">
        <f>SUM(E152:E157)</f>
        <v>1.0000000000000002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32299682</v>
      </c>
      <c r="D160" s="208">
        <f>+D44-D164</f>
        <v>33722325</v>
      </c>
      <c r="E160" s="208">
        <f>+E44-E164</f>
        <v>33702394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33210428</v>
      </c>
      <c r="D161" s="208">
        <f>+D50</f>
        <v>33581550</v>
      </c>
      <c r="E161" s="208">
        <f>+E50</f>
        <v>36106801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8593760</v>
      </c>
      <c r="D162" s="208">
        <f>+D54</f>
        <v>9550095</v>
      </c>
      <c r="E162" s="208">
        <f>+E54</f>
        <v>10787671</v>
      </c>
    </row>
    <row r="163" spans="1:6" ht="20.100000000000001" customHeight="1" x14ac:dyDescent="0.2">
      <c r="A163" s="202">
        <v>11</v>
      </c>
      <c r="B163" s="201" t="s">
        <v>408</v>
      </c>
      <c r="C163" s="207">
        <v>1484773</v>
      </c>
      <c r="D163" s="208">
        <v>1634585</v>
      </c>
      <c r="E163" s="208">
        <v>1361046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431230</v>
      </c>
      <c r="D164" s="208">
        <f>+D45</f>
        <v>251059</v>
      </c>
      <c r="E164" s="208">
        <f>+E45</f>
        <v>302544</v>
      </c>
    </row>
    <row r="165" spans="1:6" ht="20.100000000000001" customHeight="1" x14ac:dyDescent="0.2">
      <c r="A165" s="202">
        <v>13</v>
      </c>
      <c r="B165" s="201" t="s">
        <v>410</v>
      </c>
      <c r="C165" s="209">
        <v>219551</v>
      </c>
      <c r="D165" s="208">
        <v>229128</v>
      </c>
      <c r="E165" s="208">
        <v>227611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76239424</v>
      </c>
      <c r="D166" s="208">
        <f>SUM(D160:D165)</f>
        <v>78968742</v>
      </c>
      <c r="E166" s="208">
        <f>SUM(E160:E165)</f>
        <v>82488067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1707</v>
      </c>
      <c r="D169" s="198">
        <v>1601</v>
      </c>
      <c r="E169" s="198">
        <v>1381</v>
      </c>
    </row>
    <row r="170" spans="1:6" ht="20.100000000000001" customHeight="1" x14ac:dyDescent="0.2">
      <c r="A170" s="202">
        <v>2</v>
      </c>
      <c r="B170" s="201" t="s">
        <v>414</v>
      </c>
      <c r="C170" s="198">
        <v>2628</v>
      </c>
      <c r="D170" s="198">
        <v>2534</v>
      </c>
      <c r="E170" s="198">
        <v>2517</v>
      </c>
    </row>
    <row r="171" spans="1:6" ht="20.100000000000001" customHeight="1" x14ac:dyDescent="0.2">
      <c r="A171" s="202">
        <v>3</v>
      </c>
      <c r="B171" s="201" t="s">
        <v>415</v>
      </c>
      <c r="C171" s="198">
        <v>1397</v>
      </c>
      <c r="D171" s="198">
        <v>1195</v>
      </c>
      <c r="E171" s="198">
        <v>1188</v>
      </c>
    </row>
    <row r="172" spans="1:6" ht="20.100000000000001" customHeight="1" x14ac:dyDescent="0.2">
      <c r="A172" s="202">
        <v>4</v>
      </c>
      <c r="B172" s="201" t="s">
        <v>416</v>
      </c>
      <c r="C172" s="198">
        <v>1144</v>
      </c>
      <c r="D172" s="198">
        <v>961</v>
      </c>
      <c r="E172" s="198">
        <v>1061</v>
      </c>
    </row>
    <row r="173" spans="1:6" ht="20.100000000000001" customHeight="1" x14ac:dyDescent="0.2">
      <c r="A173" s="202">
        <v>5</v>
      </c>
      <c r="B173" s="201" t="s">
        <v>417</v>
      </c>
      <c r="C173" s="198">
        <v>253</v>
      </c>
      <c r="D173" s="198">
        <v>234</v>
      </c>
      <c r="E173" s="198">
        <v>127</v>
      </c>
    </row>
    <row r="174" spans="1:6" ht="20.100000000000001" customHeight="1" x14ac:dyDescent="0.2">
      <c r="A174" s="202">
        <v>6</v>
      </c>
      <c r="B174" s="201" t="s">
        <v>418</v>
      </c>
      <c r="C174" s="198">
        <v>12</v>
      </c>
      <c r="D174" s="198">
        <v>13</v>
      </c>
      <c r="E174" s="198">
        <v>14</v>
      </c>
    </row>
    <row r="175" spans="1:6" ht="20.100000000000001" customHeight="1" x14ac:dyDescent="0.2">
      <c r="A175" s="202">
        <v>7</v>
      </c>
      <c r="B175" s="201" t="s">
        <v>419</v>
      </c>
      <c r="C175" s="198">
        <v>143</v>
      </c>
      <c r="D175" s="198">
        <v>87</v>
      </c>
      <c r="E175" s="198">
        <v>106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5744</v>
      </c>
      <c r="D176" s="198">
        <f>+D169+D170+D171+D174</f>
        <v>5343</v>
      </c>
      <c r="E176" s="198">
        <f>+E169+E170+E171+E174</f>
        <v>5100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0.94489999999999996</v>
      </c>
      <c r="D179" s="210">
        <v>0.94199999999999995</v>
      </c>
      <c r="E179" s="210">
        <v>0.92630000000000001</v>
      </c>
    </row>
    <row r="180" spans="1:6" ht="20.100000000000001" customHeight="1" x14ac:dyDescent="0.2">
      <c r="A180" s="202">
        <v>2</v>
      </c>
      <c r="B180" s="201" t="s">
        <v>414</v>
      </c>
      <c r="C180" s="210">
        <v>1.169</v>
      </c>
      <c r="D180" s="210">
        <v>1.1832</v>
      </c>
      <c r="E180" s="210">
        <v>1.1798999999999999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0.80026900000000001</v>
      </c>
      <c r="D181" s="210">
        <v>0.77951300000000001</v>
      </c>
      <c r="E181" s="210">
        <v>0.86209000000000002</v>
      </c>
    </row>
    <row r="182" spans="1:6" ht="20.100000000000001" customHeight="1" x14ac:dyDescent="0.2">
      <c r="A182" s="202">
        <v>4</v>
      </c>
      <c r="B182" s="201" t="s">
        <v>416</v>
      </c>
      <c r="C182" s="210">
        <v>0.75629999999999997</v>
      </c>
      <c r="D182" s="210">
        <v>0.74890000000000001</v>
      </c>
      <c r="E182" s="210">
        <v>0.81640000000000001</v>
      </c>
    </row>
    <row r="183" spans="1:6" ht="20.100000000000001" customHeight="1" x14ac:dyDescent="0.2">
      <c r="A183" s="202">
        <v>5</v>
      </c>
      <c r="B183" s="201" t="s">
        <v>417</v>
      </c>
      <c r="C183" s="210">
        <v>0.99909000000000003</v>
      </c>
      <c r="D183" s="210">
        <v>0.90524000000000004</v>
      </c>
      <c r="E183" s="210">
        <v>1.2438</v>
      </c>
    </row>
    <row r="184" spans="1:6" ht="20.100000000000001" customHeight="1" x14ac:dyDescent="0.2">
      <c r="A184" s="202">
        <v>6</v>
      </c>
      <c r="B184" s="201" t="s">
        <v>418</v>
      </c>
      <c r="C184" s="210">
        <v>1.0472999999999999</v>
      </c>
      <c r="D184" s="210">
        <v>0.95499999999999996</v>
      </c>
      <c r="E184" s="210">
        <v>0.99129999999999996</v>
      </c>
    </row>
    <row r="185" spans="1:6" ht="20.100000000000001" customHeight="1" x14ac:dyDescent="0.2">
      <c r="A185" s="202">
        <v>7</v>
      </c>
      <c r="B185" s="201" t="s">
        <v>419</v>
      </c>
      <c r="C185" s="210">
        <v>1.0509999999999999</v>
      </c>
      <c r="D185" s="210">
        <v>0.83599999999999997</v>
      </c>
      <c r="E185" s="210">
        <v>0.72699999999999998</v>
      </c>
    </row>
    <row r="186" spans="1:6" ht="20.100000000000001" customHeight="1" x14ac:dyDescent="0.2">
      <c r="A186" s="202">
        <v>8</v>
      </c>
      <c r="B186" s="201" t="s">
        <v>423</v>
      </c>
      <c r="C186" s="210">
        <v>1.0124679999999999</v>
      </c>
      <c r="D186" s="210">
        <v>1.0200830000000001</v>
      </c>
      <c r="E186" s="210">
        <v>1.03668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3890</v>
      </c>
      <c r="D189" s="198">
        <v>3721</v>
      </c>
      <c r="E189" s="198">
        <v>3665</v>
      </c>
    </row>
    <row r="190" spans="1:6" ht="20.100000000000001" customHeight="1" x14ac:dyDescent="0.2">
      <c r="A190" s="202">
        <v>2</v>
      </c>
      <c r="B190" s="201" t="s">
        <v>427</v>
      </c>
      <c r="C190" s="198">
        <v>24778</v>
      </c>
      <c r="D190" s="198">
        <v>26293</v>
      </c>
      <c r="E190" s="198">
        <v>28697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28668</v>
      </c>
      <c r="D191" s="198">
        <f>+D190+D189</f>
        <v>30014</v>
      </c>
      <c r="E191" s="198">
        <f>+E190+E189</f>
        <v>32362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FILING&amp;RWINDHAM COMMUNITY MEMORIAL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A6" sqref="A6"/>
    </sheetView>
  </sheetViews>
  <sheetFormatPr defaultRowHeight="20.25" customHeight="1" x14ac:dyDescent="0.3"/>
  <cols>
    <col min="1" max="1" width="9.42578125" style="211" customWidth="1"/>
    <col min="2" max="2" width="69.28515625" style="211" customWidth="1"/>
    <col min="3" max="3" width="21" style="212" customWidth="1"/>
    <col min="4" max="4" width="21.140625" style="211" customWidth="1"/>
    <col min="5" max="5" width="21.5703125" style="211" customWidth="1"/>
    <col min="6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429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91"/>
      <c r="D9" s="692"/>
      <c r="E9" s="692"/>
      <c r="F9" s="693"/>
      <c r="G9" s="212"/>
    </row>
    <row r="10" spans="1:7" ht="20.25" customHeight="1" x14ac:dyDescent="0.3">
      <c r="A10" s="694" t="s">
        <v>12</v>
      </c>
      <c r="B10" s="674" t="s">
        <v>113</v>
      </c>
      <c r="C10" s="676"/>
      <c r="D10" s="677"/>
      <c r="E10" s="677"/>
      <c r="F10" s="678"/>
    </row>
    <row r="11" spans="1:7" ht="20.25" customHeight="1" x14ac:dyDescent="0.3">
      <c r="A11" s="683"/>
      <c r="B11" s="675"/>
      <c r="C11" s="679"/>
      <c r="D11" s="680"/>
      <c r="E11" s="680"/>
      <c r="F11" s="681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77922</v>
      </c>
      <c r="D14" s="237">
        <v>242370</v>
      </c>
      <c r="E14" s="237">
        <f t="shared" ref="E14:E24" si="0">D14-C14</f>
        <v>164448</v>
      </c>
      <c r="F14" s="238">
        <f t="shared" ref="F14:F24" si="1">IF(C14=0,0,E14/C14)</f>
        <v>2.1104181104181103</v>
      </c>
    </row>
    <row r="15" spans="1:7" ht="20.25" customHeight="1" x14ac:dyDescent="0.3">
      <c r="A15" s="235">
        <v>2</v>
      </c>
      <c r="B15" s="236" t="s">
        <v>435</v>
      </c>
      <c r="C15" s="237">
        <v>56022</v>
      </c>
      <c r="D15" s="237">
        <v>162233</v>
      </c>
      <c r="E15" s="237">
        <f t="shared" si="0"/>
        <v>106211</v>
      </c>
      <c r="F15" s="238">
        <f t="shared" si="1"/>
        <v>1.8958801899253865</v>
      </c>
    </row>
    <row r="16" spans="1:7" ht="20.25" customHeight="1" x14ac:dyDescent="0.3">
      <c r="A16" s="235">
        <v>3</v>
      </c>
      <c r="B16" s="236" t="s">
        <v>436</v>
      </c>
      <c r="C16" s="237">
        <v>53246</v>
      </c>
      <c r="D16" s="237">
        <v>43570</v>
      </c>
      <c r="E16" s="237">
        <f t="shared" si="0"/>
        <v>-9676</v>
      </c>
      <c r="F16" s="238">
        <f t="shared" si="1"/>
        <v>-0.18172257070953687</v>
      </c>
    </row>
    <row r="17" spans="1:6" ht="20.25" customHeight="1" x14ac:dyDescent="0.3">
      <c r="A17" s="235">
        <v>4</v>
      </c>
      <c r="B17" s="236" t="s">
        <v>437</v>
      </c>
      <c r="C17" s="237">
        <v>13032</v>
      </c>
      <c r="D17" s="237">
        <v>10696</v>
      </c>
      <c r="E17" s="237">
        <f t="shared" si="0"/>
        <v>-2336</v>
      </c>
      <c r="F17" s="238">
        <f t="shared" si="1"/>
        <v>-0.17925107427869857</v>
      </c>
    </row>
    <row r="18" spans="1:6" ht="20.25" customHeight="1" x14ac:dyDescent="0.3">
      <c r="A18" s="235">
        <v>5</v>
      </c>
      <c r="B18" s="236" t="s">
        <v>373</v>
      </c>
      <c r="C18" s="239">
        <v>7</v>
      </c>
      <c r="D18" s="239">
        <v>12</v>
      </c>
      <c r="E18" s="239">
        <f t="shared" si="0"/>
        <v>5</v>
      </c>
      <c r="F18" s="238">
        <f t="shared" si="1"/>
        <v>0.7142857142857143</v>
      </c>
    </row>
    <row r="19" spans="1:6" ht="20.25" customHeight="1" x14ac:dyDescent="0.3">
      <c r="A19" s="235">
        <v>6</v>
      </c>
      <c r="B19" s="236" t="s">
        <v>372</v>
      </c>
      <c r="C19" s="239">
        <v>25</v>
      </c>
      <c r="D19" s="239">
        <v>88</v>
      </c>
      <c r="E19" s="239">
        <f t="shared" si="0"/>
        <v>63</v>
      </c>
      <c r="F19" s="238">
        <f t="shared" si="1"/>
        <v>2.52</v>
      </c>
    </row>
    <row r="20" spans="1:6" ht="20.25" customHeight="1" x14ac:dyDescent="0.3">
      <c r="A20" s="235">
        <v>7</v>
      </c>
      <c r="B20" s="236" t="s">
        <v>438</v>
      </c>
      <c r="C20" s="239">
        <v>56</v>
      </c>
      <c r="D20" s="239">
        <v>75</v>
      </c>
      <c r="E20" s="239">
        <f t="shared" si="0"/>
        <v>19</v>
      </c>
      <c r="F20" s="238">
        <f t="shared" si="1"/>
        <v>0.3392857142857143</v>
      </c>
    </row>
    <row r="21" spans="1:6" ht="20.25" customHeight="1" x14ac:dyDescent="0.3">
      <c r="A21" s="235">
        <v>8</v>
      </c>
      <c r="B21" s="236" t="s">
        <v>439</v>
      </c>
      <c r="C21" s="239">
        <v>10</v>
      </c>
      <c r="D21" s="239">
        <v>9</v>
      </c>
      <c r="E21" s="239">
        <f t="shared" si="0"/>
        <v>-1</v>
      </c>
      <c r="F21" s="238">
        <f t="shared" si="1"/>
        <v>-0.1</v>
      </c>
    </row>
    <row r="22" spans="1:6" ht="20.25" customHeight="1" x14ac:dyDescent="0.3">
      <c r="A22" s="235">
        <v>9</v>
      </c>
      <c r="B22" s="236" t="s">
        <v>440</v>
      </c>
      <c r="C22" s="239">
        <v>4</v>
      </c>
      <c r="D22" s="239">
        <v>8</v>
      </c>
      <c r="E22" s="239">
        <f t="shared" si="0"/>
        <v>4</v>
      </c>
      <c r="F22" s="238">
        <f t="shared" si="1"/>
        <v>1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131168</v>
      </c>
      <c r="D23" s="243">
        <f>+D14+D16</f>
        <v>285940</v>
      </c>
      <c r="E23" s="243">
        <f t="shared" si="0"/>
        <v>154772</v>
      </c>
      <c r="F23" s="244">
        <f t="shared" si="1"/>
        <v>1.1799524274213222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69054</v>
      </c>
      <c r="D24" s="243">
        <f>+D15+D17</f>
        <v>172929</v>
      </c>
      <c r="E24" s="243">
        <f t="shared" si="0"/>
        <v>103875</v>
      </c>
      <c r="F24" s="244">
        <f t="shared" si="1"/>
        <v>1.5042575375792857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666</v>
      </c>
      <c r="D29" s="237">
        <v>0</v>
      </c>
      <c r="E29" s="237">
        <f t="shared" si="2"/>
        <v>-666</v>
      </c>
      <c r="F29" s="238">
        <f t="shared" si="3"/>
        <v>-1</v>
      </c>
    </row>
    <row r="30" spans="1:6" ht="20.25" customHeight="1" x14ac:dyDescent="0.3">
      <c r="A30" s="235">
        <v>4</v>
      </c>
      <c r="B30" s="236" t="s">
        <v>437</v>
      </c>
      <c r="C30" s="237">
        <v>252</v>
      </c>
      <c r="D30" s="237">
        <v>0</v>
      </c>
      <c r="E30" s="237">
        <f t="shared" si="2"/>
        <v>-252</v>
      </c>
      <c r="F30" s="238">
        <f t="shared" si="3"/>
        <v>-1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1</v>
      </c>
      <c r="D34" s="239">
        <v>0</v>
      </c>
      <c r="E34" s="239">
        <f t="shared" si="2"/>
        <v>-1</v>
      </c>
      <c r="F34" s="238">
        <f t="shared" si="3"/>
        <v>-1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666</v>
      </c>
      <c r="D36" s="243">
        <f>+D27+D29</f>
        <v>0</v>
      </c>
      <c r="E36" s="243">
        <f t="shared" si="2"/>
        <v>-666</v>
      </c>
      <c r="F36" s="244">
        <f t="shared" si="3"/>
        <v>-1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252</v>
      </c>
      <c r="D37" s="243">
        <f>+D28+D30</f>
        <v>0</v>
      </c>
      <c r="E37" s="243">
        <f t="shared" si="2"/>
        <v>-252</v>
      </c>
      <c r="F37" s="244">
        <f t="shared" si="3"/>
        <v>-1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524897</v>
      </c>
      <c r="D40" s="237">
        <v>730696</v>
      </c>
      <c r="E40" s="237">
        <f t="shared" ref="E40:E50" si="4">D40-C40</f>
        <v>205799</v>
      </c>
      <c r="F40" s="238">
        <f t="shared" ref="F40:F50" si="5">IF(C40=0,0,E40/C40)</f>
        <v>0.39207501662230876</v>
      </c>
    </row>
    <row r="41" spans="1:6" ht="20.25" customHeight="1" x14ac:dyDescent="0.3">
      <c r="A41" s="235">
        <v>2</v>
      </c>
      <c r="B41" s="236" t="s">
        <v>435</v>
      </c>
      <c r="C41" s="237">
        <v>212880</v>
      </c>
      <c r="D41" s="237">
        <v>479117</v>
      </c>
      <c r="E41" s="237">
        <f t="shared" si="4"/>
        <v>266237</v>
      </c>
      <c r="F41" s="238">
        <f t="shared" si="5"/>
        <v>1.2506435550544908</v>
      </c>
    </row>
    <row r="42" spans="1:6" ht="20.25" customHeight="1" x14ac:dyDescent="0.3">
      <c r="A42" s="235">
        <v>3</v>
      </c>
      <c r="B42" s="236" t="s">
        <v>436</v>
      </c>
      <c r="C42" s="237">
        <v>1122069</v>
      </c>
      <c r="D42" s="237">
        <v>1279414</v>
      </c>
      <c r="E42" s="237">
        <f t="shared" si="4"/>
        <v>157345</v>
      </c>
      <c r="F42" s="238">
        <f t="shared" si="5"/>
        <v>0.14022756176313578</v>
      </c>
    </row>
    <row r="43" spans="1:6" ht="20.25" customHeight="1" x14ac:dyDescent="0.3">
      <c r="A43" s="235">
        <v>4</v>
      </c>
      <c r="B43" s="236" t="s">
        <v>437</v>
      </c>
      <c r="C43" s="237">
        <v>299950</v>
      </c>
      <c r="D43" s="237">
        <v>336582</v>
      </c>
      <c r="E43" s="237">
        <f t="shared" si="4"/>
        <v>36632</v>
      </c>
      <c r="F43" s="238">
        <f t="shared" si="5"/>
        <v>0.12212702117019503</v>
      </c>
    </row>
    <row r="44" spans="1:6" ht="20.25" customHeight="1" x14ac:dyDescent="0.3">
      <c r="A44" s="235">
        <v>5</v>
      </c>
      <c r="B44" s="236" t="s">
        <v>373</v>
      </c>
      <c r="C44" s="239">
        <v>33</v>
      </c>
      <c r="D44" s="239">
        <v>52</v>
      </c>
      <c r="E44" s="239">
        <f t="shared" si="4"/>
        <v>19</v>
      </c>
      <c r="F44" s="238">
        <f t="shared" si="5"/>
        <v>0.5757575757575758</v>
      </c>
    </row>
    <row r="45" spans="1:6" ht="20.25" customHeight="1" x14ac:dyDescent="0.3">
      <c r="A45" s="235">
        <v>6</v>
      </c>
      <c r="B45" s="236" t="s">
        <v>372</v>
      </c>
      <c r="C45" s="239">
        <v>126</v>
      </c>
      <c r="D45" s="239">
        <v>220</v>
      </c>
      <c r="E45" s="239">
        <f t="shared" si="4"/>
        <v>94</v>
      </c>
      <c r="F45" s="238">
        <f t="shared" si="5"/>
        <v>0.74603174603174605</v>
      </c>
    </row>
    <row r="46" spans="1:6" ht="20.25" customHeight="1" x14ac:dyDescent="0.3">
      <c r="A46" s="235">
        <v>7</v>
      </c>
      <c r="B46" s="236" t="s">
        <v>438</v>
      </c>
      <c r="C46" s="239">
        <v>1391</v>
      </c>
      <c r="D46" s="239">
        <v>1636</v>
      </c>
      <c r="E46" s="239">
        <f t="shared" si="4"/>
        <v>245</v>
      </c>
      <c r="F46" s="238">
        <f t="shared" si="5"/>
        <v>0.17613227893601727</v>
      </c>
    </row>
    <row r="47" spans="1:6" ht="20.25" customHeight="1" x14ac:dyDescent="0.3">
      <c r="A47" s="235">
        <v>8</v>
      </c>
      <c r="B47" s="236" t="s">
        <v>439</v>
      </c>
      <c r="C47" s="239">
        <v>70</v>
      </c>
      <c r="D47" s="239">
        <v>84</v>
      </c>
      <c r="E47" s="239">
        <f t="shared" si="4"/>
        <v>14</v>
      </c>
      <c r="F47" s="238">
        <f t="shared" si="5"/>
        <v>0.2</v>
      </c>
    </row>
    <row r="48" spans="1:6" ht="20.25" customHeight="1" x14ac:dyDescent="0.3">
      <c r="A48" s="235">
        <v>9</v>
      </c>
      <c r="B48" s="236" t="s">
        <v>440</v>
      </c>
      <c r="C48" s="239">
        <v>23</v>
      </c>
      <c r="D48" s="239">
        <v>32</v>
      </c>
      <c r="E48" s="239">
        <f t="shared" si="4"/>
        <v>9</v>
      </c>
      <c r="F48" s="238">
        <f t="shared" si="5"/>
        <v>0.39130434782608697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1646966</v>
      </c>
      <c r="D49" s="243">
        <f>+D40+D42</f>
        <v>2010110</v>
      </c>
      <c r="E49" s="243">
        <f t="shared" si="4"/>
        <v>363144</v>
      </c>
      <c r="F49" s="244">
        <f t="shared" si="5"/>
        <v>0.22049271205355789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512830</v>
      </c>
      <c r="D50" s="243">
        <f>+D41+D43</f>
        <v>815699</v>
      </c>
      <c r="E50" s="243">
        <f t="shared" si="4"/>
        <v>302869</v>
      </c>
      <c r="F50" s="244">
        <f t="shared" si="5"/>
        <v>0.5905836242029523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1332767</v>
      </c>
      <c r="D53" s="237">
        <v>2324660</v>
      </c>
      <c r="E53" s="237">
        <f t="shared" ref="E53:E63" si="6">D53-C53</f>
        <v>991893</v>
      </c>
      <c r="F53" s="238">
        <f t="shared" ref="F53:F63" si="7">IF(C53=0,0,E53/C53)</f>
        <v>0.74423586418331189</v>
      </c>
    </row>
    <row r="54" spans="1:6" ht="20.25" customHeight="1" x14ac:dyDescent="0.3">
      <c r="A54" s="235">
        <v>2</v>
      </c>
      <c r="B54" s="236" t="s">
        <v>435</v>
      </c>
      <c r="C54" s="237">
        <v>743143</v>
      </c>
      <c r="D54" s="237">
        <v>1275079</v>
      </c>
      <c r="E54" s="237">
        <f t="shared" si="6"/>
        <v>531936</v>
      </c>
      <c r="F54" s="238">
        <f t="shared" si="7"/>
        <v>0.71579224994381974</v>
      </c>
    </row>
    <row r="55" spans="1:6" ht="20.25" customHeight="1" x14ac:dyDescent="0.3">
      <c r="A55" s="235">
        <v>3</v>
      </c>
      <c r="B55" s="236" t="s">
        <v>436</v>
      </c>
      <c r="C55" s="237">
        <v>1515059</v>
      </c>
      <c r="D55" s="237">
        <v>2142255</v>
      </c>
      <c r="E55" s="237">
        <f t="shared" si="6"/>
        <v>627196</v>
      </c>
      <c r="F55" s="238">
        <f t="shared" si="7"/>
        <v>0.41397463729135303</v>
      </c>
    </row>
    <row r="56" spans="1:6" ht="20.25" customHeight="1" x14ac:dyDescent="0.3">
      <c r="A56" s="235">
        <v>4</v>
      </c>
      <c r="B56" s="236" t="s">
        <v>437</v>
      </c>
      <c r="C56" s="237">
        <v>403639</v>
      </c>
      <c r="D56" s="237">
        <v>619431</v>
      </c>
      <c r="E56" s="237">
        <f t="shared" si="6"/>
        <v>215792</v>
      </c>
      <c r="F56" s="238">
        <f t="shared" si="7"/>
        <v>0.53461632795641645</v>
      </c>
    </row>
    <row r="57" spans="1:6" ht="20.25" customHeight="1" x14ac:dyDescent="0.3">
      <c r="A57" s="235">
        <v>5</v>
      </c>
      <c r="B57" s="236" t="s">
        <v>373</v>
      </c>
      <c r="C57" s="239">
        <v>94</v>
      </c>
      <c r="D57" s="239">
        <v>125</v>
      </c>
      <c r="E57" s="239">
        <f t="shared" si="6"/>
        <v>31</v>
      </c>
      <c r="F57" s="238">
        <f t="shared" si="7"/>
        <v>0.32978723404255317</v>
      </c>
    </row>
    <row r="58" spans="1:6" ht="20.25" customHeight="1" x14ac:dyDescent="0.3">
      <c r="A58" s="235">
        <v>6</v>
      </c>
      <c r="B58" s="236" t="s">
        <v>372</v>
      </c>
      <c r="C58" s="239">
        <v>384</v>
      </c>
      <c r="D58" s="239">
        <v>650</v>
      </c>
      <c r="E58" s="239">
        <f t="shared" si="6"/>
        <v>266</v>
      </c>
      <c r="F58" s="238">
        <f t="shared" si="7"/>
        <v>0.69270833333333337</v>
      </c>
    </row>
    <row r="59" spans="1:6" ht="20.25" customHeight="1" x14ac:dyDescent="0.3">
      <c r="A59" s="235">
        <v>7</v>
      </c>
      <c r="B59" s="236" t="s">
        <v>438</v>
      </c>
      <c r="C59" s="239">
        <v>1786</v>
      </c>
      <c r="D59" s="239">
        <v>2405</v>
      </c>
      <c r="E59" s="239">
        <f t="shared" si="6"/>
        <v>619</v>
      </c>
      <c r="F59" s="238">
        <f t="shared" si="7"/>
        <v>0.34658454647256437</v>
      </c>
    </row>
    <row r="60" spans="1:6" ht="20.25" customHeight="1" x14ac:dyDescent="0.3">
      <c r="A60" s="235">
        <v>8</v>
      </c>
      <c r="B60" s="236" t="s">
        <v>439</v>
      </c>
      <c r="C60" s="239">
        <v>103</v>
      </c>
      <c r="D60" s="239">
        <v>174</v>
      </c>
      <c r="E60" s="239">
        <f t="shared" si="6"/>
        <v>71</v>
      </c>
      <c r="F60" s="238">
        <f t="shared" si="7"/>
        <v>0.68932038834951459</v>
      </c>
    </row>
    <row r="61" spans="1:6" ht="20.25" customHeight="1" x14ac:dyDescent="0.3">
      <c r="A61" s="235">
        <v>9</v>
      </c>
      <c r="B61" s="236" t="s">
        <v>440</v>
      </c>
      <c r="C61" s="239">
        <v>63</v>
      </c>
      <c r="D61" s="239">
        <v>69</v>
      </c>
      <c r="E61" s="239">
        <f t="shared" si="6"/>
        <v>6</v>
      </c>
      <c r="F61" s="238">
        <f t="shared" si="7"/>
        <v>9.5238095238095233E-2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2847826</v>
      </c>
      <c r="D62" s="243">
        <f>+D53+D55</f>
        <v>4466915</v>
      </c>
      <c r="E62" s="243">
        <f t="shared" si="6"/>
        <v>1619089</v>
      </c>
      <c r="F62" s="244">
        <f t="shared" si="7"/>
        <v>0.56853508606213998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1146782</v>
      </c>
      <c r="D63" s="243">
        <f>+D54+D56</f>
        <v>1894510</v>
      </c>
      <c r="E63" s="243">
        <f t="shared" si="6"/>
        <v>747728</v>
      </c>
      <c r="F63" s="244">
        <f t="shared" si="7"/>
        <v>0.65202279073093228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106305</v>
      </c>
      <c r="D66" s="237">
        <v>140508</v>
      </c>
      <c r="E66" s="237">
        <f t="shared" ref="E66:E76" si="8">D66-C66</f>
        <v>34203</v>
      </c>
      <c r="F66" s="238">
        <f t="shared" ref="F66:F76" si="9">IF(C66=0,0,E66/C66)</f>
        <v>0.32174403838013266</v>
      </c>
    </row>
    <row r="67" spans="1:6" ht="20.25" customHeight="1" x14ac:dyDescent="0.3">
      <c r="A67" s="235">
        <v>2</v>
      </c>
      <c r="B67" s="236" t="s">
        <v>435</v>
      </c>
      <c r="C67" s="237">
        <v>43536</v>
      </c>
      <c r="D67" s="237">
        <v>84581</v>
      </c>
      <c r="E67" s="237">
        <f t="shared" si="8"/>
        <v>41045</v>
      </c>
      <c r="F67" s="238">
        <f t="shared" si="9"/>
        <v>0.94278298419698636</v>
      </c>
    </row>
    <row r="68" spans="1:6" ht="20.25" customHeight="1" x14ac:dyDescent="0.3">
      <c r="A68" s="235">
        <v>3</v>
      </c>
      <c r="B68" s="236" t="s">
        <v>436</v>
      </c>
      <c r="C68" s="237">
        <v>99732</v>
      </c>
      <c r="D68" s="237">
        <v>457540</v>
      </c>
      <c r="E68" s="237">
        <f t="shared" si="8"/>
        <v>357808</v>
      </c>
      <c r="F68" s="238">
        <f t="shared" si="9"/>
        <v>3.5876950226607307</v>
      </c>
    </row>
    <row r="69" spans="1:6" ht="20.25" customHeight="1" x14ac:dyDescent="0.3">
      <c r="A69" s="235">
        <v>4</v>
      </c>
      <c r="B69" s="236" t="s">
        <v>437</v>
      </c>
      <c r="C69" s="237">
        <v>25387</v>
      </c>
      <c r="D69" s="237">
        <v>121578</v>
      </c>
      <c r="E69" s="237">
        <f t="shared" si="8"/>
        <v>96191</v>
      </c>
      <c r="F69" s="238">
        <f t="shared" si="9"/>
        <v>3.7889864891479892</v>
      </c>
    </row>
    <row r="70" spans="1:6" ht="20.25" customHeight="1" x14ac:dyDescent="0.3">
      <c r="A70" s="235">
        <v>5</v>
      </c>
      <c r="B70" s="236" t="s">
        <v>373</v>
      </c>
      <c r="C70" s="239">
        <v>5</v>
      </c>
      <c r="D70" s="239">
        <v>14</v>
      </c>
      <c r="E70" s="239">
        <f t="shared" si="8"/>
        <v>9</v>
      </c>
      <c r="F70" s="238">
        <f t="shared" si="9"/>
        <v>1.8</v>
      </c>
    </row>
    <row r="71" spans="1:6" ht="20.25" customHeight="1" x14ac:dyDescent="0.3">
      <c r="A71" s="235">
        <v>6</v>
      </c>
      <c r="B71" s="236" t="s">
        <v>372</v>
      </c>
      <c r="C71" s="239">
        <v>18</v>
      </c>
      <c r="D71" s="239">
        <v>39</v>
      </c>
      <c r="E71" s="239">
        <f t="shared" si="8"/>
        <v>21</v>
      </c>
      <c r="F71" s="238">
        <f t="shared" si="9"/>
        <v>1.1666666666666667</v>
      </c>
    </row>
    <row r="72" spans="1:6" ht="20.25" customHeight="1" x14ac:dyDescent="0.3">
      <c r="A72" s="235">
        <v>7</v>
      </c>
      <c r="B72" s="236" t="s">
        <v>438</v>
      </c>
      <c r="C72" s="239">
        <v>94</v>
      </c>
      <c r="D72" s="239">
        <v>551</v>
      </c>
      <c r="E72" s="239">
        <f t="shared" si="8"/>
        <v>457</v>
      </c>
      <c r="F72" s="238">
        <f t="shared" si="9"/>
        <v>4.8617021276595747</v>
      </c>
    </row>
    <row r="73" spans="1:6" ht="20.25" customHeight="1" x14ac:dyDescent="0.3">
      <c r="A73" s="235">
        <v>8</v>
      </c>
      <c r="B73" s="236" t="s">
        <v>439</v>
      </c>
      <c r="C73" s="239">
        <v>27</v>
      </c>
      <c r="D73" s="239">
        <v>69</v>
      </c>
      <c r="E73" s="239">
        <f t="shared" si="8"/>
        <v>42</v>
      </c>
      <c r="F73" s="238">
        <f t="shared" si="9"/>
        <v>1.5555555555555556</v>
      </c>
    </row>
    <row r="74" spans="1:6" ht="20.25" customHeight="1" x14ac:dyDescent="0.3">
      <c r="A74" s="235">
        <v>9</v>
      </c>
      <c r="B74" s="236" t="s">
        <v>440</v>
      </c>
      <c r="C74" s="239">
        <v>3</v>
      </c>
      <c r="D74" s="239">
        <v>8</v>
      </c>
      <c r="E74" s="239">
        <f t="shared" si="8"/>
        <v>5</v>
      </c>
      <c r="F74" s="238">
        <f t="shared" si="9"/>
        <v>1.6666666666666667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206037</v>
      </c>
      <c r="D75" s="243">
        <f>+D66+D68</f>
        <v>598048</v>
      </c>
      <c r="E75" s="243">
        <f t="shared" si="8"/>
        <v>392011</v>
      </c>
      <c r="F75" s="244">
        <f t="shared" si="9"/>
        <v>1.9026242859292264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68923</v>
      </c>
      <c r="D76" s="243">
        <f>+D67+D69</f>
        <v>206159</v>
      </c>
      <c r="E76" s="243">
        <f t="shared" si="8"/>
        <v>137236</v>
      </c>
      <c r="F76" s="244">
        <f t="shared" si="9"/>
        <v>1.9911495436936872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435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436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437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373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372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438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439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440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22195</v>
      </c>
      <c r="D92" s="237">
        <v>0</v>
      </c>
      <c r="E92" s="237">
        <f t="shared" ref="E92:E102" si="12">D92-C92</f>
        <v>-22195</v>
      </c>
      <c r="F92" s="238">
        <f t="shared" ref="F92:F102" si="13">IF(C92=0,0,E92/C92)</f>
        <v>-1</v>
      </c>
    </row>
    <row r="93" spans="1:6" ht="20.25" customHeight="1" x14ac:dyDescent="0.3">
      <c r="A93" s="235">
        <v>2</v>
      </c>
      <c r="B93" s="236" t="s">
        <v>435</v>
      </c>
      <c r="C93" s="237">
        <v>18146</v>
      </c>
      <c r="D93" s="237">
        <v>0</v>
      </c>
      <c r="E93" s="237">
        <f t="shared" si="12"/>
        <v>-18146</v>
      </c>
      <c r="F93" s="238">
        <f t="shared" si="13"/>
        <v>-1</v>
      </c>
    </row>
    <row r="94" spans="1:6" ht="20.25" customHeight="1" x14ac:dyDescent="0.3">
      <c r="A94" s="235">
        <v>3</v>
      </c>
      <c r="B94" s="236" t="s">
        <v>436</v>
      </c>
      <c r="C94" s="237">
        <v>44371</v>
      </c>
      <c r="D94" s="237">
        <v>0</v>
      </c>
      <c r="E94" s="237">
        <f t="shared" si="12"/>
        <v>-44371</v>
      </c>
      <c r="F94" s="238">
        <f t="shared" si="13"/>
        <v>-1</v>
      </c>
    </row>
    <row r="95" spans="1:6" ht="20.25" customHeight="1" x14ac:dyDescent="0.3">
      <c r="A95" s="235">
        <v>4</v>
      </c>
      <c r="B95" s="236" t="s">
        <v>437</v>
      </c>
      <c r="C95" s="237">
        <v>7447</v>
      </c>
      <c r="D95" s="237">
        <v>0</v>
      </c>
      <c r="E95" s="237">
        <f t="shared" si="12"/>
        <v>-7447</v>
      </c>
      <c r="F95" s="238">
        <f t="shared" si="13"/>
        <v>-1</v>
      </c>
    </row>
    <row r="96" spans="1:6" ht="20.25" customHeight="1" x14ac:dyDescent="0.3">
      <c r="A96" s="235">
        <v>5</v>
      </c>
      <c r="B96" s="236" t="s">
        <v>373</v>
      </c>
      <c r="C96" s="239">
        <v>3</v>
      </c>
      <c r="D96" s="239">
        <v>0</v>
      </c>
      <c r="E96" s="239">
        <f t="shared" si="12"/>
        <v>-3</v>
      </c>
      <c r="F96" s="238">
        <f t="shared" si="13"/>
        <v>-1</v>
      </c>
    </row>
    <row r="97" spans="1:6" ht="20.25" customHeight="1" x14ac:dyDescent="0.3">
      <c r="A97" s="235">
        <v>6</v>
      </c>
      <c r="B97" s="236" t="s">
        <v>372</v>
      </c>
      <c r="C97" s="239">
        <v>6</v>
      </c>
      <c r="D97" s="239">
        <v>0</v>
      </c>
      <c r="E97" s="239">
        <f t="shared" si="12"/>
        <v>-6</v>
      </c>
      <c r="F97" s="238">
        <f t="shared" si="13"/>
        <v>-1</v>
      </c>
    </row>
    <row r="98" spans="1:6" ht="20.25" customHeight="1" x14ac:dyDescent="0.3">
      <c r="A98" s="235">
        <v>7</v>
      </c>
      <c r="B98" s="236" t="s">
        <v>438</v>
      </c>
      <c r="C98" s="239">
        <v>164</v>
      </c>
      <c r="D98" s="239">
        <v>0</v>
      </c>
      <c r="E98" s="239">
        <f t="shared" si="12"/>
        <v>-164</v>
      </c>
      <c r="F98" s="238">
        <f t="shared" si="13"/>
        <v>-1</v>
      </c>
    </row>
    <row r="99" spans="1:6" ht="20.25" customHeight="1" x14ac:dyDescent="0.3">
      <c r="A99" s="235">
        <v>8</v>
      </c>
      <c r="B99" s="236" t="s">
        <v>439</v>
      </c>
      <c r="C99" s="239">
        <v>3</v>
      </c>
      <c r="D99" s="239">
        <v>0</v>
      </c>
      <c r="E99" s="239">
        <f t="shared" si="12"/>
        <v>-3</v>
      </c>
      <c r="F99" s="238">
        <f t="shared" si="13"/>
        <v>-1</v>
      </c>
    </row>
    <row r="100" spans="1:6" ht="20.25" customHeight="1" x14ac:dyDescent="0.3">
      <c r="A100" s="235">
        <v>9</v>
      </c>
      <c r="B100" s="236" t="s">
        <v>440</v>
      </c>
      <c r="C100" s="239">
        <v>2</v>
      </c>
      <c r="D100" s="239">
        <v>0</v>
      </c>
      <c r="E100" s="239">
        <f t="shared" si="12"/>
        <v>-2</v>
      </c>
      <c r="F100" s="238">
        <f t="shared" si="13"/>
        <v>-1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66566</v>
      </c>
      <c r="D101" s="243">
        <f>+D92+D94</f>
        <v>0</v>
      </c>
      <c r="E101" s="243">
        <f t="shared" si="12"/>
        <v>-66566</v>
      </c>
      <c r="F101" s="244">
        <f t="shared" si="13"/>
        <v>-1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25593</v>
      </c>
      <c r="D102" s="243">
        <f>+D93+D95</f>
        <v>0</v>
      </c>
      <c r="E102" s="243">
        <f t="shared" si="12"/>
        <v>-25593</v>
      </c>
      <c r="F102" s="244">
        <f t="shared" si="13"/>
        <v>-1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0</v>
      </c>
      <c r="D105" s="237">
        <v>0</v>
      </c>
      <c r="E105" s="237">
        <f t="shared" ref="E105:E115" si="14">D105-C105</f>
        <v>0</v>
      </c>
      <c r="F105" s="238">
        <f t="shared" ref="F105:F115" si="15">IF(C105=0,0,E105/C105)</f>
        <v>0</v>
      </c>
    </row>
    <row r="106" spans="1:6" ht="20.25" customHeight="1" x14ac:dyDescent="0.3">
      <c r="A106" s="235">
        <v>2</v>
      </c>
      <c r="B106" s="236" t="s">
        <v>435</v>
      </c>
      <c r="C106" s="237">
        <v>0</v>
      </c>
      <c r="D106" s="237">
        <v>0</v>
      </c>
      <c r="E106" s="237">
        <f t="shared" si="14"/>
        <v>0</v>
      </c>
      <c r="F106" s="238">
        <f t="shared" si="15"/>
        <v>0</v>
      </c>
    </row>
    <row r="107" spans="1:6" ht="20.25" customHeight="1" x14ac:dyDescent="0.3">
      <c r="A107" s="235">
        <v>3</v>
      </c>
      <c r="B107" s="236" t="s">
        <v>436</v>
      </c>
      <c r="C107" s="237">
        <v>688</v>
      </c>
      <c r="D107" s="237">
        <v>0</v>
      </c>
      <c r="E107" s="237">
        <f t="shared" si="14"/>
        <v>-688</v>
      </c>
      <c r="F107" s="238">
        <f t="shared" si="15"/>
        <v>-1</v>
      </c>
    </row>
    <row r="108" spans="1:6" ht="20.25" customHeight="1" x14ac:dyDescent="0.3">
      <c r="A108" s="235">
        <v>4</v>
      </c>
      <c r="B108" s="236" t="s">
        <v>437</v>
      </c>
      <c r="C108" s="237">
        <v>199</v>
      </c>
      <c r="D108" s="237">
        <v>0</v>
      </c>
      <c r="E108" s="237">
        <f t="shared" si="14"/>
        <v>-199</v>
      </c>
      <c r="F108" s="238">
        <f t="shared" si="15"/>
        <v>-1</v>
      </c>
    </row>
    <row r="109" spans="1:6" ht="20.25" customHeight="1" x14ac:dyDescent="0.3">
      <c r="A109" s="235">
        <v>5</v>
      </c>
      <c r="B109" s="236" t="s">
        <v>373</v>
      </c>
      <c r="C109" s="239">
        <v>0</v>
      </c>
      <c r="D109" s="239">
        <v>0</v>
      </c>
      <c r="E109" s="239">
        <f t="shared" si="14"/>
        <v>0</v>
      </c>
      <c r="F109" s="238">
        <f t="shared" si="15"/>
        <v>0</v>
      </c>
    </row>
    <row r="110" spans="1:6" ht="20.25" customHeight="1" x14ac:dyDescent="0.3">
      <c r="A110" s="235">
        <v>6</v>
      </c>
      <c r="B110" s="236" t="s">
        <v>372</v>
      </c>
      <c r="C110" s="239">
        <v>0</v>
      </c>
      <c r="D110" s="239">
        <v>0</v>
      </c>
      <c r="E110" s="239">
        <f t="shared" si="14"/>
        <v>0</v>
      </c>
      <c r="F110" s="238">
        <f t="shared" si="15"/>
        <v>0</v>
      </c>
    </row>
    <row r="111" spans="1:6" ht="20.25" customHeight="1" x14ac:dyDescent="0.3">
      <c r="A111" s="235">
        <v>7</v>
      </c>
      <c r="B111" s="236" t="s">
        <v>438</v>
      </c>
      <c r="C111" s="239">
        <v>1</v>
      </c>
      <c r="D111" s="239">
        <v>0</v>
      </c>
      <c r="E111" s="239">
        <f t="shared" si="14"/>
        <v>-1</v>
      </c>
      <c r="F111" s="238">
        <f t="shared" si="15"/>
        <v>-1</v>
      </c>
    </row>
    <row r="112" spans="1:6" ht="20.25" customHeight="1" x14ac:dyDescent="0.3">
      <c r="A112" s="235">
        <v>8</v>
      </c>
      <c r="B112" s="236" t="s">
        <v>439</v>
      </c>
      <c r="C112" s="239">
        <v>1</v>
      </c>
      <c r="D112" s="239">
        <v>0</v>
      </c>
      <c r="E112" s="239">
        <f t="shared" si="14"/>
        <v>-1</v>
      </c>
      <c r="F112" s="238">
        <f t="shared" si="15"/>
        <v>-1</v>
      </c>
    </row>
    <row r="113" spans="1:6" ht="20.25" customHeight="1" x14ac:dyDescent="0.3">
      <c r="A113" s="235">
        <v>9</v>
      </c>
      <c r="B113" s="236" t="s">
        <v>440</v>
      </c>
      <c r="C113" s="239">
        <v>0</v>
      </c>
      <c r="D113" s="239">
        <v>0</v>
      </c>
      <c r="E113" s="239">
        <f t="shared" si="14"/>
        <v>0</v>
      </c>
      <c r="F113" s="238">
        <f t="shared" si="15"/>
        <v>0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688</v>
      </c>
      <c r="D114" s="243">
        <f>+D105+D107</f>
        <v>0</v>
      </c>
      <c r="E114" s="243">
        <f t="shared" si="14"/>
        <v>-688</v>
      </c>
      <c r="F114" s="244">
        <f t="shared" si="15"/>
        <v>-1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199</v>
      </c>
      <c r="D115" s="243">
        <f>+D106+D108</f>
        <v>0</v>
      </c>
      <c r="E115" s="243">
        <f t="shared" si="14"/>
        <v>-199</v>
      </c>
      <c r="F115" s="244">
        <f t="shared" si="15"/>
        <v>-1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94717</v>
      </c>
      <c r="D118" s="237">
        <v>75200</v>
      </c>
      <c r="E118" s="237">
        <f t="shared" ref="E118:E128" si="16">D118-C118</f>
        <v>-19517</v>
      </c>
      <c r="F118" s="238">
        <f t="shared" ref="F118:F128" si="17">IF(C118=0,0,E118/C118)</f>
        <v>-0.20605593504861852</v>
      </c>
    </row>
    <row r="119" spans="1:6" ht="20.25" customHeight="1" x14ac:dyDescent="0.3">
      <c r="A119" s="235">
        <v>2</v>
      </c>
      <c r="B119" s="236" t="s">
        <v>435</v>
      </c>
      <c r="C119" s="237">
        <v>46677</v>
      </c>
      <c r="D119" s="237">
        <v>46233</v>
      </c>
      <c r="E119" s="237">
        <f t="shared" si="16"/>
        <v>-444</v>
      </c>
      <c r="F119" s="238">
        <f t="shared" si="17"/>
        <v>-9.5121794459798181E-3</v>
      </c>
    </row>
    <row r="120" spans="1:6" ht="20.25" customHeight="1" x14ac:dyDescent="0.3">
      <c r="A120" s="235">
        <v>3</v>
      </c>
      <c r="B120" s="236" t="s">
        <v>436</v>
      </c>
      <c r="C120" s="237">
        <v>99676</v>
      </c>
      <c r="D120" s="237">
        <v>95724</v>
      </c>
      <c r="E120" s="237">
        <f t="shared" si="16"/>
        <v>-3952</v>
      </c>
      <c r="F120" s="238">
        <f t="shared" si="17"/>
        <v>-3.9648461013684334E-2</v>
      </c>
    </row>
    <row r="121" spans="1:6" ht="20.25" customHeight="1" x14ac:dyDescent="0.3">
      <c r="A121" s="235">
        <v>4</v>
      </c>
      <c r="B121" s="236" t="s">
        <v>437</v>
      </c>
      <c r="C121" s="237">
        <v>27011</v>
      </c>
      <c r="D121" s="237">
        <v>25025</v>
      </c>
      <c r="E121" s="237">
        <f t="shared" si="16"/>
        <v>-1986</v>
      </c>
      <c r="F121" s="238">
        <f t="shared" si="17"/>
        <v>-7.3525600681203951E-2</v>
      </c>
    </row>
    <row r="122" spans="1:6" ht="20.25" customHeight="1" x14ac:dyDescent="0.3">
      <c r="A122" s="235">
        <v>5</v>
      </c>
      <c r="B122" s="236" t="s">
        <v>373</v>
      </c>
      <c r="C122" s="239">
        <v>6</v>
      </c>
      <c r="D122" s="239">
        <v>4</v>
      </c>
      <c r="E122" s="239">
        <f t="shared" si="16"/>
        <v>-2</v>
      </c>
      <c r="F122" s="238">
        <f t="shared" si="17"/>
        <v>-0.33333333333333331</v>
      </c>
    </row>
    <row r="123" spans="1:6" ht="20.25" customHeight="1" x14ac:dyDescent="0.3">
      <c r="A123" s="235">
        <v>6</v>
      </c>
      <c r="B123" s="236" t="s">
        <v>372</v>
      </c>
      <c r="C123" s="239">
        <v>21</v>
      </c>
      <c r="D123" s="239">
        <v>23</v>
      </c>
      <c r="E123" s="239">
        <f t="shared" si="16"/>
        <v>2</v>
      </c>
      <c r="F123" s="238">
        <f t="shared" si="17"/>
        <v>9.5238095238095233E-2</v>
      </c>
    </row>
    <row r="124" spans="1:6" ht="20.25" customHeight="1" x14ac:dyDescent="0.3">
      <c r="A124" s="235">
        <v>7</v>
      </c>
      <c r="B124" s="236" t="s">
        <v>438</v>
      </c>
      <c r="C124" s="239">
        <v>164</v>
      </c>
      <c r="D124" s="239">
        <v>181</v>
      </c>
      <c r="E124" s="239">
        <f t="shared" si="16"/>
        <v>17</v>
      </c>
      <c r="F124" s="238">
        <f t="shared" si="17"/>
        <v>0.10365853658536585</v>
      </c>
    </row>
    <row r="125" spans="1:6" ht="20.25" customHeight="1" x14ac:dyDescent="0.3">
      <c r="A125" s="235">
        <v>8</v>
      </c>
      <c r="B125" s="236" t="s">
        <v>439</v>
      </c>
      <c r="C125" s="239">
        <v>8</v>
      </c>
      <c r="D125" s="239">
        <v>10</v>
      </c>
      <c r="E125" s="239">
        <f t="shared" si="16"/>
        <v>2</v>
      </c>
      <c r="F125" s="238">
        <f t="shared" si="17"/>
        <v>0.25</v>
      </c>
    </row>
    <row r="126" spans="1:6" ht="20.25" customHeight="1" x14ac:dyDescent="0.3">
      <c r="A126" s="235">
        <v>9</v>
      </c>
      <c r="B126" s="236" t="s">
        <v>440</v>
      </c>
      <c r="C126" s="239">
        <v>5</v>
      </c>
      <c r="D126" s="239">
        <v>4</v>
      </c>
      <c r="E126" s="239">
        <f t="shared" si="16"/>
        <v>-1</v>
      </c>
      <c r="F126" s="238">
        <f t="shared" si="17"/>
        <v>-0.2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194393</v>
      </c>
      <c r="D127" s="243">
        <f>+D118+D120</f>
        <v>170924</v>
      </c>
      <c r="E127" s="243">
        <f t="shared" si="16"/>
        <v>-23469</v>
      </c>
      <c r="F127" s="244">
        <f t="shared" si="17"/>
        <v>-0.12072965590324755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73688</v>
      </c>
      <c r="D128" s="243">
        <f>+D119+D121</f>
        <v>71258</v>
      </c>
      <c r="E128" s="243">
        <f t="shared" si="16"/>
        <v>-2430</v>
      </c>
      <c r="F128" s="244">
        <f t="shared" si="17"/>
        <v>-3.2976875474975575E-2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18467</v>
      </c>
      <c r="D133" s="237">
        <v>19141</v>
      </c>
      <c r="E133" s="237">
        <f t="shared" si="18"/>
        <v>674</v>
      </c>
      <c r="F133" s="238">
        <f t="shared" si="19"/>
        <v>3.6497536145556939E-2</v>
      </c>
    </row>
    <row r="134" spans="1:6" ht="20.25" customHeight="1" x14ac:dyDescent="0.3">
      <c r="A134" s="235">
        <v>4</v>
      </c>
      <c r="B134" s="236" t="s">
        <v>437</v>
      </c>
      <c r="C134" s="237">
        <v>5233</v>
      </c>
      <c r="D134" s="237">
        <v>4252</v>
      </c>
      <c r="E134" s="237">
        <f t="shared" si="18"/>
        <v>-981</v>
      </c>
      <c r="F134" s="238">
        <f t="shared" si="19"/>
        <v>-0.18746416969233709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13</v>
      </c>
      <c r="D137" s="239">
        <v>19</v>
      </c>
      <c r="E137" s="239">
        <f t="shared" si="18"/>
        <v>6</v>
      </c>
      <c r="F137" s="238">
        <f t="shared" si="19"/>
        <v>0.46153846153846156</v>
      </c>
    </row>
    <row r="138" spans="1:6" ht="20.25" customHeight="1" x14ac:dyDescent="0.3">
      <c r="A138" s="235">
        <v>8</v>
      </c>
      <c r="B138" s="236" t="s">
        <v>439</v>
      </c>
      <c r="C138" s="239">
        <v>3</v>
      </c>
      <c r="D138" s="239">
        <v>4</v>
      </c>
      <c r="E138" s="239">
        <f t="shared" si="18"/>
        <v>1</v>
      </c>
      <c r="F138" s="238">
        <f t="shared" si="19"/>
        <v>0.33333333333333331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18467</v>
      </c>
      <c r="D140" s="243">
        <f>+D131+D133</f>
        <v>19141</v>
      </c>
      <c r="E140" s="243">
        <f t="shared" si="18"/>
        <v>674</v>
      </c>
      <c r="F140" s="244">
        <f t="shared" si="19"/>
        <v>3.6497536145556939E-2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5233</v>
      </c>
      <c r="D141" s="243">
        <f>+D132+D134</f>
        <v>4252</v>
      </c>
      <c r="E141" s="243">
        <f t="shared" si="18"/>
        <v>-981</v>
      </c>
      <c r="F141" s="244">
        <f t="shared" si="19"/>
        <v>-0.18746416969233709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1987</v>
      </c>
      <c r="D146" s="237">
        <v>0</v>
      </c>
      <c r="E146" s="237">
        <f t="shared" si="20"/>
        <v>-1987</v>
      </c>
      <c r="F146" s="238">
        <f t="shared" si="21"/>
        <v>-1</v>
      </c>
    </row>
    <row r="147" spans="1:6" ht="20.25" customHeight="1" x14ac:dyDescent="0.3">
      <c r="A147" s="235">
        <v>4</v>
      </c>
      <c r="B147" s="236" t="s">
        <v>437</v>
      </c>
      <c r="C147" s="237">
        <v>378</v>
      </c>
      <c r="D147" s="237">
        <v>0</v>
      </c>
      <c r="E147" s="237">
        <f t="shared" si="20"/>
        <v>-378</v>
      </c>
      <c r="F147" s="238">
        <f t="shared" si="21"/>
        <v>-1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8</v>
      </c>
      <c r="D150" s="239">
        <v>0</v>
      </c>
      <c r="E150" s="239">
        <f t="shared" si="20"/>
        <v>-8</v>
      </c>
      <c r="F150" s="238">
        <f t="shared" si="21"/>
        <v>-1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1987</v>
      </c>
      <c r="D153" s="243">
        <f>+D144+D146</f>
        <v>0</v>
      </c>
      <c r="E153" s="243">
        <f t="shared" si="20"/>
        <v>-1987</v>
      </c>
      <c r="F153" s="244">
        <f t="shared" si="21"/>
        <v>-1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378</v>
      </c>
      <c r="D154" s="243">
        <f>+D145+D147</f>
        <v>0</v>
      </c>
      <c r="E154" s="243">
        <f t="shared" si="20"/>
        <v>-378</v>
      </c>
      <c r="F154" s="244">
        <f t="shared" si="21"/>
        <v>-1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708961</v>
      </c>
      <c r="D183" s="237">
        <v>1169285</v>
      </c>
      <c r="E183" s="237">
        <f t="shared" ref="E183:E193" si="26">D183-C183</f>
        <v>460324</v>
      </c>
      <c r="F183" s="238">
        <f t="shared" ref="F183:F193" si="27">IF(C183=0,0,E183/C183)</f>
        <v>0.64929382575346173</v>
      </c>
    </row>
    <row r="184" spans="1:6" ht="20.25" customHeight="1" x14ac:dyDescent="0.3">
      <c r="A184" s="235">
        <v>2</v>
      </c>
      <c r="B184" s="236" t="s">
        <v>435</v>
      </c>
      <c r="C184" s="237">
        <v>312932</v>
      </c>
      <c r="D184" s="237">
        <v>484593</v>
      </c>
      <c r="E184" s="237">
        <f t="shared" si="26"/>
        <v>171661</v>
      </c>
      <c r="F184" s="238">
        <f t="shared" si="27"/>
        <v>0.54855687497603312</v>
      </c>
    </row>
    <row r="185" spans="1:6" ht="20.25" customHeight="1" x14ac:dyDescent="0.3">
      <c r="A185" s="235">
        <v>3</v>
      </c>
      <c r="B185" s="236" t="s">
        <v>436</v>
      </c>
      <c r="C185" s="237">
        <v>923307</v>
      </c>
      <c r="D185" s="237">
        <v>919397</v>
      </c>
      <c r="E185" s="237">
        <f t="shared" si="26"/>
        <v>-3910</v>
      </c>
      <c r="F185" s="238">
        <f t="shared" si="27"/>
        <v>-4.2347778149629542E-3</v>
      </c>
    </row>
    <row r="186" spans="1:6" ht="20.25" customHeight="1" x14ac:dyDescent="0.3">
      <c r="A186" s="235">
        <v>4</v>
      </c>
      <c r="B186" s="236" t="s">
        <v>437</v>
      </c>
      <c r="C186" s="237">
        <v>234797</v>
      </c>
      <c r="D186" s="237">
        <v>223500</v>
      </c>
      <c r="E186" s="237">
        <f t="shared" si="26"/>
        <v>-11297</v>
      </c>
      <c r="F186" s="238">
        <f t="shared" si="27"/>
        <v>-4.811390264781918E-2</v>
      </c>
    </row>
    <row r="187" spans="1:6" ht="20.25" customHeight="1" x14ac:dyDescent="0.3">
      <c r="A187" s="235">
        <v>5</v>
      </c>
      <c r="B187" s="236" t="s">
        <v>373</v>
      </c>
      <c r="C187" s="239">
        <v>41</v>
      </c>
      <c r="D187" s="239">
        <v>54</v>
      </c>
      <c r="E187" s="239">
        <f t="shared" si="26"/>
        <v>13</v>
      </c>
      <c r="F187" s="238">
        <f t="shared" si="27"/>
        <v>0.31707317073170732</v>
      </c>
    </row>
    <row r="188" spans="1:6" ht="20.25" customHeight="1" x14ac:dyDescent="0.3">
      <c r="A188" s="235">
        <v>6</v>
      </c>
      <c r="B188" s="236" t="s">
        <v>372</v>
      </c>
      <c r="C188" s="239">
        <v>203</v>
      </c>
      <c r="D188" s="239">
        <v>280</v>
      </c>
      <c r="E188" s="239">
        <f t="shared" si="26"/>
        <v>77</v>
      </c>
      <c r="F188" s="238">
        <f t="shared" si="27"/>
        <v>0.37931034482758619</v>
      </c>
    </row>
    <row r="189" spans="1:6" ht="20.25" customHeight="1" x14ac:dyDescent="0.3">
      <c r="A189" s="235">
        <v>7</v>
      </c>
      <c r="B189" s="236" t="s">
        <v>438</v>
      </c>
      <c r="C189" s="239">
        <v>1131</v>
      </c>
      <c r="D189" s="239">
        <v>1148</v>
      </c>
      <c r="E189" s="239">
        <f t="shared" si="26"/>
        <v>17</v>
      </c>
      <c r="F189" s="238">
        <f t="shared" si="27"/>
        <v>1.5030946065428824E-2</v>
      </c>
    </row>
    <row r="190" spans="1:6" ht="20.25" customHeight="1" x14ac:dyDescent="0.3">
      <c r="A190" s="235">
        <v>8</v>
      </c>
      <c r="B190" s="236" t="s">
        <v>439</v>
      </c>
      <c r="C190" s="239">
        <v>133</v>
      </c>
      <c r="D190" s="239">
        <v>154</v>
      </c>
      <c r="E190" s="239">
        <f t="shared" si="26"/>
        <v>21</v>
      </c>
      <c r="F190" s="238">
        <f t="shared" si="27"/>
        <v>0.15789473684210525</v>
      </c>
    </row>
    <row r="191" spans="1:6" ht="20.25" customHeight="1" x14ac:dyDescent="0.3">
      <c r="A191" s="235">
        <v>9</v>
      </c>
      <c r="B191" s="236" t="s">
        <v>440</v>
      </c>
      <c r="C191" s="239">
        <v>30</v>
      </c>
      <c r="D191" s="239">
        <v>33</v>
      </c>
      <c r="E191" s="239">
        <f t="shared" si="26"/>
        <v>3</v>
      </c>
      <c r="F191" s="238">
        <f t="shared" si="27"/>
        <v>0.1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1632268</v>
      </c>
      <c r="D192" s="243">
        <f>+D183+D185</f>
        <v>2088682</v>
      </c>
      <c r="E192" s="243">
        <f t="shared" si="26"/>
        <v>456414</v>
      </c>
      <c r="F192" s="244">
        <f t="shared" si="27"/>
        <v>0.27961952326456196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547729</v>
      </c>
      <c r="D193" s="243">
        <f>+D184+D186</f>
        <v>708093</v>
      </c>
      <c r="E193" s="243">
        <f t="shared" si="26"/>
        <v>160364</v>
      </c>
      <c r="F193" s="244">
        <f t="shared" si="27"/>
        <v>0.29277982359889654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2" t="s">
        <v>44</v>
      </c>
      <c r="B195" s="684" t="s">
        <v>459</v>
      </c>
      <c r="C195" s="686"/>
      <c r="D195" s="687"/>
      <c r="E195" s="687"/>
      <c r="F195" s="688"/>
      <c r="G195" s="689"/>
      <c r="H195" s="689"/>
      <c r="I195" s="689"/>
    </row>
    <row r="196" spans="1:9" ht="20.25" customHeight="1" x14ac:dyDescent="0.3">
      <c r="A196" s="683"/>
      <c r="B196" s="685"/>
      <c r="C196" s="679"/>
      <c r="D196" s="680"/>
      <c r="E196" s="680"/>
      <c r="F196" s="681"/>
      <c r="G196" s="689"/>
      <c r="H196" s="689"/>
      <c r="I196" s="689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2867764</v>
      </c>
      <c r="D198" s="243">
        <f t="shared" si="28"/>
        <v>4682719</v>
      </c>
      <c r="E198" s="243">
        <f t="shared" ref="E198:E208" si="29">D198-C198</f>
        <v>1814955</v>
      </c>
      <c r="F198" s="251">
        <f t="shared" ref="F198:F208" si="30">IF(C198=0,0,E198/C198)</f>
        <v>0.63288157602926876</v>
      </c>
    </row>
    <row r="199" spans="1:9" ht="20.25" customHeight="1" x14ac:dyDescent="0.3">
      <c r="A199" s="249"/>
      <c r="B199" s="250" t="s">
        <v>461</v>
      </c>
      <c r="C199" s="243">
        <f t="shared" si="28"/>
        <v>1433336</v>
      </c>
      <c r="D199" s="243">
        <f t="shared" si="28"/>
        <v>2531836</v>
      </c>
      <c r="E199" s="243">
        <f t="shared" si="29"/>
        <v>1098500</v>
      </c>
      <c r="F199" s="251">
        <f t="shared" si="30"/>
        <v>0.7663939229880502</v>
      </c>
    </row>
    <row r="200" spans="1:9" ht="20.25" customHeight="1" x14ac:dyDescent="0.3">
      <c r="A200" s="249"/>
      <c r="B200" s="250" t="s">
        <v>462</v>
      </c>
      <c r="C200" s="243">
        <f t="shared" si="28"/>
        <v>3879268</v>
      </c>
      <c r="D200" s="243">
        <f t="shared" si="28"/>
        <v>4957041</v>
      </c>
      <c r="E200" s="243">
        <f t="shared" si="29"/>
        <v>1077773</v>
      </c>
      <c r="F200" s="251">
        <f t="shared" si="30"/>
        <v>0.27782896154635361</v>
      </c>
    </row>
    <row r="201" spans="1:9" ht="20.25" customHeight="1" x14ac:dyDescent="0.3">
      <c r="A201" s="249"/>
      <c r="B201" s="250" t="s">
        <v>463</v>
      </c>
      <c r="C201" s="243">
        <f t="shared" si="28"/>
        <v>1017325</v>
      </c>
      <c r="D201" s="243">
        <f t="shared" si="28"/>
        <v>1341064</v>
      </c>
      <c r="E201" s="243">
        <f t="shared" si="29"/>
        <v>323739</v>
      </c>
      <c r="F201" s="251">
        <f t="shared" si="30"/>
        <v>0.31822573907060181</v>
      </c>
    </row>
    <row r="202" spans="1:9" ht="20.25" customHeight="1" x14ac:dyDescent="0.3">
      <c r="A202" s="249"/>
      <c r="B202" s="250" t="s">
        <v>464</v>
      </c>
      <c r="C202" s="252">
        <f t="shared" si="28"/>
        <v>189</v>
      </c>
      <c r="D202" s="252">
        <f t="shared" si="28"/>
        <v>261</v>
      </c>
      <c r="E202" s="252">
        <f t="shared" si="29"/>
        <v>72</v>
      </c>
      <c r="F202" s="251">
        <f t="shared" si="30"/>
        <v>0.38095238095238093</v>
      </c>
    </row>
    <row r="203" spans="1:9" ht="20.25" customHeight="1" x14ac:dyDescent="0.3">
      <c r="A203" s="249"/>
      <c r="B203" s="250" t="s">
        <v>465</v>
      </c>
      <c r="C203" s="252">
        <f t="shared" si="28"/>
        <v>783</v>
      </c>
      <c r="D203" s="252">
        <f t="shared" si="28"/>
        <v>1300</v>
      </c>
      <c r="E203" s="252">
        <f t="shared" si="29"/>
        <v>517</v>
      </c>
      <c r="F203" s="251">
        <f t="shared" si="30"/>
        <v>0.66028097062579816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4808</v>
      </c>
      <c r="D204" s="252">
        <f t="shared" si="28"/>
        <v>6015</v>
      </c>
      <c r="E204" s="252">
        <f t="shared" si="29"/>
        <v>1207</v>
      </c>
      <c r="F204" s="251">
        <f t="shared" si="30"/>
        <v>0.25103993344425957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359</v>
      </c>
      <c r="D205" s="252">
        <f t="shared" si="28"/>
        <v>504</v>
      </c>
      <c r="E205" s="252">
        <f t="shared" si="29"/>
        <v>145</v>
      </c>
      <c r="F205" s="251">
        <f t="shared" si="30"/>
        <v>0.40389972144846797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130</v>
      </c>
      <c r="D206" s="252">
        <f t="shared" si="28"/>
        <v>154</v>
      </c>
      <c r="E206" s="252">
        <f t="shared" si="29"/>
        <v>24</v>
      </c>
      <c r="F206" s="251">
        <f t="shared" si="30"/>
        <v>0.18461538461538463</v>
      </c>
    </row>
    <row r="207" spans="1:9" ht="20.25" customHeight="1" x14ac:dyDescent="0.3">
      <c r="A207" s="249"/>
      <c r="B207" s="242" t="s">
        <v>469</v>
      </c>
      <c r="C207" s="243">
        <f>+C198+C200</f>
        <v>6747032</v>
      </c>
      <c r="D207" s="243">
        <f>+D198+D200</f>
        <v>9639760</v>
      </c>
      <c r="E207" s="243">
        <f t="shared" si="29"/>
        <v>2892728</v>
      </c>
      <c r="F207" s="251">
        <f t="shared" si="30"/>
        <v>0.42874081522067775</v>
      </c>
    </row>
    <row r="208" spans="1:9" ht="20.25" customHeight="1" x14ac:dyDescent="0.3">
      <c r="A208" s="249"/>
      <c r="B208" s="242" t="s">
        <v>470</v>
      </c>
      <c r="C208" s="243">
        <f>+C199+C201</f>
        <v>2450661</v>
      </c>
      <c r="D208" s="243">
        <f>+D199+D201</f>
        <v>3872900</v>
      </c>
      <c r="E208" s="243">
        <f t="shared" si="29"/>
        <v>1422239</v>
      </c>
      <c r="F208" s="251">
        <f t="shared" si="30"/>
        <v>0.58034913845693059</v>
      </c>
    </row>
  </sheetData>
  <mergeCells count="12"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  <mergeCell ref="G195:I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FILING&amp;RWINDHAM COMMUNITY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>
      <selection activeCell="A3" sqref="A3:F3"/>
    </sheetView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90" t="s">
        <v>0</v>
      </c>
      <c r="B2" s="690"/>
      <c r="C2" s="690"/>
      <c r="D2" s="690"/>
      <c r="E2" s="690"/>
      <c r="F2" s="690"/>
    </row>
    <row r="3" spans="1:7" ht="20.25" customHeight="1" x14ac:dyDescent="0.3">
      <c r="A3" s="690" t="s">
        <v>1</v>
      </c>
      <c r="B3" s="690"/>
      <c r="C3" s="690"/>
      <c r="D3" s="690"/>
      <c r="E3" s="690"/>
      <c r="F3" s="690"/>
    </row>
    <row r="4" spans="1:7" ht="20.25" customHeight="1" x14ac:dyDescent="0.3">
      <c r="A4" s="690" t="s">
        <v>2</v>
      </c>
      <c r="B4" s="690"/>
      <c r="C4" s="690"/>
      <c r="D4" s="690"/>
      <c r="E4" s="690"/>
      <c r="F4" s="690"/>
    </row>
    <row r="5" spans="1:7" ht="20.25" customHeight="1" x14ac:dyDescent="0.3">
      <c r="A5" s="690" t="s">
        <v>471</v>
      </c>
      <c r="B5" s="690"/>
      <c r="C5" s="690"/>
      <c r="D5" s="690"/>
      <c r="E5" s="690"/>
      <c r="F5" s="690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2" t="s">
        <v>12</v>
      </c>
      <c r="B10" s="684" t="s">
        <v>115</v>
      </c>
      <c r="C10" s="686"/>
      <c r="D10" s="687"/>
      <c r="E10" s="687"/>
      <c r="F10" s="688"/>
    </row>
    <row r="11" spans="1:7" ht="20.25" customHeight="1" x14ac:dyDescent="0.3">
      <c r="A11" s="683"/>
      <c r="B11" s="685"/>
      <c r="C11" s="679"/>
      <c r="D11" s="680"/>
      <c r="E11" s="680"/>
      <c r="F11" s="681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640297</v>
      </c>
      <c r="D14" s="237">
        <v>0</v>
      </c>
      <c r="E14" s="237">
        <f t="shared" ref="E14:E24" si="0">D14-C14</f>
        <v>-640297</v>
      </c>
      <c r="F14" s="238">
        <f t="shared" ref="F14:F24" si="1">IF(C14=0,0,E14/C14)</f>
        <v>-1</v>
      </c>
    </row>
    <row r="15" spans="1:7" ht="20.25" customHeight="1" x14ac:dyDescent="0.3">
      <c r="A15" s="235">
        <v>2</v>
      </c>
      <c r="B15" s="236" t="s">
        <v>435</v>
      </c>
      <c r="C15" s="237">
        <v>336188</v>
      </c>
      <c r="D15" s="237">
        <v>0</v>
      </c>
      <c r="E15" s="237">
        <f t="shared" si="0"/>
        <v>-336188</v>
      </c>
      <c r="F15" s="238">
        <f t="shared" si="1"/>
        <v>-1</v>
      </c>
    </row>
    <row r="16" spans="1:7" ht="20.25" customHeight="1" x14ac:dyDescent="0.3">
      <c r="A16" s="235">
        <v>3</v>
      </c>
      <c r="B16" s="236" t="s">
        <v>436</v>
      </c>
      <c r="C16" s="237">
        <v>1802280</v>
      </c>
      <c r="D16" s="237">
        <v>1203</v>
      </c>
      <c r="E16" s="237">
        <f t="shared" si="0"/>
        <v>-1801077</v>
      </c>
      <c r="F16" s="238">
        <f t="shared" si="1"/>
        <v>-0.99933251215127505</v>
      </c>
    </row>
    <row r="17" spans="1:6" ht="20.25" customHeight="1" x14ac:dyDescent="0.3">
      <c r="A17" s="235">
        <v>4</v>
      </c>
      <c r="B17" s="236" t="s">
        <v>437</v>
      </c>
      <c r="C17" s="237">
        <v>543897</v>
      </c>
      <c r="D17" s="237">
        <v>0</v>
      </c>
      <c r="E17" s="237">
        <f t="shared" si="0"/>
        <v>-543897</v>
      </c>
      <c r="F17" s="238">
        <f t="shared" si="1"/>
        <v>-1</v>
      </c>
    </row>
    <row r="18" spans="1:6" ht="20.25" customHeight="1" x14ac:dyDescent="0.3">
      <c r="A18" s="235">
        <v>5</v>
      </c>
      <c r="B18" s="236" t="s">
        <v>373</v>
      </c>
      <c r="C18" s="239">
        <v>98</v>
      </c>
      <c r="D18" s="239">
        <v>0</v>
      </c>
      <c r="E18" s="239">
        <f t="shared" si="0"/>
        <v>-98</v>
      </c>
      <c r="F18" s="238">
        <f t="shared" si="1"/>
        <v>-1</v>
      </c>
    </row>
    <row r="19" spans="1:6" ht="20.25" customHeight="1" x14ac:dyDescent="0.3">
      <c r="A19" s="235">
        <v>6</v>
      </c>
      <c r="B19" s="236" t="s">
        <v>372</v>
      </c>
      <c r="C19" s="239">
        <v>249</v>
      </c>
      <c r="D19" s="239">
        <v>0</v>
      </c>
      <c r="E19" s="239">
        <f t="shared" si="0"/>
        <v>-249</v>
      </c>
      <c r="F19" s="238">
        <f t="shared" si="1"/>
        <v>-1</v>
      </c>
    </row>
    <row r="20" spans="1:6" ht="20.25" customHeight="1" x14ac:dyDescent="0.3">
      <c r="A20" s="235">
        <v>7</v>
      </c>
      <c r="B20" s="236" t="s">
        <v>438</v>
      </c>
      <c r="C20" s="239">
        <v>1380</v>
      </c>
      <c r="D20" s="239">
        <v>0</v>
      </c>
      <c r="E20" s="239">
        <f t="shared" si="0"/>
        <v>-1380</v>
      </c>
      <c r="F20" s="238">
        <f t="shared" si="1"/>
        <v>-1</v>
      </c>
    </row>
    <row r="21" spans="1:6" ht="20.25" customHeight="1" x14ac:dyDescent="0.3">
      <c r="A21" s="235">
        <v>8</v>
      </c>
      <c r="B21" s="236" t="s">
        <v>439</v>
      </c>
      <c r="C21" s="239">
        <v>856</v>
      </c>
      <c r="D21" s="239">
        <v>1</v>
      </c>
      <c r="E21" s="239">
        <f t="shared" si="0"/>
        <v>-855</v>
      </c>
      <c r="F21" s="238">
        <f t="shared" si="1"/>
        <v>-0.99883177570093462</v>
      </c>
    </row>
    <row r="22" spans="1:6" ht="20.25" customHeight="1" x14ac:dyDescent="0.3">
      <c r="A22" s="235">
        <v>9</v>
      </c>
      <c r="B22" s="236" t="s">
        <v>440</v>
      </c>
      <c r="C22" s="239">
        <v>56</v>
      </c>
      <c r="D22" s="239">
        <v>0</v>
      </c>
      <c r="E22" s="239">
        <f t="shared" si="0"/>
        <v>-56</v>
      </c>
      <c r="F22" s="238">
        <f t="shared" si="1"/>
        <v>-1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2442577</v>
      </c>
      <c r="D23" s="243">
        <f>+D14+D16</f>
        <v>1203</v>
      </c>
      <c r="E23" s="243">
        <f t="shared" si="0"/>
        <v>-2441374</v>
      </c>
      <c r="F23" s="244">
        <f t="shared" si="1"/>
        <v>-0.99950748737910822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880085</v>
      </c>
      <c r="D24" s="243">
        <f>+D15+D17</f>
        <v>0</v>
      </c>
      <c r="E24" s="243">
        <f t="shared" si="0"/>
        <v>-880085</v>
      </c>
      <c r="F24" s="244">
        <f t="shared" si="1"/>
        <v>-1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1894746</v>
      </c>
      <c r="D26" s="237">
        <v>2824552</v>
      </c>
      <c r="E26" s="237">
        <f t="shared" ref="E26:E36" si="2">D26-C26</f>
        <v>929806</v>
      </c>
      <c r="F26" s="238">
        <f t="shared" ref="F26:F36" si="3">IF(C26=0,0,E26/C26)</f>
        <v>0.49072857258967695</v>
      </c>
    </row>
    <row r="27" spans="1:6" ht="20.25" customHeight="1" x14ac:dyDescent="0.3">
      <c r="A27" s="235">
        <v>2</v>
      </c>
      <c r="B27" s="236" t="s">
        <v>435</v>
      </c>
      <c r="C27" s="237">
        <v>961674</v>
      </c>
      <c r="D27" s="237">
        <v>1472503</v>
      </c>
      <c r="E27" s="237">
        <f t="shared" si="2"/>
        <v>510829</v>
      </c>
      <c r="F27" s="238">
        <f t="shared" si="3"/>
        <v>0.53118728384046987</v>
      </c>
    </row>
    <row r="28" spans="1:6" ht="20.25" customHeight="1" x14ac:dyDescent="0.3">
      <c r="A28" s="235">
        <v>3</v>
      </c>
      <c r="B28" s="236" t="s">
        <v>436</v>
      </c>
      <c r="C28" s="237">
        <v>7286923</v>
      </c>
      <c r="D28" s="237">
        <v>9145109</v>
      </c>
      <c r="E28" s="237">
        <f t="shared" si="2"/>
        <v>1858186</v>
      </c>
      <c r="F28" s="238">
        <f t="shared" si="3"/>
        <v>0.25500283178510325</v>
      </c>
    </row>
    <row r="29" spans="1:6" ht="20.25" customHeight="1" x14ac:dyDescent="0.3">
      <c r="A29" s="235">
        <v>4</v>
      </c>
      <c r="B29" s="236" t="s">
        <v>437</v>
      </c>
      <c r="C29" s="237">
        <v>2212226</v>
      </c>
      <c r="D29" s="237">
        <v>2833589</v>
      </c>
      <c r="E29" s="237">
        <f t="shared" si="2"/>
        <v>621363</v>
      </c>
      <c r="F29" s="238">
        <f t="shared" si="3"/>
        <v>0.28087681819126981</v>
      </c>
    </row>
    <row r="30" spans="1:6" ht="20.25" customHeight="1" x14ac:dyDescent="0.3">
      <c r="A30" s="235">
        <v>5</v>
      </c>
      <c r="B30" s="236" t="s">
        <v>373</v>
      </c>
      <c r="C30" s="239">
        <v>302</v>
      </c>
      <c r="D30" s="239">
        <v>402</v>
      </c>
      <c r="E30" s="239">
        <f t="shared" si="2"/>
        <v>100</v>
      </c>
      <c r="F30" s="238">
        <f t="shared" si="3"/>
        <v>0.33112582781456956</v>
      </c>
    </row>
    <row r="31" spans="1:6" ht="20.25" customHeight="1" x14ac:dyDescent="0.3">
      <c r="A31" s="235">
        <v>6</v>
      </c>
      <c r="B31" s="236" t="s">
        <v>372</v>
      </c>
      <c r="C31" s="239">
        <v>669</v>
      </c>
      <c r="D31" s="239">
        <v>1000</v>
      </c>
      <c r="E31" s="239">
        <f t="shared" si="2"/>
        <v>331</v>
      </c>
      <c r="F31" s="238">
        <f t="shared" si="3"/>
        <v>0.49476831091180867</v>
      </c>
    </row>
    <row r="32" spans="1:6" ht="20.25" customHeight="1" x14ac:dyDescent="0.3">
      <c r="A32" s="235">
        <v>7</v>
      </c>
      <c r="B32" s="236" t="s">
        <v>438</v>
      </c>
      <c r="C32" s="239">
        <v>6069</v>
      </c>
      <c r="D32" s="239">
        <v>7595</v>
      </c>
      <c r="E32" s="239">
        <f t="shared" si="2"/>
        <v>1526</v>
      </c>
      <c r="F32" s="238">
        <f t="shared" si="3"/>
        <v>0.25144175317185696</v>
      </c>
    </row>
    <row r="33" spans="1:6" ht="20.25" customHeight="1" x14ac:dyDescent="0.3">
      <c r="A33" s="235">
        <v>8</v>
      </c>
      <c r="B33" s="236" t="s">
        <v>439</v>
      </c>
      <c r="C33" s="239">
        <v>3588</v>
      </c>
      <c r="D33" s="239">
        <v>4902</v>
      </c>
      <c r="E33" s="239">
        <f t="shared" si="2"/>
        <v>1314</v>
      </c>
      <c r="F33" s="238">
        <f t="shared" si="3"/>
        <v>0.36622073578595316</v>
      </c>
    </row>
    <row r="34" spans="1:6" ht="20.25" customHeight="1" x14ac:dyDescent="0.3">
      <c r="A34" s="235">
        <v>9</v>
      </c>
      <c r="B34" s="236" t="s">
        <v>440</v>
      </c>
      <c r="C34" s="239">
        <v>220</v>
      </c>
      <c r="D34" s="239">
        <v>113</v>
      </c>
      <c r="E34" s="239">
        <f t="shared" si="2"/>
        <v>-107</v>
      </c>
      <c r="F34" s="238">
        <f t="shared" si="3"/>
        <v>-0.48636363636363639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9181669</v>
      </c>
      <c r="D35" s="243">
        <f>+D26+D28</f>
        <v>11969661</v>
      </c>
      <c r="E35" s="243">
        <f t="shared" si="2"/>
        <v>2787992</v>
      </c>
      <c r="F35" s="244">
        <f t="shared" si="3"/>
        <v>0.30364762659163602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3173900</v>
      </c>
      <c r="D36" s="243">
        <f>+D27+D29</f>
        <v>4306092</v>
      </c>
      <c r="E36" s="243">
        <f t="shared" si="2"/>
        <v>1132192</v>
      </c>
      <c r="F36" s="244">
        <f t="shared" si="3"/>
        <v>0.35671949336778097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443</v>
      </c>
      <c r="E40" s="237">
        <f t="shared" si="4"/>
        <v>443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69</v>
      </c>
      <c r="E41" s="237">
        <f t="shared" si="4"/>
        <v>69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2</v>
      </c>
      <c r="E44" s="239">
        <f t="shared" si="4"/>
        <v>2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443</v>
      </c>
      <c r="E47" s="243">
        <f t="shared" si="4"/>
        <v>443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69</v>
      </c>
      <c r="E48" s="243">
        <f t="shared" si="4"/>
        <v>69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0</v>
      </c>
      <c r="D50" s="237">
        <v>0</v>
      </c>
      <c r="E50" s="237">
        <f t="shared" ref="E50:E60" si="6">D50-C50</f>
        <v>0</v>
      </c>
      <c r="F50" s="238">
        <f t="shared" ref="F50:F60" si="7">IF(C50=0,0,E50/C50)</f>
        <v>0</v>
      </c>
    </row>
    <row r="51" spans="1:6" ht="20.25" customHeight="1" x14ac:dyDescent="0.3">
      <c r="A51" s="235">
        <v>2</v>
      </c>
      <c r="B51" s="236" t="s">
        <v>435</v>
      </c>
      <c r="C51" s="237">
        <v>0</v>
      </c>
      <c r="D51" s="237">
        <v>0</v>
      </c>
      <c r="E51" s="237">
        <f t="shared" si="6"/>
        <v>0</v>
      </c>
      <c r="F51" s="238">
        <f t="shared" si="7"/>
        <v>0</v>
      </c>
    </row>
    <row r="52" spans="1:6" ht="20.25" customHeight="1" x14ac:dyDescent="0.3">
      <c r="A52" s="235">
        <v>3</v>
      </c>
      <c r="B52" s="236" t="s">
        <v>436</v>
      </c>
      <c r="C52" s="237">
        <v>0</v>
      </c>
      <c r="D52" s="237">
        <v>0</v>
      </c>
      <c r="E52" s="237">
        <f t="shared" si="6"/>
        <v>0</v>
      </c>
      <c r="F52" s="238">
        <f t="shared" si="7"/>
        <v>0</v>
      </c>
    </row>
    <row r="53" spans="1:6" ht="20.25" customHeight="1" x14ac:dyDescent="0.3">
      <c r="A53" s="235">
        <v>4</v>
      </c>
      <c r="B53" s="236" t="s">
        <v>437</v>
      </c>
      <c r="C53" s="237">
        <v>0</v>
      </c>
      <c r="D53" s="237">
        <v>0</v>
      </c>
      <c r="E53" s="237">
        <f t="shared" si="6"/>
        <v>0</v>
      </c>
      <c r="F53" s="238">
        <f t="shared" si="7"/>
        <v>0</v>
      </c>
    </row>
    <row r="54" spans="1:6" ht="20.25" customHeight="1" x14ac:dyDescent="0.3">
      <c r="A54" s="235">
        <v>5</v>
      </c>
      <c r="B54" s="236" t="s">
        <v>373</v>
      </c>
      <c r="C54" s="239">
        <v>0</v>
      </c>
      <c r="D54" s="239">
        <v>0</v>
      </c>
      <c r="E54" s="239">
        <f t="shared" si="6"/>
        <v>0</v>
      </c>
      <c r="F54" s="238">
        <f t="shared" si="7"/>
        <v>0</v>
      </c>
    </row>
    <row r="55" spans="1:6" ht="20.25" customHeight="1" x14ac:dyDescent="0.3">
      <c r="A55" s="235">
        <v>6</v>
      </c>
      <c r="B55" s="236" t="s">
        <v>372</v>
      </c>
      <c r="C55" s="239">
        <v>0</v>
      </c>
      <c r="D55" s="239">
        <v>0</v>
      </c>
      <c r="E55" s="239">
        <f t="shared" si="6"/>
        <v>0</v>
      </c>
      <c r="F55" s="238">
        <f t="shared" si="7"/>
        <v>0</v>
      </c>
    </row>
    <row r="56" spans="1:6" ht="20.25" customHeight="1" x14ac:dyDescent="0.3">
      <c r="A56" s="235">
        <v>7</v>
      </c>
      <c r="B56" s="236" t="s">
        <v>438</v>
      </c>
      <c r="C56" s="239">
        <v>0</v>
      </c>
      <c r="D56" s="239">
        <v>0</v>
      </c>
      <c r="E56" s="239">
        <f t="shared" si="6"/>
        <v>0</v>
      </c>
      <c r="F56" s="238">
        <f t="shared" si="7"/>
        <v>0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0</v>
      </c>
      <c r="E57" s="239">
        <f t="shared" si="6"/>
        <v>0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0</v>
      </c>
      <c r="D58" s="239">
        <v>0</v>
      </c>
      <c r="E58" s="239">
        <f t="shared" si="6"/>
        <v>0</v>
      </c>
      <c r="F58" s="238">
        <f t="shared" si="7"/>
        <v>0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0</v>
      </c>
      <c r="D59" s="243">
        <f>+D50+D52</f>
        <v>0</v>
      </c>
      <c r="E59" s="243">
        <f t="shared" si="6"/>
        <v>0</v>
      </c>
      <c r="F59" s="244">
        <f t="shared" si="7"/>
        <v>0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0</v>
      </c>
      <c r="D60" s="243">
        <f>+D51+D53</f>
        <v>0</v>
      </c>
      <c r="E60" s="243">
        <f t="shared" si="6"/>
        <v>0</v>
      </c>
      <c r="F60" s="244">
        <f t="shared" si="7"/>
        <v>0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314972</v>
      </c>
      <c r="D86" s="237">
        <v>744455</v>
      </c>
      <c r="E86" s="237">
        <f t="shared" ref="E86:E96" si="12">D86-C86</f>
        <v>429483</v>
      </c>
      <c r="F86" s="238">
        <f t="shared" ref="F86:F96" si="13">IF(C86=0,0,E86/C86)</f>
        <v>1.3635593005092517</v>
      </c>
    </row>
    <row r="87" spans="1:6" ht="20.25" customHeight="1" x14ac:dyDescent="0.3">
      <c r="A87" s="235">
        <v>2</v>
      </c>
      <c r="B87" s="236" t="s">
        <v>435</v>
      </c>
      <c r="C87" s="237">
        <v>177416</v>
      </c>
      <c r="D87" s="237">
        <v>384941</v>
      </c>
      <c r="E87" s="237">
        <f t="shared" si="12"/>
        <v>207525</v>
      </c>
      <c r="F87" s="238">
        <f t="shared" si="13"/>
        <v>1.1697084817603824</v>
      </c>
    </row>
    <row r="88" spans="1:6" ht="20.25" customHeight="1" x14ac:dyDescent="0.3">
      <c r="A88" s="235">
        <v>3</v>
      </c>
      <c r="B88" s="236" t="s">
        <v>436</v>
      </c>
      <c r="C88" s="237">
        <v>942995</v>
      </c>
      <c r="D88" s="237">
        <v>1545435</v>
      </c>
      <c r="E88" s="237">
        <f t="shared" si="12"/>
        <v>602440</v>
      </c>
      <c r="F88" s="238">
        <f t="shared" si="13"/>
        <v>0.63885810635263174</v>
      </c>
    </row>
    <row r="89" spans="1:6" ht="20.25" customHeight="1" x14ac:dyDescent="0.3">
      <c r="A89" s="235">
        <v>4</v>
      </c>
      <c r="B89" s="236" t="s">
        <v>437</v>
      </c>
      <c r="C89" s="237">
        <v>276409</v>
      </c>
      <c r="D89" s="237">
        <v>452294</v>
      </c>
      <c r="E89" s="237">
        <f t="shared" si="12"/>
        <v>175885</v>
      </c>
      <c r="F89" s="238">
        <f t="shared" si="13"/>
        <v>0.63632153801070157</v>
      </c>
    </row>
    <row r="90" spans="1:6" ht="20.25" customHeight="1" x14ac:dyDescent="0.3">
      <c r="A90" s="235">
        <v>5</v>
      </c>
      <c r="B90" s="236" t="s">
        <v>373</v>
      </c>
      <c r="C90" s="239">
        <v>51</v>
      </c>
      <c r="D90" s="239">
        <v>110</v>
      </c>
      <c r="E90" s="239">
        <f t="shared" si="12"/>
        <v>59</v>
      </c>
      <c r="F90" s="238">
        <f t="shared" si="13"/>
        <v>1.1568627450980393</v>
      </c>
    </row>
    <row r="91" spans="1:6" ht="20.25" customHeight="1" x14ac:dyDescent="0.3">
      <c r="A91" s="235">
        <v>6</v>
      </c>
      <c r="B91" s="236" t="s">
        <v>372</v>
      </c>
      <c r="C91" s="239">
        <v>136</v>
      </c>
      <c r="D91" s="239">
        <v>264</v>
      </c>
      <c r="E91" s="239">
        <f t="shared" si="12"/>
        <v>128</v>
      </c>
      <c r="F91" s="238">
        <f t="shared" si="13"/>
        <v>0.94117647058823528</v>
      </c>
    </row>
    <row r="92" spans="1:6" ht="20.25" customHeight="1" x14ac:dyDescent="0.3">
      <c r="A92" s="235">
        <v>7</v>
      </c>
      <c r="B92" s="236" t="s">
        <v>438</v>
      </c>
      <c r="C92" s="239">
        <v>769</v>
      </c>
      <c r="D92" s="239">
        <v>1298</v>
      </c>
      <c r="E92" s="239">
        <f t="shared" si="12"/>
        <v>529</v>
      </c>
      <c r="F92" s="238">
        <f t="shared" si="13"/>
        <v>0.68790637191157344</v>
      </c>
    </row>
    <row r="93" spans="1:6" ht="20.25" customHeight="1" x14ac:dyDescent="0.3">
      <c r="A93" s="235">
        <v>8</v>
      </c>
      <c r="B93" s="236" t="s">
        <v>439</v>
      </c>
      <c r="C93" s="239">
        <v>552</v>
      </c>
      <c r="D93" s="239">
        <v>1050</v>
      </c>
      <c r="E93" s="239">
        <f t="shared" si="12"/>
        <v>498</v>
      </c>
      <c r="F93" s="238">
        <f t="shared" si="13"/>
        <v>0.90217391304347827</v>
      </c>
    </row>
    <row r="94" spans="1:6" ht="20.25" customHeight="1" x14ac:dyDescent="0.3">
      <c r="A94" s="235">
        <v>9</v>
      </c>
      <c r="B94" s="236" t="s">
        <v>440</v>
      </c>
      <c r="C94" s="239">
        <v>30</v>
      </c>
      <c r="D94" s="239">
        <v>18</v>
      </c>
      <c r="E94" s="239">
        <f t="shared" si="12"/>
        <v>-12</v>
      </c>
      <c r="F94" s="238">
        <f t="shared" si="13"/>
        <v>-0.4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1257967</v>
      </c>
      <c r="D95" s="243">
        <f>+D86+D88</f>
        <v>2289890</v>
      </c>
      <c r="E95" s="243">
        <f t="shared" si="12"/>
        <v>1031923</v>
      </c>
      <c r="F95" s="244">
        <f t="shared" si="13"/>
        <v>0.82031007172684178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453825</v>
      </c>
      <c r="D96" s="243">
        <f>+D87+D89</f>
        <v>837235</v>
      </c>
      <c r="E96" s="243">
        <f t="shared" si="12"/>
        <v>383410</v>
      </c>
      <c r="F96" s="244">
        <f t="shared" si="13"/>
        <v>0.84484107310086487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577238</v>
      </c>
      <c r="D98" s="237">
        <v>1049845</v>
      </c>
      <c r="E98" s="237">
        <f t="shared" ref="E98:E108" si="14">D98-C98</f>
        <v>472607</v>
      </c>
      <c r="F98" s="238">
        <f t="shared" ref="F98:F108" si="15">IF(C98=0,0,E98/C98)</f>
        <v>0.81873854458646178</v>
      </c>
    </row>
    <row r="99" spans="1:7" ht="20.25" customHeight="1" x14ac:dyDescent="0.3">
      <c r="A99" s="235">
        <v>2</v>
      </c>
      <c r="B99" s="236" t="s">
        <v>435</v>
      </c>
      <c r="C99" s="237">
        <v>308369</v>
      </c>
      <c r="D99" s="237">
        <v>494475</v>
      </c>
      <c r="E99" s="237">
        <f t="shared" si="14"/>
        <v>186106</v>
      </c>
      <c r="F99" s="238">
        <f t="shared" si="15"/>
        <v>0.60351721476542708</v>
      </c>
    </row>
    <row r="100" spans="1:7" ht="20.25" customHeight="1" x14ac:dyDescent="0.3">
      <c r="A100" s="235">
        <v>3</v>
      </c>
      <c r="B100" s="236" t="s">
        <v>436</v>
      </c>
      <c r="C100" s="237">
        <v>1580681</v>
      </c>
      <c r="D100" s="237">
        <v>2169479</v>
      </c>
      <c r="E100" s="237">
        <f t="shared" si="14"/>
        <v>588798</v>
      </c>
      <c r="F100" s="238">
        <f t="shared" si="15"/>
        <v>0.37249641135687722</v>
      </c>
    </row>
    <row r="101" spans="1:7" ht="20.25" customHeight="1" x14ac:dyDescent="0.3">
      <c r="A101" s="235">
        <v>4</v>
      </c>
      <c r="B101" s="236" t="s">
        <v>437</v>
      </c>
      <c r="C101" s="237">
        <v>538146</v>
      </c>
      <c r="D101" s="237">
        <v>584069</v>
      </c>
      <c r="E101" s="237">
        <f t="shared" si="14"/>
        <v>45923</v>
      </c>
      <c r="F101" s="238">
        <f t="shared" si="15"/>
        <v>8.5335578077324739E-2</v>
      </c>
    </row>
    <row r="102" spans="1:7" ht="20.25" customHeight="1" x14ac:dyDescent="0.3">
      <c r="A102" s="235">
        <v>5</v>
      </c>
      <c r="B102" s="236" t="s">
        <v>373</v>
      </c>
      <c r="C102" s="239">
        <v>90</v>
      </c>
      <c r="D102" s="239">
        <v>121</v>
      </c>
      <c r="E102" s="239">
        <f t="shared" si="14"/>
        <v>31</v>
      </c>
      <c r="F102" s="238">
        <f t="shared" si="15"/>
        <v>0.34444444444444444</v>
      </c>
    </row>
    <row r="103" spans="1:7" ht="20.25" customHeight="1" x14ac:dyDescent="0.3">
      <c r="A103" s="235">
        <v>6</v>
      </c>
      <c r="B103" s="236" t="s">
        <v>372</v>
      </c>
      <c r="C103" s="239">
        <v>228</v>
      </c>
      <c r="D103" s="239">
        <v>362</v>
      </c>
      <c r="E103" s="239">
        <f t="shared" si="14"/>
        <v>134</v>
      </c>
      <c r="F103" s="238">
        <f t="shared" si="15"/>
        <v>0.58771929824561409</v>
      </c>
    </row>
    <row r="104" spans="1:7" ht="20.25" customHeight="1" x14ac:dyDescent="0.3">
      <c r="A104" s="235">
        <v>7</v>
      </c>
      <c r="B104" s="236" t="s">
        <v>438</v>
      </c>
      <c r="C104" s="239">
        <v>1059</v>
      </c>
      <c r="D104" s="239">
        <v>1593</v>
      </c>
      <c r="E104" s="239">
        <f t="shared" si="14"/>
        <v>534</v>
      </c>
      <c r="F104" s="238">
        <f t="shared" si="15"/>
        <v>0.50424929178470257</v>
      </c>
    </row>
    <row r="105" spans="1:7" ht="20.25" customHeight="1" x14ac:dyDescent="0.3">
      <c r="A105" s="235">
        <v>8</v>
      </c>
      <c r="B105" s="236" t="s">
        <v>439</v>
      </c>
      <c r="C105" s="239">
        <v>815</v>
      </c>
      <c r="D105" s="239">
        <v>1232</v>
      </c>
      <c r="E105" s="239">
        <f t="shared" si="14"/>
        <v>417</v>
      </c>
      <c r="F105" s="238">
        <f t="shared" si="15"/>
        <v>0.51165644171779145</v>
      </c>
    </row>
    <row r="106" spans="1:7" ht="20.25" customHeight="1" x14ac:dyDescent="0.3">
      <c r="A106" s="235">
        <v>9</v>
      </c>
      <c r="B106" s="236" t="s">
        <v>440</v>
      </c>
      <c r="C106" s="239">
        <v>57</v>
      </c>
      <c r="D106" s="239">
        <v>30</v>
      </c>
      <c r="E106" s="239">
        <f t="shared" si="14"/>
        <v>-27</v>
      </c>
      <c r="F106" s="238">
        <f t="shared" si="15"/>
        <v>-0.47368421052631576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2157919</v>
      </c>
      <c r="D107" s="243">
        <f>+D98+D100</f>
        <v>3219324</v>
      </c>
      <c r="E107" s="243">
        <f t="shared" si="14"/>
        <v>1061405</v>
      </c>
      <c r="F107" s="244">
        <f t="shared" si="15"/>
        <v>0.49186507927313305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846515</v>
      </c>
      <c r="D108" s="243">
        <f>+D99+D101</f>
        <v>1078544</v>
      </c>
      <c r="E108" s="243">
        <f t="shared" si="14"/>
        <v>232029</v>
      </c>
      <c r="F108" s="244">
        <f t="shared" si="15"/>
        <v>0.2740991004294076</v>
      </c>
    </row>
    <row r="109" spans="1:7" s="240" customFormat="1" ht="20.25" customHeight="1" x14ac:dyDescent="0.3">
      <c r="A109" s="682" t="s">
        <v>44</v>
      </c>
      <c r="B109" s="684" t="s">
        <v>478</v>
      </c>
      <c r="C109" s="686"/>
      <c r="D109" s="687"/>
      <c r="E109" s="687"/>
      <c r="F109" s="688"/>
      <c r="G109" s="212"/>
    </row>
    <row r="110" spans="1:7" ht="20.25" customHeight="1" x14ac:dyDescent="0.3">
      <c r="A110" s="683"/>
      <c r="B110" s="685"/>
      <c r="C110" s="679"/>
      <c r="D110" s="680"/>
      <c r="E110" s="680"/>
      <c r="F110" s="681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3427253</v>
      </c>
      <c r="D112" s="243">
        <f t="shared" si="16"/>
        <v>4618852</v>
      </c>
      <c r="E112" s="243">
        <f t="shared" ref="E112:E122" si="17">D112-C112</f>
        <v>1191599</v>
      </c>
      <c r="F112" s="244">
        <f t="shared" ref="F112:F122" si="18">IF(C112=0,0,E112/C112)</f>
        <v>0.34768340709016815</v>
      </c>
    </row>
    <row r="113" spans="1:6" ht="20.25" customHeight="1" x14ac:dyDescent="0.3">
      <c r="A113" s="249"/>
      <c r="B113" s="250" t="s">
        <v>461</v>
      </c>
      <c r="C113" s="243">
        <f t="shared" si="16"/>
        <v>1783647</v>
      </c>
      <c r="D113" s="243">
        <f t="shared" si="16"/>
        <v>2351919</v>
      </c>
      <c r="E113" s="243">
        <f t="shared" si="17"/>
        <v>568272</v>
      </c>
      <c r="F113" s="244">
        <f t="shared" si="18"/>
        <v>0.31860115818881202</v>
      </c>
    </row>
    <row r="114" spans="1:6" ht="20.25" customHeight="1" x14ac:dyDescent="0.3">
      <c r="A114" s="249"/>
      <c r="B114" s="250" t="s">
        <v>462</v>
      </c>
      <c r="C114" s="243">
        <f t="shared" si="16"/>
        <v>11612879</v>
      </c>
      <c r="D114" s="243">
        <f t="shared" si="16"/>
        <v>12861669</v>
      </c>
      <c r="E114" s="243">
        <f t="shared" si="17"/>
        <v>1248790</v>
      </c>
      <c r="F114" s="244">
        <f t="shared" si="18"/>
        <v>0.10753491877423334</v>
      </c>
    </row>
    <row r="115" spans="1:6" ht="20.25" customHeight="1" x14ac:dyDescent="0.3">
      <c r="A115" s="249"/>
      <c r="B115" s="250" t="s">
        <v>463</v>
      </c>
      <c r="C115" s="243">
        <f t="shared" si="16"/>
        <v>3570678</v>
      </c>
      <c r="D115" s="243">
        <f t="shared" si="16"/>
        <v>3870021</v>
      </c>
      <c r="E115" s="243">
        <f t="shared" si="17"/>
        <v>299343</v>
      </c>
      <c r="F115" s="244">
        <f t="shared" si="18"/>
        <v>8.3833658481666504E-2</v>
      </c>
    </row>
    <row r="116" spans="1:6" ht="20.25" customHeight="1" x14ac:dyDescent="0.3">
      <c r="A116" s="249"/>
      <c r="B116" s="250" t="s">
        <v>464</v>
      </c>
      <c r="C116" s="252">
        <f t="shared" si="16"/>
        <v>541</v>
      </c>
      <c r="D116" s="252">
        <f t="shared" si="16"/>
        <v>633</v>
      </c>
      <c r="E116" s="252">
        <f t="shared" si="17"/>
        <v>92</v>
      </c>
      <c r="F116" s="244">
        <f t="shared" si="18"/>
        <v>0.17005545286506468</v>
      </c>
    </row>
    <row r="117" spans="1:6" ht="20.25" customHeight="1" x14ac:dyDescent="0.3">
      <c r="A117" s="249"/>
      <c r="B117" s="250" t="s">
        <v>465</v>
      </c>
      <c r="C117" s="252">
        <f t="shared" si="16"/>
        <v>1282</v>
      </c>
      <c r="D117" s="252">
        <f t="shared" si="16"/>
        <v>1626</v>
      </c>
      <c r="E117" s="252">
        <f t="shared" si="17"/>
        <v>344</v>
      </c>
      <c r="F117" s="244">
        <f t="shared" si="18"/>
        <v>0.26833073322932915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9277</v>
      </c>
      <c r="D118" s="252">
        <f t="shared" si="16"/>
        <v>10488</v>
      </c>
      <c r="E118" s="252">
        <f t="shared" si="17"/>
        <v>1211</v>
      </c>
      <c r="F118" s="244">
        <f t="shared" si="18"/>
        <v>0.13053788940390212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5811</v>
      </c>
      <c r="D119" s="252">
        <f t="shared" si="16"/>
        <v>7185</v>
      </c>
      <c r="E119" s="252">
        <f t="shared" si="17"/>
        <v>1374</v>
      </c>
      <c r="F119" s="244">
        <f t="shared" si="18"/>
        <v>0.23644811564274651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363</v>
      </c>
      <c r="D120" s="252">
        <f t="shared" si="16"/>
        <v>161</v>
      </c>
      <c r="E120" s="252">
        <f t="shared" si="17"/>
        <v>-202</v>
      </c>
      <c r="F120" s="244">
        <f t="shared" si="18"/>
        <v>-0.55647382920110189</v>
      </c>
    </row>
    <row r="121" spans="1:6" ht="39.950000000000003" customHeight="1" x14ac:dyDescent="0.3">
      <c r="A121" s="249"/>
      <c r="B121" s="242" t="s">
        <v>441</v>
      </c>
      <c r="C121" s="243">
        <f>+C112+C114</f>
        <v>15040132</v>
      </c>
      <c r="D121" s="243">
        <f>+D112+D114</f>
        <v>17480521</v>
      </c>
      <c r="E121" s="243">
        <f t="shared" si="17"/>
        <v>2440389</v>
      </c>
      <c r="F121" s="244">
        <f t="shared" si="18"/>
        <v>0.1622584828377836</v>
      </c>
    </row>
    <row r="122" spans="1:6" ht="39.950000000000003" customHeight="1" x14ac:dyDescent="0.3">
      <c r="A122" s="249"/>
      <c r="B122" s="242" t="s">
        <v>470</v>
      </c>
      <c r="C122" s="243">
        <f>+C113+C115</f>
        <v>5354325</v>
      </c>
      <c r="D122" s="243">
        <f>+D113+D115</f>
        <v>6221940</v>
      </c>
      <c r="E122" s="243">
        <f t="shared" si="17"/>
        <v>867615</v>
      </c>
      <c r="F122" s="244">
        <f t="shared" si="18"/>
        <v>0.16204003305738818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FILING&amp;RWINDHAM COMMUNITY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>
      <selection activeCell="B2" sqref="B2"/>
    </sheetView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479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3357508</v>
      </c>
      <c r="D13" s="23">
        <v>3314081</v>
      </c>
      <c r="E13" s="23">
        <f t="shared" ref="E13:E22" si="0">D13-C13</f>
        <v>-43427</v>
      </c>
      <c r="F13" s="24">
        <f t="shared" ref="F13:F22" si="1">IF(C13=0,0,E13/C13)</f>
        <v>-1.2934295316645559E-2</v>
      </c>
    </row>
    <row r="14" spans="1:8" ht="24" customHeight="1" x14ac:dyDescent="0.2">
      <c r="A14" s="21">
        <v>2</v>
      </c>
      <c r="B14" s="22" t="s">
        <v>17</v>
      </c>
      <c r="C14" s="23">
        <v>0</v>
      </c>
      <c r="D14" s="23">
        <v>0</v>
      </c>
      <c r="E14" s="23">
        <f t="shared" si="0"/>
        <v>0</v>
      </c>
      <c r="F14" s="24">
        <f t="shared" si="1"/>
        <v>0</v>
      </c>
    </row>
    <row r="15" spans="1:8" ht="35.1" customHeight="1" x14ac:dyDescent="0.2">
      <c r="A15" s="21">
        <v>3</v>
      </c>
      <c r="B15" s="22" t="s">
        <v>18</v>
      </c>
      <c r="C15" s="23">
        <v>13116037</v>
      </c>
      <c r="D15" s="23">
        <v>14090656</v>
      </c>
      <c r="E15" s="23">
        <f t="shared" si="0"/>
        <v>974619</v>
      </c>
      <c r="F15" s="24">
        <f t="shared" si="1"/>
        <v>7.4307429904322472E-2</v>
      </c>
    </row>
    <row r="16" spans="1:8" ht="35.1" customHeight="1" x14ac:dyDescent="0.2">
      <c r="A16" s="21">
        <v>4</v>
      </c>
      <c r="B16" s="22" t="s">
        <v>19</v>
      </c>
      <c r="C16" s="23">
        <v>798482</v>
      </c>
      <c r="D16" s="23">
        <v>677311</v>
      </c>
      <c r="E16" s="23">
        <f t="shared" si="0"/>
        <v>-121171</v>
      </c>
      <c r="F16" s="24">
        <f t="shared" si="1"/>
        <v>-0.15175169884856515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105104</v>
      </c>
      <c r="E17" s="23">
        <f t="shared" si="0"/>
        <v>105104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1258523</v>
      </c>
      <c r="D18" s="23">
        <v>1585717</v>
      </c>
      <c r="E18" s="23">
        <f t="shared" si="0"/>
        <v>327194</v>
      </c>
      <c r="F18" s="24">
        <f t="shared" si="1"/>
        <v>0.25998253508279151</v>
      </c>
    </row>
    <row r="19" spans="1:11" ht="24" customHeight="1" x14ac:dyDescent="0.2">
      <c r="A19" s="21">
        <v>7</v>
      </c>
      <c r="B19" s="22" t="s">
        <v>22</v>
      </c>
      <c r="C19" s="23">
        <v>1175255</v>
      </c>
      <c r="D19" s="23">
        <v>1175285</v>
      </c>
      <c r="E19" s="23">
        <f t="shared" si="0"/>
        <v>30</v>
      </c>
      <c r="F19" s="24">
        <f t="shared" si="1"/>
        <v>2.5526375127100077E-5</v>
      </c>
    </row>
    <row r="20" spans="1:11" ht="24" customHeight="1" x14ac:dyDescent="0.2">
      <c r="A20" s="21">
        <v>8</v>
      </c>
      <c r="B20" s="22" t="s">
        <v>23</v>
      </c>
      <c r="C20" s="23">
        <v>671383</v>
      </c>
      <c r="D20" s="23">
        <v>280392</v>
      </c>
      <c r="E20" s="23">
        <f t="shared" si="0"/>
        <v>-390991</v>
      </c>
      <c r="F20" s="24">
        <f t="shared" si="1"/>
        <v>-0.58236654785718434</v>
      </c>
    </row>
    <row r="21" spans="1:11" ht="24" customHeight="1" x14ac:dyDescent="0.2">
      <c r="A21" s="21">
        <v>9</v>
      </c>
      <c r="B21" s="22" t="s">
        <v>24</v>
      </c>
      <c r="C21" s="23">
        <v>3626731</v>
      </c>
      <c r="D21" s="23">
        <v>1524302</v>
      </c>
      <c r="E21" s="23">
        <f t="shared" si="0"/>
        <v>-2102429</v>
      </c>
      <c r="F21" s="24">
        <f t="shared" si="1"/>
        <v>-0.57970359533144311</v>
      </c>
    </row>
    <row r="22" spans="1:11" ht="24" customHeight="1" x14ac:dyDescent="0.25">
      <c r="A22" s="25"/>
      <c r="B22" s="26" t="s">
        <v>25</v>
      </c>
      <c r="C22" s="27">
        <f>SUM(C13:C21)</f>
        <v>24003919</v>
      </c>
      <c r="D22" s="27">
        <f>SUM(D13:D21)</f>
        <v>22752848</v>
      </c>
      <c r="E22" s="27">
        <f t="shared" si="0"/>
        <v>-1251071</v>
      </c>
      <c r="F22" s="28">
        <f t="shared" si="1"/>
        <v>-5.211944766185888E-2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1752149</v>
      </c>
      <c r="D25" s="23">
        <v>2607805</v>
      </c>
      <c r="E25" s="23">
        <f>D25-C25</f>
        <v>855656</v>
      </c>
      <c r="F25" s="24">
        <f>IF(C25=0,0,E25/C25)</f>
        <v>0.48834659609428194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1674179</v>
      </c>
      <c r="D27" s="23">
        <v>1673374</v>
      </c>
      <c r="E27" s="23">
        <f>D27-C27</f>
        <v>-805</v>
      </c>
      <c r="F27" s="24">
        <f>IF(C27=0,0,E27/C27)</f>
        <v>-4.808326947118558E-4</v>
      </c>
    </row>
    <row r="28" spans="1:11" ht="35.1" customHeight="1" x14ac:dyDescent="0.2">
      <c r="A28" s="21">
        <v>4</v>
      </c>
      <c r="B28" s="22" t="s">
        <v>31</v>
      </c>
      <c r="C28" s="23">
        <v>2749514</v>
      </c>
      <c r="D28" s="23">
        <v>1885179</v>
      </c>
      <c r="E28" s="23">
        <f>D28-C28</f>
        <v>-864335</v>
      </c>
      <c r="F28" s="24">
        <f>IF(C28=0,0,E28/C28)</f>
        <v>-0.31435919220633174</v>
      </c>
    </row>
    <row r="29" spans="1:11" ht="35.1" customHeight="1" x14ac:dyDescent="0.25">
      <c r="A29" s="25"/>
      <c r="B29" s="26" t="s">
        <v>32</v>
      </c>
      <c r="C29" s="27">
        <f>SUM(C25:C28)</f>
        <v>6175842</v>
      </c>
      <c r="D29" s="27">
        <f>SUM(D25:D28)</f>
        <v>6166358</v>
      </c>
      <c r="E29" s="27">
        <f>D29-C29</f>
        <v>-9484</v>
      </c>
      <c r="F29" s="28">
        <f>IF(C29=0,0,E29/C29)</f>
        <v>-1.5356610483234514E-3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1268569</v>
      </c>
      <c r="D32" s="23">
        <v>347049</v>
      </c>
      <c r="E32" s="23">
        <f>D32-C32</f>
        <v>-921520</v>
      </c>
      <c r="F32" s="24">
        <f>IF(C32=0,0,E32/C32)</f>
        <v>-0.72642481410155857</v>
      </c>
    </row>
    <row r="33" spans="1:8" ht="24" customHeight="1" x14ac:dyDescent="0.2">
      <c r="A33" s="21">
        <v>7</v>
      </c>
      <c r="B33" s="22" t="s">
        <v>35</v>
      </c>
      <c r="C33" s="23">
        <v>1351116</v>
      </c>
      <c r="D33" s="23">
        <v>2339911</v>
      </c>
      <c r="E33" s="23">
        <f>D33-C33</f>
        <v>988795</v>
      </c>
      <c r="F33" s="24">
        <f>IF(C33=0,0,E33/C33)</f>
        <v>0.73183575651535471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94462346</v>
      </c>
      <c r="D36" s="23">
        <v>98445867</v>
      </c>
      <c r="E36" s="23">
        <f>D36-C36</f>
        <v>3983521</v>
      </c>
      <c r="F36" s="24">
        <f>IF(C36=0,0,E36/C36)</f>
        <v>4.2170464409173151E-2</v>
      </c>
    </row>
    <row r="37" spans="1:8" ht="24" customHeight="1" x14ac:dyDescent="0.2">
      <c r="A37" s="21">
        <v>2</v>
      </c>
      <c r="B37" s="22" t="s">
        <v>39</v>
      </c>
      <c r="C37" s="23">
        <v>57981855</v>
      </c>
      <c r="D37" s="23">
        <v>62488848</v>
      </c>
      <c r="E37" s="23">
        <f>D37-C37</f>
        <v>4506993</v>
      </c>
      <c r="F37" s="23">
        <f>IF(C37=0,0,E37/C37)</f>
        <v>7.7731093632654555E-2</v>
      </c>
    </row>
    <row r="38" spans="1:8" ht="24" customHeight="1" x14ac:dyDescent="0.25">
      <c r="A38" s="25"/>
      <c r="B38" s="26" t="s">
        <v>40</v>
      </c>
      <c r="C38" s="27">
        <f>C36-C37</f>
        <v>36480491</v>
      </c>
      <c r="D38" s="27">
        <f>D36-D37</f>
        <v>35957019</v>
      </c>
      <c r="E38" s="27">
        <f>D38-C38</f>
        <v>-523472</v>
      </c>
      <c r="F38" s="28">
        <f>IF(C38=0,0,E38/C38)</f>
        <v>-1.4349368269193526E-2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428448</v>
      </c>
      <c r="D40" s="23">
        <v>270392</v>
      </c>
      <c r="E40" s="23">
        <f>D40-C40</f>
        <v>-158056</v>
      </c>
      <c r="F40" s="24">
        <f>IF(C40=0,0,E40/C40)</f>
        <v>-0.36890357756367165</v>
      </c>
    </row>
    <row r="41" spans="1:8" ht="24" customHeight="1" x14ac:dyDescent="0.25">
      <c r="A41" s="25"/>
      <c r="B41" s="26" t="s">
        <v>42</v>
      </c>
      <c r="C41" s="27">
        <f>+C38+C40</f>
        <v>36908939</v>
      </c>
      <c r="D41" s="27">
        <f>+D38+D40</f>
        <v>36227411</v>
      </c>
      <c r="E41" s="27">
        <f>D41-C41</f>
        <v>-681528</v>
      </c>
      <c r="F41" s="28">
        <f>IF(C41=0,0,E41/C41)</f>
        <v>-1.8465120333044524E-2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69708385</v>
      </c>
      <c r="D43" s="27">
        <f>D22+D29+D31+D32+D33+D41</f>
        <v>67833577</v>
      </c>
      <c r="E43" s="27">
        <f>D43-C43</f>
        <v>-1874808</v>
      </c>
      <c r="F43" s="28">
        <f>IF(C43=0,0,E43/C43)</f>
        <v>-2.6895014136391195E-2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3370047</v>
      </c>
      <c r="D49" s="23">
        <v>3465207</v>
      </c>
      <c r="E49" s="23">
        <f t="shared" ref="E49:E56" si="2">D49-C49</f>
        <v>95160</v>
      </c>
      <c r="F49" s="24">
        <f t="shared" ref="F49:F56" si="3">IF(C49=0,0,E49/C49)</f>
        <v>2.8236994914314251E-2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1276413</v>
      </c>
      <c r="D50" s="23">
        <v>840849</v>
      </c>
      <c r="E50" s="23">
        <f t="shared" si="2"/>
        <v>-435564</v>
      </c>
      <c r="F50" s="24">
        <f t="shared" si="3"/>
        <v>-0.34124064859884695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325901</v>
      </c>
      <c r="D53" s="23">
        <v>263466</v>
      </c>
      <c r="E53" s="23">
        <f t="shared" si="2"/>
        <v>-62435</v>
      </c>
      <c r="F53" s="24">
        <f t="shared" si="3"/>
        <v>-0.19157658307277364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530009</v>
      </c>
      <c r="D54" s="23">
        <v>440019</v>
      </c>
      <c r="E54" s="23">
        <f t="shared" si="2"/>
        <v>-89990</v>
      </c>
      <c r="F54" s="24">
        <f t="shared" si="3"/>
        <v>-0.16978956961108208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3625642</v>
      </c>
      <c r="D55" s="23">
        <v>5800501</v>
      </c>
      <c r="E55" s="23">
        <f t="shared" si="2"/>
        <v>2174859</v>
      </c>
      <c r="F55" s="24">
        <f t="shared" si="3"/>
        <v>0.59985486708285041</v>
      </c>
    </row>
    <row r="56" spans="1:6" ht="24" customHeight="1" x14ac:dyDescent="0.25">
      <c r="A56" s="25"/>
      <c r="B56" s="26" t="s">
        <v>54</v>
      </c>
      <c r="C56" s="27">
        <f>SUM(C49:C55)</f>
        <v>9128012</v>
      </c>
      <c r="D56" s="27">
        <f>SUM(D49:D55)</f>
        <v>10810042</v>
      </c>
      <c r="E56" s="27">
        <f t="shared" si="2"/>
        <v>1682030</v>
      </c>
      <c r="F56" s="28">
        <f t="shared" si="3"/>
        <v>0.18427123014299279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19698257</v>
      </c>
      <c r="D59" s="23">
        <v>19435038</v>
      </c>
      <c r="E59" s="23">
        <f>D59-C59</f>
        <v>-263219</v>
      </c>
      <c r="F59" s="24">
        <f>IF(C59=0,0,E59/C59)</f>
        <v>-1.3362552839065914E-2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19698257</v>
      </c>
      <c r="D61" s="27">
        <f>SUM(D59:D60)</f>
        <v>19435038</v>
      </c>
      <c r="E61" s="27">
        <f>D61-C61</f>
        <v>-263219</v>
      </c>
      <c r="F61" s="28">
        <f>IF(C61=0,0,E61/C61)</f>
        <v>-1.3362552839065914E-2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57389912</v>
      </c>
      <c r="D63" s="23">
        <v>53726319</v>
      </c>
      <c r="E63" s="23">
        <f>D63-C63</f>
        <v>-3663593</v>
      </c>
      <c r="F63" s="24">
        <f>IF(C63=0,0,E63/C63)</f>
        <v>-6.383688129718687E-2</v>
      </c>
    </row>
    <row r="64" spans="1:6" ht="24" customHeight="1" x14ac:dyDescent="0.2">
      <c r="A64" s="21">
        <v>4</v>
      </c>
      <c r="B64" s="22" t="s">
        <v>60</v>
      </c>
      <c r="C64" s="23">
        <v>3663526</v>
      </c>
      <c r="D64" s="23">
        <v>3797901</v>
      </c>
      <c r="E64" s="23">
        <f>D64-C64</f>
        <v>134375</v>
      </c>
      <c r="F64" s="24">
        <f>IF(C64=0,0,E64/C64)</f>
        <v>3.6679144627334431E-2</v>
      </c>
    </row>
    <row r="65" spans="1:6" ht="24" customHeight="1" x14ac:dyDescent="0.25">
      <c r="A65" s="25"/>
      <c r="B65" s="26" t="s">
        <v>61</v>
      </c>
      <c r="C65" s="27">
        <f>SUM(C61:C64)</f>
        <v>80751695</v>
      </c>
      <c r="D65" s="27">
        <f>SUM(D61:D64)</f>
        <v>76959258</v>
      </c>
      <c r="E65" s="27">
        <f>D65-C65</f>
        <v>-3792437</v>
      </c>
      <c r="F65" s="28">
        <f>IF(C65=0,0,E65/C65)</f>
        <v>-4.6964178275143327E-2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-25502905</v>
      </c>
      <c r="D70" s="23">
        <v>-25203815</v>
      </c>
      <c r="E70" s="23">
        <f>D70-C70</f>
        <v>299090</v>
      </c>
      <c r="F70" s="24">
        <f>IF(C70=0,0,E70/C70)</f>
        <v>-1.1727683571734279E-2</v>
      </c>
    </row>
    <row r="71" spans="1:6" ht="24" customHeight="1" x14ac:dyDescent="0.2">
      <c r="A71" s="21">
        <v>2</v>
      </c>
      <c r="B71" s="22" t="s">
        <v>65</v>
      </c>
      <c r="C71" s="23">
        <v>2104204</v>
      </c>
      <c r="D71" s="23">
        <v>1538289</v>
      </c>
      <c r="E71" s="23">
        <f>D71-C71</f>
        <v>-565915</v>
      </c>
      <c r="F71" s="24">
        <f>IF(C71=0,0,E71/C71)</f>
        <v>-0.26894493119488416</v>
      </c>
    </row>
    <row r="72" spans="1:6" ht="24" customHeight="1" x14ac:dyDescent="0.2">
      <c r="A72" s="21">
        <v>3</v>
      </c>
      <c r="B72" s="22" t="s">
        <v>66</v>
      </c>
      <c r="C72" s="23">
        <v>3227379</v>
      </c>
      <c r="D72" s="23">
        <v>3729803</v>
      </c>
      <c r="E72" s="23">
        <f>D72-C72</f>
        <v>502424</v>
      </c>
      <c r="F72" s="24">
        <f>IF(C72=0,0,E72/C72)</f>
        <v>0.15567554972626393</v>
      </c>
    </row>
    <row r="73" spans="1:6" ht="24" customHeight="1" x14ac:dyDescent="0.25">
      <c r="A73" s="21"/>
      <c r="B73" s="26" t="s">
        <v>67</v>
      </c>
      <c r="C73" s="27">
        <f>SUM(C70:C72)</f>
        <v>-20171322</v>
      </c>
      <c r="D73" s="27">
        <f>SUM(D70:D72)</f>
        <v>-19935723</v>
      </c>
      <c r="E73" s="27">
        <f>D73-C73</f>
        <v>235599</v>
      </c>
      <c r="F73" s="28">
        <f>IF(C73=0,0,E73/C73)</f>
        <v>-1.1679898818728886E-2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69708385</v>
      </c>
      <c r="D75" s="27">
        <f>D56+D65+D67+D73</f>
        <v>67833577</v>
      </c>
      <c r="E75" s="27">
        <f>D75-C75</f>
        <v>-1874808</v>
      </c>
      <c r="F75" s="28">
        <f>IF(C75=0,0,E75/C75)</f>
        <v>-2.6895014136391195E-2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FILING&amp;RWINDHAM COMMUNITY MEMORIAL HOSPITAL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activeCell="A3" sqref="A3:F3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0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480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190183873</v>
      </c>
      <c r="D12" s="51">
        <v>193955564</v>
      </c>
      <c r="E12" s="51">
        <f t="shared" ref="E12:E19" si="0">D12-C12</f>
        <v>3771691</v>
      </c>
      <c r="F12" s="70">
        <f t="shared" ref="F12:F19" si="1">IF(C12=0,0,E12/C12)</f>
        <v>1.9831812973963359E-2</v>
      </c>
    </row>
    <row r="13" spans="1:8" ht="23.1" customHeight="1" x14ac:dyDescent="0.2">
      <c r="A13" s="25">
        <v>2</v>
      </c>
      <c r="B13" s="48" t="s">
        <v>72</v>
      </c>
      <c r="C13" s="51">
        <v>104418812</v>
      </c>
      <c r="D13" s="51">
        <v>104466765</v>
      </c>
      <c r="E13" s="51">
        <f t="shared" si="0"/>
        <v>47953</v>
      </c>
      <c r="F13" s="70">
        <f t="shared" si="1"/>
        <v>4.5923717270409092E-4</v>
      </c>
    </row>
    <row r="14" spans="1:8" ht="23.1" customHeight="1" x14ac:dyDescent="0.2">
      <c r="A14" s="25">
        <v>3</v>
      </c>
      <c r="B14" s="48" t="s">
        <v>73</v>
      </c>
      <c r="C14" s="51">
        <v>2159913</v>
      </c>
      <c r="D14" s="51">
        <v>2546093</v>
      </c>
      <c r="E14" s="51">
        <f t="shared" si="0"/>
        <v>386180</v>
      </c>
      <c r="F14" s="70">
        <f t="shared" si="1"/>
        <v>0.17879423847164214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83605148</v>
      </c>
      <c r="D16" s="27">
        <f>D12-D13-D14-D15</f>
        <v>86942706</v>
      </c>
      <c r="E16" s="27">
        <f t="shared" si="0"/>
        <v>3337558</v>
      </c>
      <c r="F16" s="28">
        <f t="shared" si="1"/>
        <v>3.9920484322329051E-2</v>
      </c>
    </row>
    <row r="17" spans="1:7" ht="23.1" customHeight="1" x14ac:dyDescent="0.2">
      <c r="A17" s="25">
        <v>5</v>
      </c>
      <c r="B17" s="48" t="s">
        <v>76</v>
      </c>
      <c r="C17" s="51">
        <v>2401877</v>
      </c>
      <c r="D17" s="51">
        <v>2622664</v>
      </c>
      <c r="E17" s="51">
        <f t="shared" si="0"/>
        <v>220787</v>
      </c>
      <c r="F17" s="70">
        <f t="shared" si="1"/>
        <v>9.1922692127864997E-2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86007025</v>
      </c>
      <c r="D19" s="27">
        <f>SUM(D16:D18)</f>
        <v>89565370</v>
      </c>
      <c r="E19" s="27">
        <f t="shared" si="0"/>
        <v>3558345</v>
      </c>
      <c r="F19" s="28">
        <f t="shared" si="1"/>
        <v>4.137272507681785E-2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37098685</v>
      </c>
      <c r="D22" s="51">
        <v>39301133</v>
      </c>
      <c r="E22" s="51">
        <f t="shared" ref="E22:E31" si="2">D22-C22</f>
        <v>2202448</v>
      </c>
      <c r="F22" s="70">
        <f t="shared" ref="F22:F31" si="3">IF(C22=0,0,E22/C22)</f>
        <v>5.9367279460174935E-2</v>
      </c>
    </row>
    <row r="23" spans="1:7" ht="23.1" customHeight="1" x14ac:dyDescent="0.2">
      <c r="A23" s="25">
        <v>2</v>
      </c>
      <c r="B23" s="48" t="s">
        <v>81</v>
      </c>
      <c r="C23" s="51">
        <v>12646534</v>
      </c>
      <c r="D23" s="51">
        <v>14575223</v>
      </c>
      <c r="E23" s="51">
        <f t="shared" si="2"/>
        <v>1928689</v>
      </c>
      <c r="F23" s="70">
        <f t="shared" si="3"/>
        <v>0.15250731939676121</v>
      </c>
    </row>
    <row r="24" spans="1:7" ht="23.1" customHeight="1" x14ac:dyDescent="0.2">
      <c r="A24" s="25">
        <v>3</v>
      </c>
      <c r="B24" s="48" t="s">
        <v>82</v>
      </c>
      <c r="C24" s="51">
        <v>910707</v>
      </c>
      <c r="D24" s="51">
        <v>932425</v>
      </c>
      <c r="E24" s="51">
        <f t="shared" si="2"/>
        <v>21718</v>
      </c>
      <c r="F24" s="70">
        <f t="shared" si="3"/>
        <v>2.3847406465526234E-2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9495592</v>
      </c>
      <c r="D25" s="51">
        <v>7995028</v>
      </c>
      <c r="E25" s="51">
        <f t="shared" si="2"/>
        <v>-1500564</v>
      </c>
      <c r="F25" s="70">
        <f t="shared" si="3"/>
        <v>-0.15802742999067357</v>
      </c>
    </row>
    <row r="26" spans="1:7" ht="23.1" customHeight="1" x14ac:dyDescent="0.2">
      <c r="A26" s="25">
        <v>5</v>
      </c>
      <c r="B26" s="48" t="s">
        <v>84</v>
      </c>
      <c r="C26" s="51">
        <v>4418804</v>
      </c>
      <c r="D26" s="51">
        <v>4522902</v>
      </c>
      <c r="E26" s="51">
        <f t="shared" si="2"/>
        <v>104098</v>
      </c>
      <c r="F26" s="70">
        <f t="shared" si="3"/>
        <v>2.3557958216748241E-2</v>
      </c>
    </row>
    <row r="27" spans="1:7" ht="23.1" customHeight="1" x14ac:dyDescent="0.2">
      <c r="A27" s="25">
        <v>6</v>
      </c>
      <c r="B27" s="48" t="s">
        <v>85</v>
      </c>
      <c r="C27" s="51">
        <v>4595065</v>
      </c>
      <c r="D27" s="51">
        <v>5459445</v>
      </c>
      <c r="E27" s="51">
        <f t="shared" si="2"/>
        <v>864380</v>
      </c>
      <c r="F27" s="70">
        <f t="shared" si="3"/>
        <v>0.18811050550971531</v>
      </c>
    </row>
    <row r="28" spans="1:7" ht="23.1" customHeight="1" x14ac:dyDescent="0.2">
      <c r="A28" s="25">
        <v>7</v>
      </c>
      <c r="B28" s="48" t="s">
        <v>86</v>
      </c>
      <c r="C28" s="51">
        <v>1483430</v>
      </c>
      <c r="D28" s="51">
        <v>1557105</v>
      </c>
      <c r="E28" s="51">
        <f t="shared" si="2"/>
        <v>73675</v>
      </c>
      <c r="F28" s="70">
        <f t="shared" si="3"/>
        <v>4.9665302710609871E-2</v>
      </c>
    </row>
    <row r="29" spans="1:7" ht="23.1" customHeight="1" x14ac:dyDescent="0.2">
      <c r="A29" s="25">
        <v>8</v>
      </c>
      <c r="B29" s="48" t="s">
        <v>87</v>
      </c>
      <c r="C29" s="51">
        <v>980763</v>
      </c>
      <c r="D29" s="51">
        <v>635157</v>
      </c>
      <c r="E29" s="51">
        <f t="shared" si="2"/>
        <v>-345606</v>
      </c>
      <c r="F29" s="70">
        <f t="shared" si="3"/>
        <v>-0.35238482691537099</v>
      </c>
    </row>
    <row r="30" spans="1:7" ht="23.1" customHeight="1" x14ac:dyDescent="0.2">
      <c r="A30" s="25">
        <v>9</v>
      </c>
      <c r="B30" s="48" t="s">
        <v>88</v>
      </c>
      <c r="C30" s="51">
        <v>13771577</v>
      </c>
      <c r="D30" s="51">
        <v>16523400</v>
      </c>
      <c r="E30" s="51">
        <f t="shared" si="2"/>
        <v>2751823</v>
      </c>
      <c r="F30" s="70">
        <f t="shared" si="3"/>
        <v>0.19981901854812997</v>
      </c>
    </row>
    <row r="31" spans="1:7" ht="23.1" customHeight="1" x14ac:dyDescent="0.25">
      <c r="A31" s="29"/>
      <c r="B31" s="71" t="s">
        <v>89</v>
      </c>
      <c r="C31" s="27">
        <f>SUM(C22:C30)</f>
        <v>85401157</v>
      </c>
      <c r="D31" s="27">
        <f>SUM(D22:D30)</f>
        <v>91501818</v>
      </c>
      <c r="E31" s="27">
        <f t="shared" si="2"/>
        <v>6100661</v>
      </c>
      <c r="F31" s="28">
        <f t="shared" si="3"/>
        <v>7.1435343668704632E-2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605868</v>
      </c>
      <c r="D33" s="27">
        <f>+D19-D31</f>
        <v>-1936448</v>
      </c>
      <c r="E33" s="27">
        <f>D33-C33</f>
        <v>-2542316</v>
      </c>
      <c r="F33" s="28">
        <f>IF(C33=0,0,E33/C33)</f>
        <v>-4.1961549380393093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152507</v>
      </c>
      <c r="D36" s="51">
        <v>96303</v>
      </c>
      <c r="E36" s="51">
        <f>D36-C36</f>
        <v>-56204</v>
      </c>
      <c r="F36" s="70">
        <f>IF(C36=0,0,E36/C36)</f>
        <v>-0.36853390336181291</v>
      </c>
    </row>
    <row r="37" spans="1:6" ht="23.1" customHeight="1" x14ac:dyDescent="0.2">
      <c r="A37" s="44">
        <v>2</v>
      </c>
      <c r="B37" s="48" t="s">
        <v>93</v>
      </c>
      <c r="C37" s="51">
        <v>205897</v>
      </c>
      <c r="D37" s="51">
        <v>252482</v>
      </c>
      <c r="E37" s="51">
        <f>D37-C37</f>
        <v>46585</v>
      </c>
      <c r="F37" s="70">
        <f>IF(C37=0,0,E37/C37)</f>
        <v>0.22625390365085454</v>
      </c>
    </row>
    <row r="38" spans="1:6" ht="23.1" customHeight="1" x14ac:dyDescent="0.2">
      <c r="A38" s="44">
        <v>3</v>
      </c>
      <c r="B38" s="48" t="s">
        <v>94</v>
      </c>
      <c r="C38" s="51">
        <v>-2149276</v>
      </c>
      <c r="D38" s="51">
        <v>-95417</v>
      </c>
      <c r="E38" s="51">
        <f>D38-C38</f>
        <v>2053859</v>
      </c>
      <c r="F38" s="70">
        <f>IF(C38=0,0,E38/C38)</f>
        <v>-0.95560505025878484</v>
      </c>
    </row>
    <row r="39" spans="1:6" ht="23.1" customHeight="1" x14ac:dyDescent="0.25">
      <c r="A39" s="20"/>
      <c r="B39" s="71" t="s">
        <v>95</v>
      </c>
      <c r="C39" s="27">
        <f>SUM(C36:C38)</f>
        <v>-1790872</v>
      </c>
      <c r="D39" s="27">
        <f>SUM(D36:D38)</f>
        <v>253368</v>
      </c>
      <c r="E39" s="27">
        <f>D39-C39</f>
        <v>2044240</v>
      </c>
      <c r="F39" s="28">
        <f>IF(C39=0,0,E39/C39)</f>
        <v>-1.1414774478578034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-1185004</v>
      </c>
      <c r="D41" s="27">
        <f>D33+D39</f>
        <v>-1683080</v>
      </c>
      <c r="E41" s="27">
        <f>D41-C41</f>
        <v>-498076</v>
      </c>
      <c r="F41" s="28">
        <f>IF(C41=0,0,E41/C41)</f>
        <v>0.42031588079027582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20260</v>
      </c>
      <c r="E44" s="51">
        <f>D44-C44</f>
        <v>20260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20260</v>
      </c>
      <c r="E46" s="27">
        <f>D46-C46</f>
        <v>20260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-1185004</v>
      </c>
      <c r="D48" s="27">
        <f>D41+D46</f>
        <v>-1662820</v>
      </c>
      <c r="E48" s="27">
        <f>D48-C48</f>
        <v>-477816</v>
      </c>
      <c r="F48" s="28">
        <f>IF(C48=0,0,E48/C48)</f>
        <v>0.403218892088128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FILING&amp;R&amp;8WINDHAM COMMUNITY MEMORIAL HOSPITAL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2011-08-08T17:06:33Z</cp:lastPrinted>
  <dcterms:created xsi:type="dcterms:W3CDTF">2006-08-03T13:49:12Z</dcterms:created>
  <dcterms:modified xsi:type="dcterms:W3CDTF">2011-08-08T17:07:29Z</dcterms:modified>
</cp:coreProperties>
</file>