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 s="1"/>
  <c r="D96" i="22"/>
  <c r="D98" i="22"/>
  <c r="C96" i="22"/>
  <c r="C98" i="22" s="1"/>
  <c r="E92" i="22"/>
  <c r="D92" i="22"/>
  <c r="C92" i="22"/>
  <c r="E91" i="22"/>
  <c r="E93" i="22" s="1"/>
  <c r="D91" i="22"/>
  <c r="D93" i="22"/>
  <c r="C91" i="22"/>
  <c r="C93" i="22" s="1"/>
  <c r="E87" i="22"/>
  <c r="D87" i="22"/>
  <c r="C87" i="22"/>
  <c r="E86" i="22"/>
  <c r="E88" i="22"/>
  <c r="D86" i="22"/>
  <c r="C86" i="22"/>
  <c r="C88" i="22" s="1"/>
  <c r="E83" i="22"/>
  <c r="E102" i="22" s="1"/>
  <c r="E101" i="22"/>
  <c r="E103" i="22" s="1"/>
  <c r="D83" i="22"/>
  <c r="D102" i="22"/>
  <c r="C83" i="22"/>
  <c r="C101" i="22" s="1"/>
  <c r="E76" i="22"/>
  <c r="D76" i="22"/>
  <c r="C76" i="22"/>
  <c r="E75" i="22"/>
  <c r="E77" i="22" s="1"/>
  <c r="D75" i="22"/>
  <c r="D77" i="22" s="1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/>
  <c r="D12" i="22"/>
  <c r="C12" i="22"/>
  <c r="C33" i="22"/>
  <c r="D21" i="21"/>
  <c r="C21" i="21"/>
  <c r="D19" i="21"/>
  <c r="E19" i="21" s="1"/>
  <c r="C19" i="21"/>
  <c r="F19" i="21" s="1"/>
  <c r="F17" i="21"/>
  <c r="E17" i="21"/>
  <c r="E15" i="21"/>
  <c r="F15" i="21" s="1"/>
  <c r="D45" i="20"/>
  <c r="E45" i="20" s="1"/>
  <c r="F45" i="20" s="1"/>
  <c r="C45" i="20"/>
  <c r="D44" i="20"/>
  <c r="C44" i="20"/>
  <c r="D43" i="20"/>
  <c r="C43" i="20"/>
  <c r="C46" i="20"/>
  <c r="D36" i="20"/>
  <c r="D40" i="20" s="1"/>
  <c r="E40" i="20" s="1"/>
  <c r="F40" i="20" s="1"/>
  <c r="C36" i="20"/>
  <c r="C40" i="20" s="1"/>
  <c r="E35" i="20"/>
  <c r="F35" i="20" s="1"/>
  <c r="F34" i="20"/>
  <c r="E34" i="20"/>
  <c r="E33" i="20"/>
  <c r="F33" i="20" s="1"/>
  <c r="E36" i="20"/>
  <c r="F36" i="20"/>
  <c r="E30" i="20"/>
  <c r="F30" i="20" s="1"/>
  <c r="F29" i="20"/>
  <c r="E29" i="20"/>
  <c r="E28" i="20"/>
  <c r="F28" i="20" s="1"/>
  <c r="F27" i="20"/>
  <c r="E27" i="20"/>
  <c r="D25" i="20"/>
  <c r="D39" i="20"/>
  <c r="C25" i="20"/>
  <c r="E24" i="20"/>
  <c r="F24" i="20" s="1"/>
  <c r="E23" i="20"/>
  <c r="F23" i="20" s="1"/>
  <c r="E22" i="20"/>
  <c r="D19" i="20"/>
  <c r="D20" i="20"/>
  <c r="E20" i="20"/>
  <c r="C19" i="20"/>
  <c r="C20" i="20" s="1"/>
  <c r="E18" i="20"/>
  <c r="F18" i="20" s="1"/>
  <c r="D16" i="20"/>
  <c r="E16" i="20" s="1"/>
  <c r="C16" i="20"/>
  <c r="F15" i="20"/>
  <c r="E15" i="20"/>
  <c r="F13" i="20"/>
  <c r="E13" i="20"/>
  <c r="F12" i="20"/>
  <c r="E12" i="20"/>
  <c r="C115" i="19"/>
  <c r="C105" i="19"/>
  <c r="C137" i="19"/>
  <c r="C139" i="19" s="1"/>
  <c r="C143" i="19"/>
  <c r="C96" i="19"/>
  <c r="C95" i="19"/>
  <c r="C89" i="19"/>
  <c r="C88" i="19"/>
  <c r="C83" i="19"/>
  <c r="C77" i="19"/>
  <c r="C78" i="19" s="1"/>
  <c r="C64" i="19"/>
  <c r="C63" i="19"/>
  <c r="C65" i="19" s="1"/>
  <c r="C114" i="19" s="1"/>
  <c r="C116" i="19" s="1"/>
  <c r="C119" i="19" s="1"/>
  <c r="C123" i="19" s="1"/>
  <c r="C59" i="19"/>
  <c r="C60" i="19" s="1"/>
  <c r="C49" i="19"/>
  <c r="C48" i="19"/>
  <c r="C36" i="19"/>
  <c r="C32" i="19"/>
  <c r="C33" i="19"/>
  <c r="C21" i="19"/>
  <c r="E328" i="18"/>
  <c r="E325" i="18"/>
  <c r="D324" i="18"/>
  <c r="D326" i="18" s="1"/>
  <c r="C324" i="18"/>
  <c r="C326" i="18"/>
  <c r="C330" i="18"/>
  <c r="E318" i="18"/>
  <c r="E315" i="18"/>
  <c r="D314" i="18"/>
  <c r="D316" i="18" s="1"/>
  <c r="C314" i="18"/>
  <c r="C316" i="18" s="1"/>
  <c r="C320" i="18" s="1"/>
  <c r="E308" i="18"/>
  <c r="E305" i="18"/>
  <c r="D301" i="18"/>
  <c r="D303" i="18"/>
  <c r="C301" i="18"/>
  <c r="D293" i="18"/>
  <c r="E293" i="18" s="1"/>
  <c r="C293" i="18"/>
  <c r="D292" i="18"/>
  <c r="E292" i="18" s="1"/>
  <c r="C292" i="18"/>
  <c r="D291" i="18"/>
  <c r="E291" i="18" s="1"/>
  <c r="C291" i="18"/>
  <c r="D290" i="18"/>
  <c r="C290" i="18"/>
  <c r="E290" i="18" s="1"/>
  <c r="D288" i="18"/>
  <c r="C288" i="18"/>
  <c r="E288" i="18" s="1"/>
  <c r="D287" i="18"/>
  <c r="E287" i="18" s="1"/>
  <c r="C287" i="18"/>
  <c r="D282" i="18"/>
  <c r="E282" i="18" s="1"/>
  <c r="C282" i="18"/>
  <c r="D281" i="18"/>
  <c r="E281" i="18" s="1"/>
  <c r="C281" i="18"/>
  <c r="D280" i="18"/>
  <c r="C280" i="18"/>
  <c r="E280" i="18"/>
  <c r="D279" i="18"/>
  <c r="E279" i="18" s="1"/>
  <c r="C279" i="18"/>
  <c r="D278" i="18"/>
  <c r="E278" i="18" s="1"/>
  <c r="C278" i="18"/>
  <c r="D277" i="18"/>
  <c r="C277" i="18"/>
  <c r="E277" i="18" s="1"/>
  <c r="D276" i="18"/>
  <c r="C276" i="18"/>
  <c r="E276" i="18" s="1"/>
  <c r="E270" i="18"/>
  <c r="D265" i="18"/>
  <c r="D302" i="18" s="1"/>
  <c r="C265" i="18"/>
  <c r="C302" i="18" s="1"/>
  <c r="D262" i="18"/>
  <c r="C262" i="18"/>
  <c r="E262" i="18"/>
  <c r="D251" i="18"/>
  <c r="C251" i="18"/>
  <c r="D233" i="18"/>
  <c r="C233" i="18"/>
  <c r="D232" i="18"/>
  <c r="C232" i="18"/>
  <c r="D231" i="18"/>
  <c r="E231" i="18" s="1"/>
  <c r="C231" i="18"/>
  <c r="D230" i="18"/>
  <c r="E230" i="18"/>
  <c r="C230" i="18"/>
  <c r="D228" i="18"/>
  <c r="C228" i="18"/>
  <c r="E228" i="18" s="1"/>
  <c r="D227" i="18"/>
  <c r="E227" i="18" s="1"/>
  <c r="C227" i="18"/>
  <c r="D221" i="18"/>
  <c r="D245" i="18" s="1"/>
  <c r="E245" i="18" s="1"/>
  <c r="C221" i="18"/>
  <c r="C245" i="18"/>
  <c r="D220" i="18"/>
  <c r="D244" i="18" s="1"/>
  <c r="C220" i="18"/>
  <c r="C244" i="18" s="1"/>
  <c r="D219" i="18"/>
  <c r="D243" i="18"/>
  <c r="C219" i="18"/>
  <c r="C243" i="18"/>
  <c r="D218" i="18"/>
  <c r="D242" i="18" s="1"/>
  <c r="C218" i="18"/>
  <c r="C242" i="18" s="1"/>
  <c r="D216" i="18"/>
  <c r="D240" i="18" s="1"/>
  <c r="E240" i="18"/>
  <c r="C216" i="18"/>
  <c r="C240" i="18" s="1"/>
  <c r="D215" i="18"/>
  <c r="D239" i="18" s="1"/>
  <c r="E239" i="18" s="1"/>
  <c r="C215" i="18"/>
  <c r="C239" i="18" s="1"/>
  <c r="D210" i="18"/>
  <c r="D234" i="18" s="1"/>
  <c r="E209" i="18"/>
  <c r="E208" i="18"/>
  <c r="E207" i="18"/>
  <c r="E206" i="18"/>
  <c r="D205" i="18"/>
  <c r="D229" i="18" s="1"/>
  <c r="C205" i="18"/>
  <c r="E204" i="18"/>
  <c r="E203" i="18"/>
  <c r="E197" i="18"/>
  <c r="E196" i="18"/>
  <c r="D195" i="18"/>
  <c r="C195" i="18"/>
  <c r="C260" i="18" s="1"/>
  <c r="E194" i="18"/>
  <c r="E193" i="18"/>
  <c r="E192" i="18"/>
  <c r="E191" i="18"/>
  <c r="E190" i="18"/>
  <c r="D188" i="18"/>
  <c r="C188" i="18"/>
  <c r="E186" i="18"/>
  <c r="E185" i="18"/>
  <c r="D179" i="18"/>
  <c r="E179" i="18" s="1"/>
  <c r="C179" i="18"/>
  <c r="D178" i="18"/>
  <c r="E178" i="18" s="1"/>
  <c r="C178" i="18"/>
  <c r="D177" i="18"/>
  <c r="E177" i="18" s="1"/>
  <c r="C177" i="18"/>
  <c r="D176" i="18"/>
  <c r="E176" i="18" s="1"/>
  <c r="C176" i="18"/>
  <c r="D174" i="18"/>
  <c r="C174" i="18"/>
  <c r="D173" i="18"/>
  <c r="E173" i="18" s="1"/>
  <c r="C173" i="18"/>
  <c r="D167" i="18"/>
  <c r="C167" i="18"/>
  <c r="E167" i="18" s="1"/>
  <c r="D166" i="18"/>
  <c r="C166" i="18"/>
  <c r="E166" i="18" s="1"/>
  <c r="D165" i="18"/>
  <c r="E165" i="18"/>
  <c r="C165" i="18"/>
  <c r="D164" i="18"/>
  <c r="C164" i="18"/>
  <c r="D162" i="18"/>
  <c r="C162" i="18"/>
  <c r="D161" i="18"/>
  <c r="C161" i="18"/>
  <c r="D156" i="18"/>
  <c r="D157" i="18" s="1"/>
  <c r="E155" i="18"/>
  <c r="E154" i="18"/>
  <c r="E153" i="18"/>
  <c r="E152" i="18"/>
  <c r="D151" i="18"/>
  <c r="C151" i="18"/>
  <c r="C163" i="18" s="1"/>
  <c r="E151" i="18"/>
  <c r="E150" i="18"/>
  <c r="E149" i="18"/>
  <c r="E143" i="18"/>
  <c r="E142" i="18"/>
  <c r="E141" i="18"/>
  <c r="E140" i="18"/>
  <c r="D139" i="18"/>
  <c r="D163" i="18" s="1"/>
  <c r="C139" i="18"/>
  <c r="C175" i="18" s="1"/>
  <c r="E138" i="18"/>
  <c r="E137" i="18"/>
  <c r="D75" i="18"/>
  <c r="C75" i="18"/>
  <c r="E75" i="18" s="1"/>
  <c r="D74" i="18"/>
  <c r="E74" i="18"/>
  <c r="C74" i="18"/>
  <c r="D73" i="18"/>
  <c r="E73" i="18" s="1"/>
  <c r="C73" i="18"/>
  <c r="D72" i="18"/>
  <c r="E72" i="18"/>
  <c r="C72" i="18"/>
  <c r="C71" i="18"/>
  <c r="D70" i="18"/>
  <c r="E70" i="18" s="1"/>
  <c r="C70" i="18"/>
  <c r="D69" i="18"/>
  <c r="C69" i="18"/>
  <c r="C65" i="18"/>
  <c r="C66" i="18"/>
  <c r="E64" i="18"/>
  <c r="E63" i="18"/>
  <c r="E62" i="18"/>
  <c r="E61" i="18"/>
  <c r="D60" i="18"/>
  <c r="C60" i="18"/>
  <c r="C289" i="18"/>
  <c r="E59" i="18"/>
  <c r="E58" i="18"/>
  <c r="D54" i="18"/>
  <c r="C54" i="18"/>
  <c r="C55" i="18" s="1"/>
  <c r="E53" i="18"/>
  <c r="E52" i="18"/>
  <c r="E51" i="18"/>
  <c r="E50" i="18"/>
  <c r="E49" i="18"/>
  <c r="E48" i="18"/>
  <c r="E47" i="18"/>
  <c r="D42" i="18"/>
  <c r="E42" i="18" s="1"/>
  <c r="C42" i="18"/>
  <c r="D41" i="18"/>
  <c r="E41" i="18" s="1"/>
  <c r="C41" i="18"/>
  <c r="D40" i="18"/>
  <c r="C40" i="18"/>
  <c r="D39" i="18"/>
  <c r="E39" i="18" s="1"/>
  <c r="C39" i="18"/>
  <c r="D38" i="18"/>
  <c r="E38" i="18" s="1"/>
  <c r="C38" i="18"/>
  <c r="D37" i="18"/>
  <c r="C37" i="18"/>
  <c r="C43" i="18" s="1"/>
  <c r="D36" i="18"/>
  <c r="C36" i="18"/>
  <c r="D32" i="18"/>
  <c r="D33" i="18"/>
  <c r="C32" i="18"/>
  <c r="E31" i="18"/>
  <c r="E30" i="18"/>
  <c r="E29" i="18"/>
  <c r="E28" i="18"/>
  <c r="E27" i="18"/>
  <c r="E26" i="18"/>
  <c r="E25" i="18"/>
  <c r="D21" i="18"/>
  <c r="D22" i="18" s="1"/>
  <c r="C21" i="18"/>
  <c r="C283" i="18" s="1"/>
  <c r="E20" i="18"/>
  <c r="E19" i="18"/>
  <c r="E18" i="18"/>
  <c r="E17" i="18"/>
  <c r="E16" i="18"/>
  <c r="E15" i="18"/>
  <c r="E14" i="18"/>
  <c r="E335" i="17"/>
  <c r="F335" i="17" s="1"/>
  <c r="E334" i="17"/>
  <c r="F334" i="17" s="1"/>
  <c r="E333" i="17"/>
  <c r="F333" i="17"/>
  <c r="F332" i="17"/>
  <c r="E332" i="17"/>
  <c r="E331" i="17"/>
  <c r="F331" i="17" s="1"/>
  <c r="E330" i="17"/>
  <c r="F330" i="17" s="1"/>
  <c r="E329" i="17"/>
  <c r="F329" i="17"/>
  <c r="F316" i="17"/>
  <c r="E316" i="17"/>
  <c r="D311" i="17"/>
  <c r="E311" i="17" s="1"/>
  <c r="C311" i="17"/>
  <c r="F311" i="17" s="1"/>
  <c r="E308" i="17"/>
  <c r="F308" i="17"/>
  <c r="D307" i="17"/>
  <c r="E307" i="17"/>
  <c r="F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C250" i="17"/>
  <c r="C306" i="17" s="1"/>
  <c r="E249" i="17"/>
  <c r="F249" i="17"/>
  <c r="E248" i="17"/>
  <c r="F248" i="17" s="1"/>
  <c r="F245" i="17"/>
  <c r="E245" i="17"/>
  <c r="E244" i="17"/>
  <c r="F244" i="17" s="1"/>
  <c r="E243" i="17"/>
  <c r="F243" i="17"/>
  <c r="D238" i="17"/>
  <c r="C238" i="17"/>
  <c r="D237" i="17"/>
  <c r="D239" i="17"/>
  <c r="E239" i="17" s="1"/>
  <c r="C237" i="17"/>
  <c r="C239" i="17"/>
  <c r="E234" i="17"/>
  <c r="F234" i="17" s="1"/>
  <c r="E233" i="17"/>
  <c r="F233" i="17"/>
  <c r="D230" i="17"/>
  <c r="C230" i="17"/>
  <c r="D229" i="17"/>
  <c r="C229" i="17"/>
  <c r="E228" i="17"/>
  <c r="F228" i="17" s="1"/>
  <c r="D226" i="17"/>
  <c r="D227" i="17"/>
  <c r="C226" i="17"/>
  <c r="C227" i="17" s="1"/>
  <c r="E225" i="17"/>
  <c r="F225" i="17"/>
  <c r="E224" i="17"/>
  <c r="F224" i="17" s="1"/>
  <c r="D223" i="17"/>
  <c r="C223" i="17"/>
  <c r="E222" i="17"/>
  <c r="F222" i="17" s="1"/>
  <c r="E221" i="17"/>
  <c r="F221" i="17"/>
  <c r="D204" i="17"/>
  <c r="C204" i="17"/>
  <c r="C285" i="17" s="1"/>
  <c r="D203" i="17"/>
  <c r="D283" i="17"/>
  <c r="C203" i="17"/>
  <c r="C267" i="17" s="1"/>
  <c r="D198" i="17"/>
  <c r="C198" i="17"/>
  <c r="D191" i="17"/>
  <c r="C191" i="17"/>
  <c r="D189" i="17"/>
  <c r="C189" i="17"/>
  <c r="D188" i="17"/>
  <c r="C188" i="17"/>
  <c r="D180" i="17"/>
  <c r="C180" i="17"/>
  <c r="C181" i="17" s="1"/>
  <c r="D179" i="17"/>
  <c r="D181" i="17" s="1"/>
  <c r="C179" i="17"/>
  <c r="F181" i="17"/>
  <c r="D171" i="17"/>
  <c r="D172" i="17" s="1"/>
  <c r="C171" i="17"/>
  <c r="C172" i="17"/>
  <c r="C207" i="17" s="1"/>
  <c r="D170" i="17"/>
  <c r="C170" i="17"/>
  <c r="F169" i="17"/>
  <c r="E169" i="17"/>
  <c r="F168" i="17"/>
  <c r="E168" i="17"/>
  <c r="D165" i="17"/>
  <c r="C165" i="17"/>
  <c r="E165" i="17" s="1"/>
  <c r="D164" i="17"/>
  <c r="C164" i="17"/>
  <c r="F163" i="17"/>
  <c r="E163" i="17"/>
  <c r="D158" i="17"/>
  <c r="D159" i="17" s="1"/>
  <c r="C158" i="17"/>
  <c r="C159" i="17"/>
  <c r="F159" i="17" s="1"/>
  <c r="F157" i="17"/>
  <c r="E157" i="17"/>
  <c r="F156" i="17"/>
  <c r="E156" i="17"/>
  <c r="D155" i="17"/>
  <c r="C155" i="17"/>
  <c r="F154" i="17"/>
  <c r="E154" i="17"/>
  <c r="F153" i="17"/>
  <c r="E153" i="17"/>
  <c r="D145" i="17"/>
  <c r="C145" i="17"/>
  <c r="D144" i="17"/>
  <c r="D146" i="17"/>
  <c r="C144" i="17"/>
  <c r="D136" i="17"/>
  <c r="D137" i="17"/>
  <c r="C136" i="17"/>
  <c r="C137" i="17" s="1"/>
  <c r="D135" i="17"/>
  <c r="C135" i="17"/>
  <c r="E134" i="17"/>
  <c r="F134" i="17" s="1"/>
  <c r="E133" i="17"/>
  <c r="F133" i="17"/>
  <c r="D130" i="17"/>
  <c r="C130" i="17"/>
  <c r="D129" i="17"/>
  <c r="C129" i="17"/>
  <c r="E128" i="17"/>
  <c r="F128" i="17" s="1"/>
  <c r="D123" i="17"/>
  <c r="C123" i="17"/>
  <c r="C193" i="17"/>
  <c r="E122" i="17"/>
  <c r="F122" i="17" s="1"/>
  <c r="E121" i="17"/>
  <c r="F121" i="17" s="1"/>
  <c r="D120" i="17"/>
  <c r="C120" i="17"/>
  <c r="E120" i="17"/>
  <c r="E119" i="17"/>
  <c r="F119" i="17"/>
  <c r="E118" i="17"/>
  <c r="F118" i="17"/>
  <c r="D110" i="17"/>
  <c r="E110" i="17" s="1"/>
  <c r="C110" i="17"/>
  <c r="D109" i="17"/>
  <c r="D111" i="17"/>
  <c r="E111" i="17" s="1"/>
  <c r="C109" i="17"/>
  <c r="C111" i="17"/>
  <c r="D101" i="17"/>
  <c r="D102" i="17" s="1"/>
  <c r="C101" i="17"/>
  <c r="C102" i="17"/>
  <c r="D100" i="17"/>
  <c r="C100" i="17"/>
  <c r="E100" i="17" s="1"/>
  <c r="E99" i="17"/>
  <c r="F99" i="17"/>
  <c r="E98" i="17"/>
  <c r="F98" i="17" s="1"/>
  <c r="D95" i="17"/>
  <c r="C95" i="17"/>
  <c r="D94" i="17"/>
  <c r="C94" i="17"/>
  <c r="E93" i="17"/>
  <c r="F93" i="17"/>
  <c r="D88" i="17"/>
  <c r="D89" i="17" s="1"/>
  <c r="C88" i="17"/>
  <c r="C89" i="17"/>
  <c r="E87" i="17"/>
  <c r="F87" i="17" s="1"/>
  <c r="E86" i="17"/>
  <c r="F86" i="17"/>
  <c r="D85" i="17"/>
  <c r="C85" i="17"/>
  <c r="E84" i="17"/>
  <c r="F84" i="17"/>
  <c r="E83" i="17"/>
  <c r="F83" i="17" s="1"/>
  <c r="D76" i="17"/>
  <c r="D77" i="17"/>
  <c r="C76" i="17"/>
  <c r="C77" i="17" s="1"/>
  <c r="E74" i="17"/>
  <c r="F74" i="17" s="1"/>
  <c r="E73" i="17"/>
  <c r="F73" i="17" s="1"/>
  <c r="D67" i="17"/>
  <c r="E67" i="17"/>
  <c r="F67" i="17" s="1"/>
  <c r="C67" i="17"/>
  <c r="D66" i="17"/>
  <c r="D68" i="17"/>
  <c r="C66" i="17"/>
  <c r="D59" i="17"/>
  <c r="D60" i="17"/>
  <c r="C59" i="17"/>
  <c r="C60" i="17" s="1"/>
  <c r="D58" i="17"/>
  <c r="C58" i="17"/>
  <c r="E57" i="17"/>
  <c r="F57" i="17" s="1"/>
  <c r="F56" i="17"/>
  <c r="E56" i="17"/>
  <c r="D53" i="17"/>
  <c r="C53" i="17"/>
  <c r="D52" i="17"/>
  <c r="E52" i="17"/>
  <c r="F52" i="17"/>
  <c r="C52" i="17"/>
  <c r="E51" i="17"/>
  <c r="F51" i="17" s="1"/>
  <c r="D47" i="17"/>
  <c r="D48" i="17" s="1"/>
  <c r="C47" i="17"/>
  <c r="C48" i="17"/>
  <c r="F46" i="17"/>
  <c r="E46" i="17"/>
  <c r="E45" i="17"/>
  <c r="F45" i="17" s="1"/>
  <c r="D44" i="17"/>
  <c r="E44" i="17" s="1"/>
  <c r="C44" i="17"/>
  <c r="F43" i="17"/>
  <c r="E43" i="17"/>
  <c r="E42" i="17"/>
  <c r="F42" i="17" s="1"/>
  <c r="D36" i="17"/>
  <c r="E36" i="17"/>
  <c r="C36" i="17"/>
  <c r="D35" i="17"/>
  <c r="C35" i="17"/>
  <c r="D30" i="17"/>
  <c r="D31" i="17"/>
  <c r="C30" i="17"/>
  <c r="C31" i="17" s="1"/>
  <c r="D29" i="17"/>
  <c r="E29" i="17"/>
  <c r="F29" i="17" s="1"/>
  <c r="C29" i="17"/>
  <c r="E28" i="17"/>
  <c r="F28" i="17" s="1"/>
  <c r="F27" i="17"/>
  <c r="E27" i="17"/>
  <c r="D24" i="17"/>
  <c r="E24" i="17"/>
  <c r="F24" i="17" s="1"/>
  <c r="C24" i="17"/>
  <c r="D23" i="17"/>
  <c r="E23" i="17"/>
  <c r="F23" i="17" s="1"/>
  <c r="C23" i="17"/>
  <c r="F22" i="17"/>
  <c r="E22" i="17"/>
  <c r="D20" i="17"/>
  <c r="E20" i="17" s="1"/>
  <c r="C20" i="17"/>
  <c r="F19" i="17"/>
  <c r="E19" i="17"/>
  <c r="F18" i="17"/>
  <c r="E18" i="17"/>
  <c r="D17" i="17"/>
  <c r="E17" i="17" s="1"/>
  <c r="C17" i="17"/>
  <c r="F16" i="17"/>
  <c r="E16" i="17"/>
  <c r="F15" i="17"/>
  <c r="E15" i="17"/>
  <c r="D21" i="16"/>
  <c r="E21" i="16" s="1"/>
  <c r="C21" i="16"/>
  <c r="F20" i="16"/>
  <c r="E20" i="16"/>
  <c r="D17" i="16"/>
  <c r="E17" i="16" s="1"/>
  <c r="F17" i="16" s="1"/>
  <c r="C17" i="16"/>
  <c r="E16" i="16"/>
  <c r="F16" i="16" s="1"/>
  <c r="D13" i="16"/>
  <c r="C13" i="16"/>
  <c r="F12" i="16"/>
  <c r="E12" i="16"/>
  <c r="D107" i="15"/>
  <c r="E107" i="15"/>
  <c r="C107" i="15"/>
  <c r="E106" i="15"/>
  <c r="F106" i="15" s="1"/>
  <c r="F105" i="15"/>
  <c r="E105" i="15"/>
  <c r="E104" i="15"/>
  <c r="F104" i="15" s="1"/>
  <c r="D100" i="15"/>
  <c r="E100" i="15" s="1"/>
  <c r="C100" i="15"/>
  <c r="F99" i="15"/>
  <c r="E99" i="15"/>
  <c r="E98" i="15"/>
  <c r="F98" i="15" s="1"/>
  <c r="F97" i="15"/>
  <c r="E97" i="15"/>
  <c r="E96" i="15"/>
  <c r="F96" i="15" s="1"/>
  <c r="F95" i="15"/>
  <c r="E95" i="15"/>
  <c r="D92" i="15"/>
  <c r="C92" i="15"/>
  <c r="E92" i="15" s="1"/>
  <c r="F92" i="15" s="1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E81" i="15"/>
  <c r="F81" i="15" s="1"/>
  <c r="F80" i="15"/>
  <c r="E80" i="15"/>
  <c r="F79" i="15"/>
  <c r="E79" i="15"/>
  <c r="D75" i="15"/>
  <c r="C75" i="15"/>
  <c r="E74" i="15"/>
  <c r="F74" i="15" s="1"/>
  <c r="F73" i="15"/>
  <c r="E73" i="15"/>
  <c r="E75" i="15" s="1"/>
  <c r="F75" i="15" s="1"/>
  <c r="D70" i="15"/>
  <c r="E70" i="15" s="1"/>
  <c r="C70" i="15"/>
  <c r="F70" i="15" s="1"/>
  <c r="E69" i="15"/>
  <c r="F69" i="15" s="1"/>
  <c r="E68" i="15"/>
  <c r="F68" i="15" s="1"/>
  <c r="D65" i="15"/>
  <c r="E65" i="15" s="1"/>
  <c r="C65" i="15"/>
  <c r="F64" i="15"/>
  <c r="E64" i="15"/>
  <c r="E63" i="15"/>
  <c r="F63" i="15" s="1"/>
  <c r="D60" i="15"/>
  <c r="C60" i="15"/>
  <c r="E59" i="15"/>
  <c r="F59" i="15" s="1"/>
  <c r="F58" i="15"/>
  <c r="E58" i="15"/>
  <c r="E60" i="15" s="1"/>
  <c r="F60" i="15" s="1"/>
  <c r="D55" i="15"/>
  <c r="E55" i="15" s="1"/>
  <c r="C55" i="15"/>
  <c r="F55" i="15" s="1"/>
  <c r="E54" i="15"/>
  <c r="F54" i="15" s="1"/>
  <c r="E53" i="15"/>
  <c r="F53" i="15" s="1"/>
  <c r="D50" i="15"/>
  <c r="E50" i="15" s="1"/>
  <c r="C50" i="15"/>
  <c r="E49" i="15"/>
  <c r="F49" i="15" s="1"/>
  <c r="E48" i="15"/>
  <c r="F48" i="15" s="1"/>
  <c r="D45" i="15"/>
  <c r="E45" i="15" s="1"/>
  <c r="C45" i="15"/>
  <c r="F45" i="15" s="1"/>
  <c r="F44" i="15"/>
  <c r="E44" i="15"/>
  <c r="E43" i="15"/>
  <c r="F43" i="15" s="1"/>
  <c r="F37" i="15"/>
  <c r="D37" i="15"/>
  <c r="E37" i="15" s="1"/>
  <c r="C37" i="15"/>
  <c r="F36" i="15"/>
  <c r="E36" i="15"/>
  <c r="F35" i="15"/>
  <c r="E35" i="15"/>
  <c r="F34" i="15"/>
  <c r="E34" i="15"/>
  <c r="F33" i="15"/>
  <c r="E33" i="15"/>
  <c r="D30" i="15"/>
  <c r="E30" i="15" s="1"/>
  <c r="C30" i="15"/>
  <c r="F30" i="15" s="1"/>
  <c r="F29" i="15"/>
  <c r="E29" i="15"/>
  <c r="F28" i="15"/>
  <c r="E28" i="15"/>
  <c r="F27" i="15"/>
  <c r="E27" i="15"/>
  <c r="F26" i="15"/>
  <c r="E26" i="15"/>
  <c r="D23" i="15"/>
  <c r="E23" i="15" s="1"/>
  <c r="C23" i="15"/>
  <c r="E22" i="15"/>
  <c r="F22" i="15" s="1"/>
  <c r="F21" i="15"/>
  <c r="E21" i="15"/>
  <c r="F20" i="15"/>
  <c r="E20" i="15"/>
  <c r="F19" i="15"/>
  <c r="E19" i="15"/>
  <c r="D16" i="15"/>
  <c r="C16" i="15"/>
  <c r="F15" i="15"/>
  <c r="E15" i="15"/>
  <c r="E14" i="15"/>
  <c r="F14" i="15" s="1"/>
  <c r="F13" i="15"/>
  <c r="E13" i="15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 s="1"/>
  <c r="E17" i="14"/>
  <c r="E31" i="14"/>
  <c r="D17" i="14"/>
  <c r="D33" i="14"/>
  <c r="D36" i="14" s="1"/>
  <c r="D38" i="14" s="1"/>
  <c r="D40" i="14" s="1"/>
  <c r="C17" i="14"/>
  <c r="C31" i="14" s="1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 s="1"/>
  <c r="D78" i="13"/>
  <c r="C78" i="13"/>
  <c r="C80" i="13" s="1"/>
  <c r="C77" i="13" s="1"/>
  <c r="E75" i="13"/>
  <c r="E73" i="13"/>
  <c r="D73" i="13"/>
  <c r="D75" i="13"/>
  <c r="C73" i="13"/>
  <c r="C75" i="13" s="1"/>
  <c r="E71" i="13"/>
  <c r="D71" i="13"/>
  <c r="C71" i="13"/>
  <c r="E66" i="13"/>
  <c r="E65" i="13" s="1"/>
  <c r="D66" i="13"/>
  <c r="C66" i="13"/>
  <c r="C65" i="13"/>
  <c r="D65" i="13"/>
  <c r="E60" i="13"/>
  <c r="D60" i="13"/>
  <c r="C60" i="13"/>
  <c r="E58" i="13"/>
  <c r="D58" i="13"/>
  <c r="C58" i="13"/>
  <c r="E55" i="13"/>
  <c r="D55" i="13"/>
  <c r="C55" i="13"/>
  <c r="E54" i="13"/>
  <c r="E50" i="13"/>
  <c r="D54" i="13"/>
  <c r="C54" i="13"/>
  <c r="C50" i="13"/>
  <c r="D50" i="13"/>
  <c r="E48" i="13"/>
  <c r="C48" i="13"/>
  <c r="C42" i="13" s="1"/>
  <c r="E46" i="13"/>
  <c r="E59" i="13" s="1"/>
  <c r="E61" i="13" s="1"/>
  <c r="E57" i="13" s="1"/>
  <c r="D46" i="13"/>
  <c r="D59" i="13" s="1"/>
  <c r="D61" i="13" s="1"/>
  <c r="D57" i="13" s="1"/>
  <c r="C46" i="13"/>
  <c r="C59" i="13" s="1"/>
  <c r="E45" i="13"/>
  <c r="D45" i="13"/>
  <c r="C45" i="13"/>
  <c r="E38" i="13"/>
  <c r="D38" i="13"/>
  <c r="C38" i="13"/>
  <c r="E33" i="13"/>
  <c r="E34" i="13"/>
  <c r="D33" i="13"/>
  <c r="D34" i="13" s="1"/>
  <c r="E26" i="13"/>
  <c r="D26" i="13"/>
  <c r="C26" i="13"/>
  <c r="C25" i="13"/>
  <c r="C27" i="13" s="1"/>
  <c r="C20" i="13" s="1"/>
  <c r="E15" i="13"/>
  <c r="E24" i="13"/>
  <c r="C15" i="13"/>
  <c r="C24" i="13" s="1"/>
  <c r="E13" i="13"/>
  <c r="E25" i="13" s="1"/>
  <c r="D13" i="13"/>
  <c r="D25" i="13"/>
  <c r="D27" i="13" s="1"/>
  <c r="C13" i="13"/>
  <c r="D47" i="12"/>
  <c r="E47" i="12"/>
  <c r="C47" i="12"/>
  <c r="F47" i="12" s="1"/>
  <c r="F46" i="12"/>
  <c r="E46" i="12"/>
  <c r="F45" i="12"/>
  <c r="E45" i="12"/>
  <c r="D40" i="12"/>
  <c r="E40" i="12" s="1"/>
  <c r="C40" i="12"/>
  <c r="E39" i="12"/>
  <c r="F39" i="12" s="1"/>
  <c r="F38" i="12"/>
  <c r="E38" i="12"/>
  <c r="E37" i="12"/>
  <c r="F37" i="12" s="1"/>
  <c r="D32" i="12"/>
  <c r="E32" i="12" s="1"/>
  <c r="C32" i="12"/>
  <c r="F31" i="12"/>
  <c r="E31" i="12"/>
  <c r="F30" i="12"/>
  <c r="E30" i="12"/>
  <c r="F29" i="12"/>
  <c r="E29" i="12"/>
  <c r="E28" i="12"/>
  <c r="F28" i="12" s="1"/>
  <c r="F27" i="12"/>
  <c r="E27" i="12"/>
  <c r="E26" i="12"/>
  <c r="F26" i="12" s="1"/>
  <c r="F25" i="12"/>
  <c r="E25" i="12"/>
  <c r="E24" i="12"/>
  <c r="F24" i="12" s="1"/>
  <c r="F23" i="12"/>
  <c r="E23" i="12"/>
  <c r="E19" i="12"/>
  <c r="F19" i="12" s="1"/>
  <c r="F18" i="12"/>
  <c r="E18" i="12"/>
  <c r="F16" i="12"/>
  <c r="E16" i="12"/>
  <c r="D15" i="12"/>
  <c r="E15" i="12" s="1"/>
  <c r="C15" i="12"/>
  <c r="C17" i="12" s="1"/>
  <c r="E14" i="12"/>
  <c r="F14" i="12" s="1"/>
  <c r="F13" i="12"/>
  <c r="E13" i="12"/>
  <c r="E12" i="12"/>
  <c r="F12" i="12" s="1"/>
  <c r="F11" i="12"/>
  <c r="E11" i="12"/>
  <c r="D73" i="11"/>
  <c r="C73" i="11"/>
  <c r="E73" i="11" s="1"/>
  <c r="E72" i="11"/>
  <c r="F72" i="11" s="1"/>
  <c r="F71" i="11"/>
  <c r="E71" i="11"/>
  <c r="E70" i="11"/>
  <c r="F70" i="11" s="1"/>
  <c r="F67" i="11"/>
  <c r="E67" i="11"/>
  <c r="E64" i="11"/>
  <c r="F64" i="11" s="1"/>
  <c r="F63" i="11"/>
  <c r="E63" i="11"/>
  <c r="D61" i="11"/>
  <c r="D65" i="11"/>
  <c r="E65" i="11"/>
  <c r="C61" i="11"/>
  <c r="C65" i="11" s="1"/>
  <c r="C75" i="11" s="1"/>
  <c r="E60" i="11"/>
  <c r="F60" i="11" s="1"/>
  <c r="F59" i="11"/>
  <c r="E59" i="11"/>
  <c r="D56" i="11"/>
  <c r="D75" i="11"/>
  <c r="E75" i="11" s="1"/>
  <c r="F75" i="11" s="1"/>
  <c r="C56" i="11"/>
  <c r="F55" i="11"/>
  <c r="E55" i="11"/>
  <c r="E54" i="11"/>
  <c r="F54" i="11"/>
  <c r="F53" i="11"/>
  <c r="E53" i="11"/>
  <c r="F52" i="11"/>
  <c r="E52" i="11"/>
  <c r="F51" i="11"/>
  <c r="E51" i="11"/>
  <c r="A53" i="11"/>
  <c r="A54" i="11" s="1"/>
  <c r="A55" i="11" s="1"/>
  <c r="F50" i="11"/>
  <c r="E50" i="11"/>
  <c r="A50" i="11"/>
  <c r="A51" i="11" s="1"/>
  <c r="A52" i="11" s="1"/>
  <c r="E49" i="11"/>
  <c r="F49" i="11" s="1"/>
  <c r="F40" i="11"/>
  <c r="E40" i="11"/>
  <c r="D38" i="11"/>
  <c r="D41" i="11"/>
  <c r="C38" i="11"/>
  <c r="C41" i="11" s="1"/>
  <c r="E37" i="11"/>
  <c r="F37" i="11" s="1"/>
  <c r="F36" i="11"/>
  <c r="E36" i="11"/>
  <c r="E33" i="11"/>
  <c r="F33" i="11" s="1"/>
  <c r="F32" i="11"/>
  <c r="E32" i="11"/>
  <c r="F31" i="11"/>
  <c r="E31" i="11"/>
  <c r="D29" i="11"/>
  <c r="E29" i="11" s="1"/>
  <c r="C29" i="11"/>
  <c r="F28" i="11"/>
  <c r="E28" i="11"/>
  <c r="E27" i="11"/>
  <c r="F27" i="11" s="1"/>
  <c r="E26" i="11"/>
  <c r="F26" i="11" s="1"/>
  <c r="E25" i="11"/>
  <c r="F25" i="11" s="1"/>
  <c r="D22" i="11"/>
  <c r="D43" i="11" s="1"/>
  <c r="C22" i="11"/>
  <c r="F21" i="11"/>
  <c r="E21" i="11"/>
  <c r="E20" i="11"/>
  <c r="F20" i="11" s="1"/>
  <c r="F19" i="11"/>
  <c r="E19" i="11"/>
  <c r="F18" i="11"/>
  <c r="E18" i="11"/>
  <c r="E17" i="11"/>
  <c r="F17" i="11" s="1"/>
  <c r="F16" i="11"/>
  <c r="E16" i="11"/>
  <c r="F15" i="11"/>
  <c r="E15" i="11"/>
  <c r="E14" i="11"/>
  <c r="F14" i="11" s="1"/>
  <c r="F13" i="11"/>
  <c r="E13" i="11"/>
  <c r="D120" i="10"/>
  <c r="C120" i="10"/>
  <c r="E120" i="10" s="1"/>
  <c r="D119" i="10"/>
  <c r="C119" i="10"/>
  <c r="D118" i="10"/>
  <c r="E118" i="10" s="1"/>
  <c r="F118" i="10"/>
  <c r="C118" i="10"/>
  <c r="D117" i="10"/>
  <c r="E117" i="10" s="1"/>
  <c r="C117" i="10"/>
  <c r="D116" i="10"/>
  <c r="C116" i="10"/>
  <c r="D115" i="10"/>
  <c r="C115" i="10"/>
  <c r="D114" i="10"/>
  <c r="C114" i="10"/>
  <c r="D113" i="10"/>
  <c r="D122" i="10" s="1"/>
  <c r="C113" i="10"/>
  <c r="D112" i="10"/>
  <c r="D121" i="10"/>
  <c r="C112" i="10"/>
  <c r="D108" i="10"/>
  <c r="E108" i="10"/>
  <c r="F108" i="10" s="1"/>
  <c r="C108" i="10"/>
  <c r="D107" i="10"/>
  <c r="E107" i="10" s="1"/>
  <c r="F107" i="10" s="1"/>
  <c r="C107" i="10"/>
  <c r="E106" i="10"/>
  <c r="F106" i="10" s="1"/>
  <c r="F105" i="10"/>
  <c r="E105" i="10"/>
  <c r="E104" i="10"/>
  <c r="F104" i="10" s="1"/>
  <c r="F103" i="10"/>
  <c r="E103" i="10"/>
  <c r="E102" i="10"/>
  <c r="F102" i="10" s="1"/>
  <c r="F101" i="10"/>
  <c r="E101" i="10"/>
  <c r="F100" i="10"/>
  <c r="E100" i="10"/>
  <c r="F99" i="10"/>
  <c r="E99" i="10"/>
  <c r="E98" i="10"/>
  <c r="F98" i="10" s="1"/>
  <c r="D96" i="10"/>
  <c r="C96" i="10"/>
  <c r="D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 s="1"/>
  <c r="C84" i="10"/>
  <c r="D83" i="10"/>
  <c r="E83" i="10" s="1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D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E60" i="10"/>
  <c r="F60" i="10" s="1"/>
  <c r="C60" i="10"/>
  <c r="D59" i="10"/>
  <c r="E59" i="10"/>
  <c r="F59" i="10" s="1"/>
  <c r="C59" i="10"/>
  <c r="E58" i="10"/>
  <c r="F58" i="10" s="1"/>
  <c r="F57" i="10"/>
  <c r="E57" i="10"/>
  <c r="E56" i="10"/>
  <c r="F56" i="10" s="1"/>
  <c r="F55" i="10"/>
  <c r="E55" i="10"/>
  <c r="E54" i="10"/>
  <c r="F54" i="10" s="1"/>
  <c r="F53" i="10"/>
  <c r="E53" i="10"/>
  <c r="F52" i="10"/>
  <c r="E52" i="10"/>
  <c r="F51" i="10"/>
  <c r="E51" i="10"/>
  <c r="E50" i="10"/>
  <c r="F50" i="10" s="1"/>
  <c r="F48" i="10"/>
  <c r="D48" i="10"/>
  <c r="C48" i="10"/>
  <c r="E48" i="10" s="1"/>
  <c r="D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E36" i="10" s="1"/>
  <c r="F36" i="10" s="1"/>
  <c r="C36" i="10"/>
  <c r="D35" i="10"/>
  <c r="E35" i="10"/>
  <c r="F35" i="10"/>
  <c r="C35" i="10"/>
  <c r="F34" i="10"/>
  <c r="E34" i="10"/>
  <c r="F33" i="10"/>
  <c r="E33" i="10"/>
  <c r="E32" i="10"/>
  <c r="F32" i="10" s="1"/>
  <c r="F31" i="10"/>
  <c r="E31" i="10"/>
  <c r="E30" i="10"/>
  <c r="F30" i="10" s="1"/>
  <c r="F29" i="10"/>
  <c r="E29" i="10"/>
  <c r="E28" i="10"/>
  <c r="F28" i="10" s="1"/>
  <c r="F27" i="10"/>
  <c r="E27" i="10"/>
  <c r="F26" i="10"/>
  <c r="E26" i="10"/>
  <c r="D24" i="10"/>
  <c r="C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F206" i="9" s="1"/>
  <c r="C206" i="9"/>
  <c r="D205" i="9"/>
  <c r="E205" i="9" s="1"/>
  <c r="F205" i="9" s="1"/>
  <c r="C205" i="9"/>
  <c r="D204" i="9"/>
  <c r="E204" i="9"/>
  <c r="F204" i="9"/>
  <c r="C204" i="9"/>
  <c r="D203" i="9"/>
  <c r="E203" i="9"/>
  <c r="F203" i="9" s="1"/>
  <c r="C203" i="9"/>
  <c r="D202" i="9"/>
  <c r="E202" i="9"/>
  <c r="F202" i="9"/>
  <c r="C202" i="9"/>
  <c r="D201" i="9"/>
  <c r="C201" i="9"/>
  <c r="D200" i="9"/>
  <c r="E200" i="9"/>
  <c r="F200" i="9" s="1"/>
  <c r="C200" i="9"/>
  <c r="D199" i="9"/>
  <c r="C199" i="9"/>
  <c r="C208" i="9"/>
  <c r="D198" i="9"/>
  <c r="D207" i="9"/>
  <c r="C198" i="9"/>
  <c r="C207" i="9"/>
  <c r="D193" i="9"/>
  <c r="C193" i="9"/>
  <c r="D192" i="9"/>
  <c r="E192" i="9"/>
  <c r="C192" i="9"/>
  <c r="E191" i="9"/>
  <c r="F191" i="9" s="1"/>
  <c r="F190" i="9"/>
  <c r="E190" i="9"/>
  <c r="F189" i="9"/>
  <c r="E189" i="9"/>
  <c r="F188" i="9"/>
  <c r="E188" i="9"/>
  <c r="E187" i="9"/>
  <c r="F187" i="9" s="1"/>
  <c r="E186" i="9"/>
  <c r="F186" i="9" s="1"/>
  <c r="E185" i="9"/>
  <c r="F185" i="9" s="1"/>
  <c r="E184" i="9"/>
  <c r="F184" i="9" s="1"/>
  <c r="E183" i="9"/>
  <c r="F183" i="9" s="1"/>
  <c r="F180" i="9"/>
  <c r="D180" i="9"/>
  <c r="E180" i="9" s="1"/>
  <c r="C180" i="9"/>
  <c r="F179" i="9"/>
  <c r="D179" i="9"/>
  <c r="E179" i="9" s="1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 s="1"/>
  <c r="C167" i="9"/>
  <c r="D166" i="9"/>
  <c r="E166" i="9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 s="1"/>
  <c r="C154" i="9"/>
  <c r="F153" i="9"/>
  <c r="D153" i="9"/>
  <c r="E153" i="9" s="1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/>
  <c r="C141" i="9"/>
  <c r="F141" i="9" s="1"/>
  <c r="D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 s="1"/>
  <c r="F128" i="9" s="1"/>
  <c r="C128" i="9"/>
  <c r="D127" i="9"/>
  <c r="E127" i="9"/>
  <c r="C127" i="9"/>
  <c r="F127" i="9" s="1"/>
  <c r="E126" i="9"/>
  <c r="F126" i="9" s="1"/>
  <c r="F125" i="9"/>
  <c r="E125" i="9"/>
  <c r="E124" i="9"/>
  <c r="F124" i="9" s="1"/>
  <c r="E123" i="9"/>
  <c r="F123" i="9" s="1"/>
  <c r="F122" i="9"/>
  <c r="E122" i="9"/>
  <c r="F121" i="9"/>
  <c r="E121" i="9"/>
  <c r="F120" i="9"/>
  <c r="E120" i="9"/>
  <c r="E119" i="9"/>
  <c r="F119" i="9" s="1"/>
  <c r="F118" i="9"/>
  <c r="E118" i="9"/>
  <c r="D115" i="9"/>
  <c r="E115" i="9"/>
  <c r="F115" i="9" s="1"/>
  <c r="C115" i="9"/>
  <c r="D114" i="9"/>
  <c r="C114" i="9"/>
  <c r="F113" i="9"/>
  <c r="E113" i="9"/>
  <c r="F112" i="9"/>
  <c r="E112" i="9"/>
  <c r="E111" i="9"/>
  <c r="F111" i="9" s="1"/>
  <c r="E110" i="9"/>
  <c r="F110" i="9" s="1"/>
  <c r="E109" i="9"/>
  <c r="F109" i="9" s="1"/>
  <c r="E108" i="9"/>
  <c r="F108" i="9" s="1"/>
  <c r="E107" i="9"/>
  <c r="F107" i="9" s="1"/>
  <c r="F106" i="9"/>
  <c r="E106" i="9"/>
  <c r="F105" i="9"/>
  <c r="E105" i="9"/>
  <c r="D102" i="9"/>
  <c r="E102" i="9" s="1"/>
  <c r="C102" i="9"/>
  <c r="F102" i="9" s="1"/>
  <c r="D101" i="9"/>
  <c r="C101" i="9"/>
  <c r="F100" i="9"/>
  <c r="E100" i="9"/>
  <c r="E99" i="9"/>
  <c r="F99" i="9" s="1"/>
  <c r="E98" i="9"/>
  <c r="F98" i="9" s="1"/>
  <c r="F97" i="9"/>
  <c r="E97" i="9"/>
  <c r="E96" i="9"/>
  <c r="F96" i="9" s="1"/>
  <c r="E95" i="9"/>
  <c r="F95" i="9" s="1"/>
  <c r="E94" i="9"/>
  <c r="F94" i="9" s="1"/>
  <c r="E93" i="9"/>
  <c r="F93" i="9" s="1"/>
  <c r="E92" i="9"/>
  <c r="F92" i="9" s="1"/>
  <c r="D89" i="9"/>
  <c r="F89" i="9"/>
  <c r="C89" i="9"/>
  <c r="E89" i="9" s="1"/>
  <c r="D88" i="9"/>
  <c r="E88" i="9" s="1"/>
  <c r="F88" i="9" s="1"/>
  <c r="C88" i="9"/>
  <c r="E87" i="9"/>
  <c r="F87" i="9" s="1"/>
  <c r="E86" i="9"/>
  <c r="F86" i="9" s="1"/>
  <c r="E85" i="9"/>
  <c r="F85" i="9" s="1"/>
  <c r="F84" i="9"/>
  <c r="E84" i="9"/>
  <c r="E83" i="9"/>
  <c r="F83" i="9" s="1"/>
  <c r="F82" i="9"/>
  <c r="E82" i="9"/>
  <c r="F81" i="9"/>
  <c r="E81" i="9"/>
  <c r="F80" i="9"/>
  <c r="E80" i="9"/>
  <c r="E79" i="9"/>
  <c r="F79" i="9" s="1"/>
  <c r="D76" i="9"/>
  <c r="C76" i="9"/>
  <c r="D75" i="9"/>
  <c r="E75" i="9"/>
  <c r="C75" i="9"/>
  <c r="F74" i="9"/>
  <c r="E74" i="9"/>
  <c r="F73" i="9"/>
  <c r="E73" i="9"/>
  <c r="F72" i="9"/>
  <c r="E72" i="9"/>
  <c r="E71" i="9"/>
  <c r="F71" i="9" s="1"/>
  <c r="F70" i="9"/>
  <c r="E70" i="9"/>
  <c r="E69" i="9"/>
  <c r="F69" i="9" s="1"/>
  <c r="F68" i="9"/>
  <c r="E68" i="9"/>
  <c r="E67" i="9"/>
  <c r="F67" i="9" s="1"/>
  <c r="E66" i="9"/>
  <c r="F66" i="9" s="1"/>
  <c r="D63" i="9"/>
  <c r="C63" i="9"/>
  <c r="D62" i="9"/>
  <c r="E62" i="9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D49" i="9"/>
  <c r="E49" i="9"/>
  <c r="F49" i="9"/>
  <c r="C49" i="9"/>
  <c r="F48" i="9"/>
  <c r="E48" i="9"/>
  <c r="E47" i="9"/>
  <c r="F47" i="9" s="1"/>
  <c r="E46" i="9"/>
  <c r="F46" i="9" s="1"/>
  <c r="E45" i="9"/>
  <c r="F45" i="9" s="1"/>
  <c r="F44" i="9"/>
  <c r="E44" i="9"/>
  <c r="E43" i="9"/>
  <c r="F43" i="9" s="1"/>
  <c r="E42" i="9"/>
  <c r="F42" i="9" s="1"/>
  <c r="F41" i="9"/>
  <c r="E41" i="9"/>
  <c r="F40" i="9"/>
  <c r="E40" i="9"/>
  <c r="D37" i="9"/>
  <c r="C37" i="9"/>
  <c r="F37" i="9" s="1"/>
  <c r="F36" i="9"/>
  <c r="D36" i="9"/>
  <c r="E36" i="9" s="1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/>
  <c r="C24" i="9"/>
  <c r="D23" i="9"/>
  <c r="E23" i="9" s="1"/>
  <c r="C23" i="9"/>
  <c r="F23" i="9" s="1"/>
  <c r="F22" i="9"/>
  <c r="E22" i="9"/>
  <c r="E21" i="9"/>
  <c r="F21" i="9" s="1"/>
  <c r="F20" i="9"/>
  <c r="E20" i="9"/>
  <c r="E19" i="9"/>
  <c r="F19" i="9" s="1"/>
  <c r="F18" i="9"/>
  <c r="E18" i="9"/>
  <c r="E17" i="9"/>
  <c r="F17" i="9" s="1"/>
  <c r="F16" i="9"/>
  <c r="E16" i="9"/>
  <c r="E15" i="9"/>
  <c r="F15" i="9" s="1"/>
  <c r="F14" i="9"/>
  <c r="E14" i="9"/>
  <c r="E191" i="8"/>
  <c r="D191" i="8"/>
  <c r="C191" i="8"/>
  <c r="E176" i="8"/>
  <c r="D176" i="8"/>
  <c r="C176" i="8"/>
  <c r="E164" i="8"/>
  <c r="E160" i="8" s="1"/>
  <c r="D164" i="8"/>
  <c r="C164" i="8"/>
  <c r="C160" i="8" s="1"/>
  <c r="C166" i="8" s="1"/>
  <c r="E162" i="8"/>
  <c r="D162" i="8"/>
  <c r="C162" i="8"/>
  <c r="E161" i="8"/>
  <c r="D161" i="8"/>
  <c r="C161" i="8"/>
  <c r="E166" i="8"/>
  <c r="E155" i="8" s="1"/>
  <c r="D160" i="8"/>
  <c r="D166" i="8" s="1"/>
  <c r="E147" i="8"/>
  <c r="E143" i="8" s="1"/>
  <c r="E149" i="8" s="1"/>
  <c r="D147" i="8"/>
  <c r="D143" i="8"/>
  <c r="D149" i="8" s="1"/>
  <c r="C147" i="8"/>
  <c r="E145" i="8"/>
  <c r="D145" i="8"/>
  <c r="C145" i="8"/>
  <c r="E144" i="8"/>
  <c r="D144" i="8"/>
  <c r="C144" i="8"/>
  <c r="C143" i="8"/>
  <c r="E126" i="8"/>
  <c r="D126" i="8"/>
  <c r="C126" i="8"/>
  <c r="E119" i="8"/>
  <c r="D119" i="8"/>
  <c r="C119" i="8"/>
  <c r="E108" i="8"/>
  <c r="D108" i="8"/>
  <c r="C108" i="8"/>
  <c r="E107" i="8"/>
  <c r="D107" i="8"/>
  <c r="D109" i="8" s="1"/>
  <c r="D106" i="8" s="1"/>
  <c r="C107" i="8"/>
  <c r="C109" i="8"/>
  <c r="C106" i="8" s="1"/>
  <c r="E102" i="8"/>
  <c r="E104" i="8"/>
  <c r="D102" i="8"/>
  <c r="D104" i="8" s="1"/>
  <c r="C102" i="8"/>
  <c r="C104" i="8" s="1"/>
  <c r="E100" i="8"/>
  <c r="D100" i="8"/>
  <c r="C100" i="8"/>
  <c r="E95" i="8"/>
  <c r="E94" i="8" s="1"/>
  <c r="D95" i="8"/>
  <c r="D94" i="8" s="1"/>
  <c r="C95" i="8"/>
  <c r="C94" i="8" s="1"/>
  <c r="E89" i="8"/>
  <c r="D89" i="8"/>
  <c r="D90" i="8" s="1"/>
  <c r="D86" i="8" s="1"/>
  <c r="C89" i="8"/>
  <c r="E87" i="8"/>
  <c r="D87" i="8"/>
  <c r="C87" i="8"/>
  <c r="E84" i="8"/>
  <c r="D84" i="8"/>
  <c r="C84" i="8"/>
  <c r="C79" i="8" s="1"/>
  <c r="E83" i="8"/>
  <c r="E79" i="8" s="1"/>
  <c r="D83" i="8"/>
  <c r="C83" i="8"/>
  <c r="D79" i="8"/>
  <c r="E75" i="8"/>
  <c r="E88" i="8"/>
  <c r="E90" i="8" s="1"/>
  <c r="E86" i="8" s="1"/>
  <c r="D75" i="8"/>
  <c r="D88" i="8"/>
  <c r="C75" i="8"/>
  <c r="C88" i="8" s="1"/>
  <c r="C90" i="8" s="1"/>
  <c r="E74" i="8"/>
  <c r="E71" i="8" s="1"/>
  <c r="D74" i="8"/>
  <c r="C74" i="8"/>
  <c r="E67" i="8"/>
  <c r="D67" i="8"/>
  <c r="C67" i="8"/>
  <c r="E38" i="8"/>
  <c r="E43" i="8" s="1"/>
  <c r="E57" i="8"/>
  <c r="E62" i="8"/>
  <c r="D38" i="8"/>
  <c r="D53" i="8" s="1"/>
  <c r="C38" i="8"/>
  <c r="C57" i="8"/>
  <c r="C62" i="8" s="1"/>
  <c r="E33" i="8"/>
  <c r="E34" i="8"/>
  <c r="D33" i="8"/>
  <c r="D34" i="8" s="1"/>
  <c r="E26" i="8"/>
  <c r="D26" i="8"/>
  <c r="C26" i="8"/>
  <c r="E13" i="8"/>
  <c r="E25" i="8" s="1"/>
  <c r="E27" i="8" s="1"/>
  <c r="E21" i="8" s="1"/>
  <c r="D13" i="8"/>
  <c r="D25" i="8"/>
  <c r="D27" i="8" s="1"/>
  <c r="D21" i="8" s="1"/>
  <c r="C13" i="8"/>
  <c r="F186" i="7"/>
  <c r="E186" i="7"/>
  <c r="D183" i="7"/>
  <c r="D188" i="7"/>
  <c r="C183" i="7"/>
  <c r="F182" i="7"/>
  <c r="E182" i="7"/>
  <c r="F181" i="7"/>
  <c r="E181" i="7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E173" i="7"/>
  <c r="F173" i="7" s="1"/>
  <c r="E172" i="7"/>
  <c r="F172" i="7" s="1"/>
  <c r="E171" i="7"/>
  <c r="F171" i="7" s="1"/>
  <c r="E170" i="7"/>
  <c r="F170" i="7" s="1"/>
  <c r="D167" i="7"/>
  <c r="C167" i="7"/>
  <c r="E166" i="7"/>
  <c r="F166" i="7" s="1"/>
  <c r="F165" i="7"/>
  <c r="E165" i="7"/>
  <c r="E164" i="7"/>
  <c r="F164" i="7" s="1"/>
  <c r="E163" i="7"/>
  <c r="F163" i="7" s="1"/>
  <c r="F162" i="7"/>
  <c r="E162" i="7"/>
  <c r="E161" i="7"/>
  <c r="F161" i="7" s="1"/>
  <c r="E160" i="7"/>
  <c r="F160" i="7" s="1"/>
  <c r="F159" i="7"/>
  <c r="E159" i="7"/>
  <c r="F158" i="7"/>
  <c r="E158" i="7"/>
  <c r="E157" i="7"/>
  <c r="F157" i="7" s="1"/>
  <c r="E156" i="7"/>
  <c r="F156" i="7" s="1"/>
  <c r="F155" i="7"/>
  <c r="E155" i="7"/>
  <c r="E154" i="7"/>
  <c r="F154" i="7" s="1"/>
  <c r="F153" i="7"/>
  <c r="E153" i="7"/>
  <c r="F152" i="7"/>
  <c r="E152" i="7"/>
  <c r="F151" i="7"/>
  <c r="E151" i="7"/>
  <c r="E150" i="7"/>
  <c r="F150" i="7" s="1"/>
  <c r="F149" i="7"/>
  <c r="E149" i="7"/>
  <c r="E148" i="7"/>
  <c r="F148" i="7" s="1"/>
  <c r="F147" i="7"/>
  <c r="E147" i="7"/>
  <c r="E146" i="7"/>
  <c r="F146" i="7" s="1"/>
  <c r="F145" i="7"/>
  <c r="E145" i="7"/>
  <c r="E144" i="7"/>
  <c r="F144" i="7" s="1"/>
  <c r="E143" i="7"/>
  <c r="F143" i="7" s="1"/>
  <c r="F142" i="7"/>
  <c r="E142" i="7"/>
  <c r="E141" i="7"/>
  <c r="F141" i="7" s="1"/>
  <c r="E140" i="7"/>
  <c r="F140" i="7" s="1"/>
  <c r="E139" i="7"/>
  <c r="F139" i="7" s="1"/>
  <c r="E138" i="7"/>
  <c r="F138" i="7" s="1"/>
  <c r="E137" i="7"/>
  <c r="F137" i="7" s="1"/>
  <c r="F136" i="7"/>
  <c r="E136" i="7"/>
  <c r="E135" i="7"/>
  <c r="F135" i="7" s="1"/>
  <c r="F134" i="7"/>
  <c r="E134" i="7"/>
  <c r="E133" i="7"/>
  <c r="F133" i="7" s="1"/>
  <c r="D130" i="7"/>
  <c r="C130" i="7"/>
  <c r="F129" i="7"/>
  <c r="E129" i="7"/>
  <c r="E128" i="7"/>
  <c r="F128" i="7" s="1"/>
  <c r="E127" i="7"/>
  <c r="F127" i="7" s="1"/>
  <c r="F126" i="7"/>
  <c r="E126" i="7"/>
  <c r="F125" i="7"/>
  <c r="E125" i="7"/>
  <c r="F124" i="7"/>
  <c r="E124" i="7"/>
  <c r="D121" i="7"/>
  <c r="E121" i="7"/>
  <c r="F121" i="7"/>
  <c r="C121" i="7"/>
  <c r="E120" i="7"/>
  <c r="F120" i="7" s="1"/>
  <c r="F119" i="7"/>
  <c r="E119" i="7"/>
  <c r="E118" i="7"/>
  <c r="F118" i="7" s="1"/>
  <c r="F117" i="7"/>
  <c r="E117" i="7"/>
  <c r="E116" i="7"/>
  <c r="F116" i="7" s="1"/>
  <c r="E115" i="7"/>
  <c r="F115" i="7" s="1"/>
  <c r="E114" i="7"/>
  <c r="F114" i="7" s="1"/>
  <c r="F113" i="7"/>
  <c r="E113" i="7"/>
  <c r="F112" i="7"/>
  <c r="E112" i="7"/>
  <c r="E111" i="7"/>
  <c r="F111" i="7" s="1"/>
  <c r="E110" i="7"/>
  <c r="F110" i="7" s="1"/>
  <c r="E109" i="7"/>
  <c r="F109" i="7" s="1"/>
  <c r="F108" i="7"/>
  <c r="E108" i="7"/>
  <c r="E107" i="7"/>
  <c r="F107" i="7" s="1"/>
  <c r="E106" i="7"/>
  <c r="F106" i="7" s="1"/>
  <c r="F105" i="7"/>
  <c r="E105" i="7"/>
  <c r="F104" i="7"/>
  <c r="E104" i="7"/>
  <c r="F103" i="7"/>
  <c r="E103" i="7"/>
  <c r="E93" i="7"/>
  <c r="F93" i="7" s="1"/>
  <c r="D90" i="7"/>
  <c r="E90" i="7" s="1"/>
  <c r="C90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E76" i="7"/>
  <c r="F76" i="7" s="1"/>
  <c r="F75" i="7"/>
  <c r="E75" i="7"/>
  <c r="F74" i="7"/>
  <c r="E74" i="7"/>
  <c r="F73" i="7"/>
  <c r="E73" i="7"/>
  <c r="E72" i="7"/>
  <c r="F72" i="7" s="1"/>
  <c r="F71" i="7"/>
  <c r="E71" i="7"/>
  <c r="F70" i="7"/>
  <c r="E70" i="7"/>
  <c r="F69" i="7"/>
  <c r="E69" i="7"/>
  <c r="E68" i="7"/>
  <c r="F68" i="7" s="1"/>
  <c r="F67" i="7"/>
  <c r="E67" i="7"/>
  <c r="F66" i="7"/>
  <c r="E66" i="7"/>
  <c r="F65" i="7"/>
  <c r="E65" i="7"/>
  <c r="E64" i="7"/>
  <c r="F64" i="7" s="1"/>
  <c r="F63" i="7"/>
  <c r="E63" i="7"/>
  <c r="F62" i="7"/>
  <c r="E62" i="7"/>
  <c r="D59" i="7"/>
  <c r="D95" i="7" s="1"/>
  <c r="C59" i="7"/>
  <c r="F58" i="7"/>
  <c r="E58" i="7"/>
  <c r="E57" i="7"/>
  <c r="F57" i="7" s="1"/>
  <c r="F56" i="7"/>
  <c r="E56" i="7"/>
  <c r="E55" i="7"/>
  <c r="F55" i="7" s="1"/>
  <c r="E54" i="7"/>
  <c r="F54" i="7" s="1"/>
  <c r="E53" i="7"/>
  <c r="F53" i="7" s="1"/>
  <c r="F50" i="7"/>
  <c r="E50" i="7"/>
  <c r="E47" i="7"/>
  <c r="F47" i="7" s="1"/>
  <c r="F44" i="7"/>
  <c r="E44" i="7"/>
  <c r="D41" i="7"/>
  <c r="E41" i="7"/>
  <c r="F41" i="7" s="1"/>
  <c r="C41" i="7"/>
  <c r="E40" i="7"/>
  <c r="F40" i="7" s="1"/>
  <c r="F39" i="7"/>
  <c r="E39" i="7"/>
  <c r="E38" i="7"/>
  <c r="F38" i="7" s="1"/>
  <c r="D35" i="7"/>
  <c r="E35" i="7" s="1"/>
  <c r="F35" i="7"/>
  <c r="C35" i="7"/>
  <c r="E34" i="7"/>
  <c r="F34" i="7" s="1"/>
  <c r="F33" i="7"/>
  <c r="E33" i="7"/>
  <c r="D30" i="7"/>
  <c r="C30" i="7"/>
  <c r="E29" i="7"/>
  <c r="F29" i="7" s="1"/>
  <c r="F28" i="7"/>
  <c r="E28" i="7"/>
  <c r="F27" i="7"/>
  <c r="E27" i="7"/>
  <c r="D24" i="7"/>
  <c r="C24" i="7"/>
  <c r="E23" i="7"/>
  <c r="F23" i="7" s="1"/>
  <c r="F22" i="7"/>
  <c r="E22" i="7"/>
  <c r="E21" i="7"/>
  <c r="F21" i="7" s="1"/>
  <c r="D18" i="7"/>
  <c r="E18" i="7"/>
  <c r="F18" i="7"/>
  <c r="C18" i="7"/>
  <c r="F17" i="7"/>
  <c r="E17" i="7"/>
  <c r="E16" i="7"/>
  <c r="F16" i="7" s="1"/>
  <c r="E15" i="7"/>
  <c r="F15" i="7" s="1"/>
  <c r="D179" i="6"/>
  <c r="E179" i="6"/>
  <c r="F179" i="6" s="1"/>
  <c r="C179" i="6"/>
  <c r="F178" i="6"/>
  <c r="E178" i="6"/>
  <c r="F177" i="6"/>
  <c r="E177" i="6"/>
  <c r="F176" i="6"/>
  <c r="E176" i="6"/>
  <c r="F175" i="6"/>
  <c r="E175" i="6"/>
  <c r="E174" i="6"/>
  <c r="F174" i="6" s="1"/>
  <c r="E173" i="6"/>
  <c r="F173" i="6" s="1"/>
  <c r="F172" i="6"/>
  <c r="E172" i="6"/>
  <c r="F171" i="6"/>
  <c r="E171" i="6"/>
  <c r="E170" i="6"/>
  <c r="F170" i="6" s="1"/>
  <c r="E169" i="6"/>
  <c r="F169" i="6" s="1"/>
  <c r="F168" i="6"/>
  <c r="E168" i="6"/>
  <c r="D166" i="6"/>
  <c r="E166" i="6"/>
  <c r="C166" i="6"/>
  <c r="F165" i="6"/>
  <c r="E165" i="6"/>
  <c r="F164" i="6"/>
  <c r="E164" i="6"/>
  <c r="E163" i="6"/>
  <c r="F163" i="6" s="1"/>
  <c r="E162" i="6"/>
  <c r="F162" i="6" s="1"/>
  <c r="F161" i="6"/>
  <c r="E161" i="6"/>
  <c r="E160" i="6"/>
  <c r="F160" i="6" s="1"/>
  <c r="F159" i="6"/>
  <c r="E159" i="6"/>
  <c r="E158" i="6"/>
  <c r="F158" i="6" s="1"/>
  <c r="F157" i="6"/>
  <c r="E157" i="6"/>
  <c r="E156" i="6"/>
  <c r="F156" i="6" s="1"/>
  <c r="E155" i="6"/>
  <c r="F155" i="6" s="1"/>
  <c r="D153" i="6"/>
  <c r="E153" i="6"/>
  <c r="F153" i="6"/>
  <c r="C153" i="6"/>
  <c r="F152" i="6"/>
  <c r="E152" i="6"/>
  <c r="F151" i="6"/>
  <c r="E151" i="6"/>
  <c r="E150" i="6"/>
  <c r="F150" i="6" s="1"/>
  <c r="E149" i="6"/>
  <c r="F149" i="6" s="1"/>
  <c r="F148" i="6"/>
  <c r="E148" i="6"/>
  <c r="E147" i="6"/>
  <c r="F147" i="6" s="1"/>
  <c r="F146" i="6"/>
  <c r="E146" i="6"/>
  <c r="E145" i="6"/>
  <c r="F145" i="6" s="1"/>
  <c r="F144" i="6"/>
  <c r="E144" i="6"/>
  <c r="F143" i="6"/>
  <c r="E143" i="6"/>
  <c r="E142" i="6"/>
  <c r="F142" i="6" s="1"/>
  <c r="D137" i="6"/>
  <c r="C137" i="6"/>
  <c r="F136" i="6"/>
  <c r="E136" i="6"/>
  <c r="F135" i="6"/>
  <c r="E135" i="6"/>
  <c r="E134" i="6"/>
  <c r="F134" i="6" s="1"/>
  <c r="E133" i="6"/>
  <c r="F133" i="6" s="1"/>
  <c r="E132" i="6"/>
  <c r="F132" i="6" s="1"/>
  <c r="E131" i="6"/>
  <c r="F131" i="6" s="1"/>
  <c r="F130" i="6"/>
  <c r="E130" i="6"/>
  <c r="F129" i="6"/>
  <c r="E129" i="6"/>
  <c r="F128" i="6"/>
  <c r="E128" i="6"/>
  <c r="E127" i="6"/>
  <c r="F127" i="6" s="1"/>
  <c r="E126" i="6"/>
  <c r="F126" i="6" s="1"/>
  <c r="D124" i="6"/>
  <c r="C124" i="6"/>
  <c r="E124" i="6" s="1"/>
  <c r="F124" i="6" s="1"/>
  <c r="F123" i="6"/>
  <c r="E123" i="6"/>
  <c r="F122" i="6"/>
  <c r="E122" i="6"/>
  <c r="E121" i="6"/>
  <c r="F121" i="6" s="1"/>
  <c r="E120" i="6"/>
  <c r="F120" i="6" s="1"/>
  <c r="E119" i="6"/>
  <c r="F119" i="6" s="1"/>
  <c r="F118" i="6"/>
  <c r="E118" i="6"/>
  <c r="F117" i="6"/>
  <c r="E117" i="6"/>
  <c r="F116" i="6"/>
  <c r="E116" i="6"/>
  <c r="E115" i="6"/>
  <c r="F115" i="6" s="1"/>
  <c r="E114" i="6"/>
  <c r="F114" i="6" s="1"/>
  <c r="E113" i="6"/>
  <c r="F113" i="6" s="1"/>
  <c r="D111" i="6"/>
  <c r="E111" i="6"/>
  <c r="C111" i="6"/>
  <c r="F110" i="6"/>
  <c r="E110" i="6"/>
  <c r="F109" i="6"/>
  <c r="E109" i="6"/>
  <c r="F108" i="6"/>
  <c r="E108" i="6"/>
  <c r="E107" i="6"/>
  <c r="F107" i="6" s="1"/>
  <c r="F106" i="6"/>
  <c r="E106" i="6"/>
  <c r="E105" i="6"/>
  <c r="F105" i="6" s="1"/>
  <c r="E104" i="6"/>
  <c r="F104" i="6" s="1"/>
  <c r="E103" i="6"/>
  <c r="F103" i="6" s="1"/>
  <c r="E102" i="6"/>
  <c r="F102" i="6" s="1"/>
  <c r="F101" i="6"/>
  <c r="E101" i="6"/>
  <c r="F100" i="6"/>
  <c r="E100" i="6"/>
  <c r="D94" i="6"/>
  <c r="E94" i="6" s="1"/>
  <c r="C94" i="6"/>
  <c r="F94" i="6" s="1"/>
  <c r="F93" i="6"/>
  <c r="D93" i="6"/>
  <c r="E93" i="6" s="1"/>
  <c r="C93" i="6"/>
  <c r="D92" i="6"/>
  <c r="E92" i="6"/>
  <c r="C92" i="6"/>
  <c r="D91" i="6"/>
  <c r="E91" i="6" s="1"/>
  <c r="C91" i="6"/>
  <c r="D90" i="6"/>
  <c r="E90" i="6"/>
  <c r="C90" i="6"/>
  <c r="D89" i="6"/>
  <c r="E89" i="6" s="1"/>
  <c r="C89" i="6"/>
  <c r="D88" i="6"/>
  <c r="C88" i="6"/>
  <c r="D87" i="6"/>
  <c r="D95" i="6" s="1"/>
  <c r="E87" i="6"/>
  <c r="C87" i="6"/>
  <c r="D86" i="6"/>
  <c r="E86" i="6"/>
  <c r="C86" i="6"/>
  <c r="D85" i="6"/>
  <c r="E85" i="6"/>
  <c r="C85" i="6"/>
  <c r="F85" i="6" s="1"/>
  <c r="D84" i="6"/>
  <c r="C84" i="6"/>
  <c r="D81" i="6"/>
  <c r="E81" i="6" s="1"/>
  <c r="F81" i="6" s="1"/>
  <c r="C81" i="6"/>
  <c r="F80" i="6"/>
  <c r="E80" i="6"/>
  <c r="F79" i="6"/>
  <c r="E79" i="6"/>
  <c r="F78" i="6"/>
  <c r="E78" i="6"/>
  <c r="F77" i="6"/>
  <c r="E77" i="6"/>
  <c r="F76" i="6"/>
  <c r="E76" i="6"/>
  <c r="E75" i="6"/>
  <c r="F75" i="6" s="1"/>
  <c r="F74" i="6"/>
  <c r="E74" i="6"/>
  <c r="F73" i="6"/>
  <c r="E73" i="6"/>
  <c r="F72" i="6"/>
  <c r="E72" i="6"/>
  <c r="E71" i="6"/>
  <c r="F71" i="6" s="1"/>
  <c r="F70" i="6"/>
  <c r="E70" i="6"/>
  <c r="D68" i="6"/>
  <c r="C68" i="6"/>
  <c r="F67" i="6"/>
  <c r="E67" i="6"/>
  <c r="F66" i="6"/>
  <c r="E66" i="6"/>
  <c r="F65" i="6"/>
  <c r="E65" i="6"/>
  <c r="E64" i="6"/>
  <c r="F64" i="6" s="1"/>
  <c r="E63" i="6"/>
  <c r="F63" i="6" s="1"/>
  <c r="E62" i="6"/>
  <c r="F62" i="6" s="1"/>
  <c r="F61" i="6"/>
  <c r="E61" i="6"/>
  <c r="E60" i="6"/>
  <c r="F60" i="6" s="1"/>
  <c r="E59" i="6"/>
  <c r="F59" i="6" s="1"/>
  <c r="F58" i="6"/>
  <c r="E58" i="6"/>
  <c r="F57" i="6"/>
  <c r="E57" i="6"/>
  <c r="D51" i="6"/>
  <c r="C51" i="6"/>
  <c r="F51" i="6" s="1"/>
  <c r="F50" i="6"/>
  <c r="D50" i="6"/>
  <c r="E50" i="6" s="1"/>
  <c r="C50" i="6"/>
  <c r="D49" i="6"/>
  <c r="C49" i="6"/>
  <c r="E49" i="6" s="1"/>
  <c r="D48" i="6"/>
  <c r="D52" i="6" s="1"/>
  <c r="E52" i="6" s="1"/>
  <c r="C48" i="6"/>
  <c r="D47" i="6"/>
  <c r="E47" i="6"/>
  <c r="C47" i="6"/>
  <c r="D46" i="6"/>
  <c r="E46" i="6"/>
  <c r="F46" i="6" s="1"/>
  <c r="C46" i="6"/>
  <c r="D45" i="6"/>
  <c r="C45" i="6"/>
  <c r="D44" i="6"/>
  <c r="E44" i="6" s="1"/>
  <c r="F44" i="6" s="1"/>
  <c r="C44" i="6"/>
  <c r="D43" i="6"/>
  <c r="C43" i="6"/>
  <c r="E43" i="6" s="1"/>
  <c r="D42" i="6"/>
  <c r="E42" i="6"/>
  <c r="F42" i="6" s="1"/>
  <c r="C42" i="6"/>
  <c r="D41" i="6"/>
  <c r="C41" i="6"/>
  <c r="C52" i="6" s="1"/>
  <c r="D38" i="6"/>
  <c r="E38" i="6" s="1"/>
  <c r="C38" i="6"/>
  <c r="F37" i="6"/>
  <c r="E37" i="6"/>
  <c r="F36" i="6"/>
  <c r="E36" i="6"/>
  <c r="F35" i="6"/>
  <c r="E35" i="6"/>
  <c r="E34" i="6"/>
  <c r="F34" i="6" s="1"/>
  <c r="F33" i="6"/>
  <c r="E33" i="6"/>
  <c r="F32" i="6"/>
  <c r="E32" i="6"/>
  <c r="F31" i="6"/>
  <c r="E31" i="6"/>
  <c r="E30" i="6"/>
  <c r="F30" i="6" s="1"/>
  <c r="E29" i="6"/>
  <c r="F29" i="6" s="1"/>
  <c r="E28" i="6"/>
  <c r="F28" i="6" s="1"/>
  <c r="E27" i="6"/>
  <c r="F27" i="6" s="1"/>
  <c r="D25" i="6"/>
  <c r="E25" i="6"/>
  <c r="C25" i="6"/>
  <c r="F25" i="6" s="1"/>
  <c r="F24" i="6"/>
  <c r="E24" i="6"/>
  <c r="F23" i="6"/>
  <c r="E23" i="6"/>
  <c r="E22" i="6"/>
  <c r="F22" i="6" s="1"/>
  <c r="F21" i="6"/>
  <c r="E21" i="6"/>
  <c r="F20" i="6"/>
  <c r="E20" i="6"/>
  <c r="F19" i="6"/>
  <c r="E19" i="6"/>
  <c r="E18" i="6"/>
  <c r="F18" i="6" s="1"/>
  <c r="F17" i="6"/>
  <c r="E17" i="6"/>
  <c r="E16" i="6"/>
  <c r="F16" i="6" s="1"/>
  <c r="E15" i="6"/>
  <c r="F15" i="6" s="1"/>
  <c r="E14" i="6"/>
  <c r="F14" i="6" s="1"/>
  <c r="E51" i="5"/>
  <c r="F51" i="5" s="1"/>
  <c r="D48" i="5"/>
  <c r="E48" i="5" s="1"/>
  <c r="F48" i="5" s="1"/>
  <c r="C48" i="5"/>
  <c r="F47" i="5"/>
  <c r="E47" i="5"/>
  <c r="F46" i="5"/>
  <c r="E46" i="5"/>
  <c r="D41" i="5"/>
  <c r="E41" i="5" s="1"/>
  <c r="F41" i="5" s="1"/>
  <c r="C41" i="5"/>
  <c r="F40" i="5"/>
  <c r="E40" i="5"/>
  <c r="F39" i="5"/>
  <c r="E39" i="5"/>
  <c r="F38" i="5"/>
  <c r="E38" i="5"/>
  <c r="D33" i="5"/>
  <c r="E33" i="5" s="1"/>
  <c r="F33" i="5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0" i="5"/>
  <c r="E20" i="5"/>
  <c r="F19" i="5"/>
  <c r="E19" i="5"/>
  <c r="F17" i="5"/>
  <c r="E17" i="5"/>
  <c r="D16" i="5"/>
  <c r="D18" i="5" s="1"/>
  <c r="D21" i="5" s="1"/>
  <c r="C16" i="5"/>
  <c r="F15" i="5"/>
  <c r="E15" i="5"/>
  <c r="F14" i="5"/>
  <c r="E14" i="5"/>
  <c r="E13" i="5"/>
  <c r="F13" i="5" s="1"/>
  <c r="F12" i="5"/>
  <c r="E12" i="5"/>
  <c r="D73" i="4"/>
  <c r="E73" i="4" s="1"/>
  <c r="C73" i="4"/>
  <c r="E72" i="4"/>
  <c r="F72" i="4" s="1"/>
  <c r="F71" i="4"/>
  <c r="E71" i="4"/>
  <c r="E70" i="4"/>
  <c r="F70" i="4" s="1"/>
  <c r="F67" i="4"/>
  <c r="E67" i="4"/>
  <c r="E64" i="4"/>
  <c r="F64" i="4" s="1"/>
  <c r="F63" i="4"/>
  <c r="E63" i="4"/>
  <c r="D61" i="4"/>
  <c r="D65" i="4"/>
  <c r="C61" i="4"/>
  <c r="C65" i="4" s="1"/>
  <c r="F60" i="4"/>
  <c r="E60" i="4"/>
  <c r="F59" i="4"/>
  <c r="E59" i="4"/>
  <c r="D56" i="4"/>
  <c r="D75" i="4" s="1"/>
  <c r="E75" i="4" s="1"/>
  <c r="C56" i="4"/>
  <c r="C75" i="4"/>
  <c r="F55" i="4"/>
  <c r="E55" i="4"/>
  <c r="E54" i="4"/>
  <c r="F54" i="4"/>
  <c r="E53" i="4"/>
  <c r="F53" i="4" s="1"/>
  <c r="E52" i="4"/>
  <c r="F52" i="4"/>
  <c r="F51" i="4"/>
  <c r="E51" i="4"/>
  <c r="A54" i="4"/>
  <c r="A55" i="4" s="1"/>
  <c r="E50" i="4"/>
  <c r="F50" i="4" s="1"/>
  <c r="A50" i="4"/>
  <c r="A51" i="4" s="1"/>
  <c r="A52" i="4" s="1"/>
  <c r="A53" i="4" s="1"/>
  <c r="E49" i="4"/>
  <c r="F49" i="4" s="1"/>
  <c r="E40" i="4"/>
  <c r="F40" i="4" s="1"/>
  <c r="D38" i="4"/>
  <c r="D41" i="4"/>
  <c r="C38" i="4"/>
  <c r="C41" i="4" s="1"/>
  <c r="E37" i="4"/>
  <c r="F37" i="4" s="1"/>
  <c r="E36" i="4"/>
  <c r="F36" i="4" s="1"/>
  <c r="E33" i="4"/>
  <c r="F33" i="4" s="1"/>
  <c r="E32" i="4"/>
  <c r="F32" i="4" s="1"/>
  <c r="F31" i="4"/>
  <c r="E31" i="4"/>
  <c r="D29" i="4"/>
  <c r="C29" i="4"/>
  <c r="F28" i="4"/>
  <c r="E28" i="4"/>
  <c r="E27" i="4"/>
  <c r="F27" i="4" s="1"/>
  <c r="E26" i="4"/>
  <c r="F26" i="4" s="1"/>
  <c r="E25" i="4"/>
  <c r="F25" i="4" s="1"/>
  <c r="D22" i="4"/>
  <c r="C22" i="4"/>
  <c r="F21" i="4"/>
  <c r="E21" i="4"/>
  <c r="E20" i="4"/>
  <c r="F20" i="4" s="1"/>
  <c r="E19" i="4"/>
  <c r="F19" i="4" s="1"/>
  <c r="F18" i="4"/>
  <c r="E18" i="4"/>
  <c r="F17" i="4"/>
  <c r="E17" i="4"/>
  <c r="F16" i="4"/>
  <c r="E16" i="4"/>
  <c r="E15" i="4"/>
  <c r="F15" i="4" s="1"/>
  <c r="F14" i="4"/>
  <c r="E14" i="4"/>
  <c r="F13" i="4"/>
  <c r="E13" i="4"/>
  <c r="E108" i="22"/>
  <c r="C103" i="22"/>
  <c r="D22" i="22"/>
  <c r="D35" i="22" s="1"/>
  <c r="C23" i="22"/>
  <c r="E23" i="22"/>
  <c r="D33" i="22"/>
  <c r="C34" i="22"/>
  <c r="E34" i="22"/>
  <c r="C102" i="22"/>
  <c r="C22" i="22"/>
  <c r="C53" i="22" s="1"/>
  <c r="E22" i="22"/>
  <c r="E53" i="22" s="1"/>
  <c r="E223" i="17"/>
  <c r="F20" i="20"/>
  <c r="D41" i="20"/>
  <c r="D192" i="17"/>
  <c r="E19" i="20"/>
  <c r="F19" i="20" s="1"/>
  <c r="E43" i="20"/>
  <c r="E94" i="17"/>
  <c r="E95" i="17"/>
  <c r="F95" i="17" s="1"/>
  <c r="E298" i="17"/>
  <c r="E299" i="17"/>
  <c r="F299" i="17" s="1"/>
  <c r="E85" i="17"/>
  <c r="E129" i="17"/>
  <c r="E130" i="17"/>
  <c r="E135" i="17"/>
  <c r="F135" i="17" s="1"/>
  <c r="E145" i="17"/>
  <c r="E155" i="17"/>
  <c r="E164" i="17"/>
  <c r="E170" i="17"/>
  <c r="E180" i="17"/>
  <c r="C22" i="18"/>
  <c r="E32" i="18"/>
  <c r="E36" i="18"/>
  <c r="E157" i="18"/>
  <c r="E229" i="17"/>
  <c r="F229" i="17" s="1"/>
  <c r="E230" i="17"/>
  <c r="F230" i="17" s="1"/>
  <c r="E238" i="17"/>
  <c r="E294" i="17"/>
  <c r="E295" i="17"/>
  <c r="F295" i="17" s="1"/>
  <c r="E296" i="17"/>
  <c r="E297" i="17"/>
  <c r="F297" i="17" s="1"/>
  <c r="E21" i="18"/>
  <c r="E37" i="18"/>
  <c r="D55" i="18"/>
  <c r="E54" i="18"/>
  <c r="D289" i="18"/>
  <c r="E289" i="18" s="1"/>
  <c r="D71" i="18"/>
  <c r="D76" i="18" s="1"/>
  <c r="D77" i="18" s="1"/>
  <c r="E71" i="18"/>
  <c r="D65" i="18"/>
  <c r="E60" i="18"/>
  <c r="E69" i="18"/>
  <c r="E139" i="18"/>
  <c r="D144" i="18"/>
  <c r="D180" i="18" s="1"/>
  <c r="C156" i="18"/>
  <c r="C157" i="18"/>
  <c r="E156" i="18"/>
  <c r="E163" i="18"/>
  <c r="D175" i="18"/>
  <c r="E175" i="18" s="1"/>
  <c r="C229" i="18"/>
  <c r="C210" i="18"/>
  <c r="C211" i="18" s="1"/>
  <c r="C235" i="18" s="1"/>
  <c r="E205" i="18"/>
  <c r="E242" i="18"/>
  <c r="E243" i="18"/>
  <c r="E244" i="18"/>
  <c r="D252" i="18"/>
  <c r="E302" i="18"/>
  <c r="C303" i="18"/>
  <c r="C306" i="18"/>
  <c r="E306" i="18" s="1"/>
  <c r="C310" i="18"/>
  <c r="E310" i="18" s="1"/>
  <c r="C261" i="18"/>
  <c r="C189" i="18"/>
  <c r="E188" i="18"/>
  <c r="D260" i="18"/>
  <c r="E195" i="18"/>
  <c r="E229" i="18"/>
  <c r="C253" i="18"/>
  <c r="E303" i="18"/>
  <c r="D306" i="18"/>
  <c r="D320" i="18"/>
  <c r="E320" i="18"/>
  <c r="E316" i="18"/>
  <c r="E326" i="18"/>
  <c r="D330" i="18"/>
  <c r="E330" i="18"/>
  <c r="D211" i="18"/>
  <c r="E215" i="18"/>
  <c r="C217" i="18"/>
  <c r="C241" i="18"/>
  <c r="E219" i="18"/>
  <c r="E221" i="18"/>
  <c r="D222" i="18"/>
  <c r="D223" i="18"/>
  <c r="C252" i="18"/>
  <c r="E265" i="18"/>
  <c r="E314" i="18"/>
  <c r="E216" i="18"/>
  <c r="E218" i="18"/>
  <c r="E220" i="18"/>
  <c r="C222" i="18"/>
  <c r="C246" i="18"/>
  <c r="E233" i="18"/>
  <c r="E251" i="18"/>
  <c r="E301" i="18"/>
  <c r="E324" i="18"/>
  <c r="D32" i="17"/>
  <c r="E31" i="17"/>
  <c r="D160" i="17"/>
  <c r="D90" i="17"/>
  <c r="E90" i="17" s="1"/>
  <c r="F90" i="17" s="1"/>
  <c r="E48" i="17"/>
  <c r="F48" i="17" s="1"/>
  <c r="D61" i="17"/>
  <c r="D139" i="17" s="1"/>
  <c r="E60" i="17"/>
  <c r="F60" i="17" s="1"/>
  <c r="E77" i="17"/>
  <c r="E89" i="17"/>
  <c r="F89" i="17" s="1"/>
  <c r="C103" i="17"/>
  <c r="F111" i="17"/>
  <c r="C194" i="17"/>
  <c r="D207" i="17"/>
  <c r="D208" i="17" s="1"/>
  <c r="E137" i="17"/>
  <c r="F137" i="17" s="1"/>
  <c r="D138" i="17"/>
  <c r="E159" i="17"/>
  <c r="E172" i="17"/>
  <c r="D173" i="17"/>
  <c r="E181" i="17"/>
  <c r="F31" i="17"/>
  <c r="C32" i="17"/>
  <c r="C160" i="17"/>
  <c r="C90" i="17"/>
  <c r="C61" i="17"/>
  <c r="E102" i="17"/>
  <c r="F102" i="17"/>
  <c r="D103" i="17"/>
  <c r="E103" i="17"/>
  <c r="C138" i="17"/>
  <c r="E138" i="17" s="1"/>
  <c r="C173" i="17"/>
  <c r="E173" i="17" s="1"/>
  <c r="F173" i="17"/>
  <c r="F172" i="17"/>
  <c r="C282" i="17"/>
  <c r="C266" i="17"/>
  <c r="C21" i="17"/>
  <c r="E30" i="17"/>
  <c r="F30" i="17" s="1"/>
  <c r="E35" i="17"/>
  <c r="F35" i="17"/>
  <c r="C37" i="17"/>
  <c r="E47" i="17"/>
  <c r="F47" i="17" s="1"/>
  <c r="E59" i="17"/>
  <c r="F59" i="17"/>
  <c r="E76" i="17"/>
  <c r="F76" i="17"/>
  <c r="F85" i="17"/>
  <c r="F94" i="17"/>
  <c r="F100" i="17"/>
  <c r="F110" i="17"/>
  <c r="F120" i="17"/>
  <c r="D124" i="17"/>
  <c r="D125" i="17" s="1"/>
  <c r="E125" i="17" s="1"/>
  <c r="F125" i="17" s="1"/>
  <c r="F129" i="17"/>
  <c r="F130" i="17"/>
  <c r="F145" i="17"/>
  <c r="F155" i="17"/>
  <c r="F158" i="17"/>
  <c r="F164" i="17"/>
  <c r="F165" i="17"/>
  <c r="F170" i="17"/>
  <c r="F171" i="17"/>
  <c r="F179" i="17"/>
  <c r="F180" i="17"/>
  <c r="D277" i="17"/>
  <c r="D261" i="17"/>
  <c r="D214" i="17"/>
  <c r="D206" i="17"/>
  <c r="D278" i="17"/>
  <c r="D262" i="17"/>
  <c r="D272" i="17" s="1"/>
  <c r="D215" i="17"/>
  <c r="D190" i="17"/>
  <c r="E190" i="17"/>
  <c r="D280" i="17"/>
  <c r="D264" i="17"/>
  <c r="D200" i="17"/>
  <c r="E200" i="17" s="1"/>
  <c r="F200" i="17" s="1"/>
  <c r="D193" i="17"/>
  <c r="D282" i="17"/>
  <c r="E282" i="17" s="1"/>
  <c r="F282" i="17" s="1"/>
  <c r="C290" i="17"/>
  <c r="C274" i="17"/>
  <c r="E198" i="17"/>
  <c r="F198" i="17" s="1"/>
  <c r="E227" i="17"/>
  <c r="F227" i="17"/>
  <c r="F239" i="17"/>
  <c r="D21" i="17"/>
  <c r="E88" i="17"/>
  <c r="F88" i="17"/>
  <c r="E101" i="17"/>
  <c r="F101" i="17" s="1"/>
  <c r="E109" i="17"/>
  <c r="F109" i="17" s="1"/>
  <c r="E123" i="17"/>
  <c r="F123" i="17" s="1"/>
  <c r="C124" i="17"/>
  <c r="C125" i="17" s="1"/>
  <c r="E136" i="17"/>
  <c r="F136" i="17"/>
  <c r="E144" i="17"/>
  <c r="F144" i="17" s="1"/>
  <c r="E158" i="17"/>
  <c r="E171" i="17"/>
  <c r="E179" i="17"/>
  <c r="C277" i="17"/>
  <c r="C254" i="17"/>
  <c r="C214" i="17"/>
  <c r="C278" i="17"/>
  <c r="C262" i="17"/>
  <c r="C255" i="17"/>
  <c r="C215" i="17"/>
  <c r="E189" i="17"/>
  <c r="F189" i="17" s="1"/>
  <c r="C190" i="17"/>
  <c r="C280" i="17"/>
  <c r="C264" i="17"/>
  <c r="E191" i="17"/>
  <c r="F191" i="17" s="1"/>
  <c r="C192" i="17"/>
  <c r="C199" i="17"/>
  <c r="C200" i="17"/>
  <c r="C283" i="17"/>
  <c r="C286" i="17" s="1"/>
  <c r="C205" i="17"/>
  <c r="E203" i="17"/>
  <c r="F203" i="17"/>
  <c r="D290" i="17"/>
  <c r="D274" i="17"/>
  <c r="D199" i="17"/>
  <c r="E199" i="17" s="1"/>
  <c r="D285" i="17"/>
  <c r="D286" i="17" s="1"/>
  <c r="E285" i="17"/>
  <c r="F285" i="17"/>
  <c r="D269" i="17"/>
  <c r="E269" i="17" s="1"/>
  <c r="F269" i="17" s="1"/>
  <c r="D205" i="17"/>
  <c r="F223" i="17"/>
  <c r="F238" i="17"/>
  <c r="E306" i="17"/>
  <c r="D267" i="17"/>
  <c r="E204" i="17"/>
  <c r="F204" i="17" s="1"/>
  <c r="E226" i="17"/>
  <c r="F226" i="17"/>
  <c r="E237" i="17"/>
  <c r="F237" i="17" s="1"/>
  <c r="E250" i="17"/>
  <c r="F250" i="17"/>
  <c r="C269" i="17"/>
  <c r="F294" i="17"/>
  <c r="F296" i="17"/>
  <c r="F298" i="17"/>
  <c r="F107" i="15"/>
  <c r="F36" i="14"/>
  <c r="F38" i="14" s="1"/>
  <c r="F40" i="14" s="1"/>
  <c r="I31" i="14"/>
  <c r="I17" i="14"/>
  <c r="D31" i="14"/>
  <c r="F31" i="14"/>
  <c r="H31" i="14"/>
  <c r="C33" i="14"/>
  <c r="C36" i="14" s="1"/>
  <c r="C38" i="14"/>
  <c r="C40" i="14" s="1"/>
  <c r="E33" i="14"/>
  <c r="E36" i="14"/>
  <c r="E38" i="14" s="1"/>
  <c r="E40" i="14" s="1"/>
  <c r="G33" i="14"/>
  <c r="G36" i="14" s="1"/>
  <c r="G38" i="14" s="1"/>
  <c r="H17" i="14"/>
  <c r="C21" i="13"/>
  <c r="D15" i="13"/>
  <c r="C17" i="13"/>
  <c r="C28" i="13" s="1"/>
  <c r="E17" i="13"/>
  <c r="E28" i="13" s="1"/>
  <c r="E70" i="13" s="1"/>
  <c r="E72" i="13" s="1"/>
  <c r="E69" i="13" s="1"/>
  <c r="D48" i="13"/>
  <c r="D42" i="13" s="1"/>
  <c r="C20" i="12"/>
  <c r="D17" i="12"/>
  <c r="E17" i="12" s="1"/>
  <c r="E41" i="11"/>
  <c r="F65" i="11"/>
  <c r="F41" i="11"/>
  <c r="E22" i="11"/>
  <c r="F22" i="11" s="1"/>
  <c r="E38" i="11"/>
  <c r="F38" i="11" s="1"/>
  <c r="E56" i="11"/>
  <c r="F56" i="11"/>
  <c r="E61" i="11"/>
  <c r="F61" i="11"/>
  <c r="F120" i="10"/>
  <c r="E112" i="10"/>
  <c r="F112" i="10" s="1"/>
  <c r="E113" i="10"/>
  <c r="F113" i="10"/>
  <c r="E198" i="9"/>
  <c r="F198" i="9" s="1"/>
  <c r="E199" i="9"/>
  <c r="F199" i="9" s="1"/>
  <c r="D137" i="8"/>
  <c r="D135" i="8"/>
  <c r="D140" i="8"/>
  <c r="D138" i="8"/>
  <c r="C157" i="8"/>
  <c r="C155" i="8"/>
  <c r="C153" i="8"/>
  <c r="C156" i="8"/>
  <c r="C154" i="8"/>
  <c r="C152" i="8"/>
  <c r="C158" i="8" s="1"/>
  <c r="E157" i="8"/>
  <c r="E158" i="8" s="1"/>
  <c r="E153" i="8"/>
  <c r="E156" i="8"/>
  <c r="E154" i="8"/>
  <c r="E152" i="8"/>
  <c r="D15" i="8"/>
  <c r="D17" i="8" s="1"/>
  <c r="C43" i="8"/>
  <c r="D49" i="8"/>
  <c r="C53" i="8"/>
  <c r="E53" i="8"/>
  <c r="D57" i="8"/>
  <c r="D62" i="8" s="1"/>
  <c r="D77" i="8"/>
  <c r="D71" i="8"/>
  <c r="D43" i="8"/>
  <c r="C49" i="8"/>
  <c r="E49" i="8"/>
  <c r="C77" i="8"/>
  <c r="C71" i="8"/>
  <c r="E77" i="8"/>
  <c r="F90" i="7"/>
  <c r="E41" i="6"/>
  <c r="E84" i="6"/>
  <c r="F84" i="6"/>
  <c r="E16" i="5"/>
  <c r="F75" i="4"/>
  <c r="E56" i="4"/>
  <c r="F56" i="4"/>
  <c r="E45" i="22"/>
  <c r="E39" i="22"/>
  <c r="E35" i="22"/>
  <c r="E29" i="22"/>
  <c r="C54" i="22"/>
  <c r="C46" i="22"/>
  <c r="C40" i="22"/>
  <c r="C36" i="22"/>
  <c r="C30" i="22"/>
  <c r="C48" i="22" s="1"/>
  <c r="C45" i="22"/>
  <c r="C39" i="22"/>
  <c r="C35" i="22"/>
  <c r="C29" i="22"/>
  <c r="E40" i="22"/>
  <c r="E36" i="22"/>
  <c r="D53" i="22"/>
  <c r="D45" i="22"/>
  <c r="D39" i="22"/>
  <c r="D29" i="22"/>
  <c r="F43" i="20"/>
  <c r="E210" i="18"/>
  <c r="E260" i="18"/>
  <c r="D168" i="18"/>
  <c r="D310" i="18"/>
  <c r="D294" i="18"/>
  <c r="C281" i="17"/>
  <c r="E283" i="17"/>
  <c r="E274" i="17"/>
  <c r="E280" i="17"/>
  <c r="F280" i="17" s="1"/>
  <c r="E215" i="17"/>
  <c r="F215" i="17" s="1"/>
  <c r="D255" i="17"/>
  <c r="E255" i="17"/>
  <c r="F255" i="17"/>
  <c r="D254" i="17"/>
  <c r="D216" i="17"/>
  <c r="C161" i="17"/>
  <c r="C126" i="17"/>
  <c r="C91" i="17"/>
  <c r="C196" i="17"/>
  <c r="C49" i="17"/>
  <c r="E192" i="17"/>
  <c r="C175" i="17"/>
  <c r="C105" i="17"/>
  <c r="F103" i="17"/>
  <c r="F199" i="17"/>
  <c r="C287" i="17"/>
  <c r="F274" i="17"/>
  <c r="D300" i="17"/>
  <c r="D271" i="17"/>
  <c r="C208" i="17"/>
  <c r="C210" i="17" s="1"/>
  <c r="C209" i="17"/>
  <c r="E207" i="17"/>
  <c r="D174" i="17"/>
  <c r="D104" i="17"/>
  <c r="E160" i="17"/>
  <c r="D62" i="17"/>
  <c r="D63" i="17" s="1"/>
  <c r="D175" i="17"/>
  <c r="D140" i="17"/>
  <c r="D105" i="17"/>
  <c r="E32" i="17"/>
  <c r="F32" i="17"/>
  <c r="G40" i="14"/>
  <c r="I33" i="14"/>
  <c r="I36" i="14" s="1"/>
  <c r="I38" i="14" s="1"/>
  <c r="I40" i="14" s="1"/>
  <c r="H33" i="14"/>
  <c r="H36" i="14" s="1"/>
  <c r="H38" i="14" s="1"/>
  <c r="H40" i="14" s="1"/>
  <c r="D24" i="13"/>
  <c r="D17" i="13"/>
  <c r="D28" i="13"/>
  <c r="C34" i="12"/>
  <c r="C42" i="12" s="1"/>
  <c r="C49" i="12" s="1"/>
  <c r="F17" i="12"/>
  <c r="D20" i="12"/>
  <c r="D34" i="12" s="1"/>
  <c r="D42" i="12" s="1"/>
  <c r="D55" i="22"/>
  <c r="C55" i="22"/>
  <c r="C47" i="22"/>
  <c r="E55" i="22"/>
  <c r="E47" i="22"/>
  <c r="E37" i="22"/>
  <c r="D127" i="18"/>
  <c r="D125" i="18"/>
  <c r="D121" i="18"/>
  <c r="D114" i="18"/>
  <c r="D112" i="18"/>
  <c r="D110" i="18"/>
  <c r="D126" i="18"/>
  <c r="D124" i="18"/>
  <c r="D122" i="18"/>
  <c r="D115" i="18"/>
  <c r="D111" i="18"/>
  <c r="D109" i="18"/>
  <c r="E105" i="17"/>
  <c r="D106" i="17"/>
  <c r="D176" i="17"/>
  <c r="D141" i="17"/>
  <c r="C92" i="17"/>
  <c r="C162" i="17"/>
  <c r="E286" i="17"/>
  <c r="F286" i="17" s="1"/>
  <c r="C50" i="17"/>
  <c r="C127" i="17"/>
  <c r="D70" i="13"/>
  <c r="D72" i="13" s="1"/>
  <c r="D69" i="13" s="1"/>
  <c r="E20" i="12"/>
  <c r="F20" i="12"/>
  <c r="D322" i="17"/>
  <c r="C197" i="17"/>
  <c r="E34" i="12"/>
  <c r="D49" i="12"/>
  <c r="E49" i="12"/>
  <c r="D28" i="8" l="1"/>
  <c r="D112" i="8"/>
  <c r="D111" i="8" s="1"/>
  <c r="E41" i="4"/>
  <c r="F41" i="4" s="1"/>
  <c r="E174" i="17"/>
  <c r="F175" i="17"/>
  <c r="C176" i="17"/>
  <c r="F176" i="17" s="1"/>
  <c r="E272" i="17"/>
  <c r="D235" i="18"/>
  <c r="E235" i="18" s="1"/>
  <c r="E211" i="18"/>
  <c r="D157" i="8"/>
  <c r="D152" i="8"/>
  <c r="D156" i="8"/>
  <c r="D153" i="8"/>
  <c r="D154" i="8"/>
  <c r="D155" i="8"/>
  <c r="C289" i="17"/>
  <c r="D126" i="17"/>
  <c r="D49" i="17"/>
  <c r="E21" i="17"/>
  <c r="F21" i="17" s="1"/>
  <c r="D161" i="17"/>
  <c r="D196" i="17"/>
  <c r="D91" i="17"/>
  <c r="E223" i="18"/>
  <c r="E65" i="18"/>
  <c r="D66" i="18"/>
  <c r="D246" i="18"/>
  <c r="E246" i="18" s="1"/>
  <c r="C188" i="7"/>
  <c r="F183" i="7"/>
  <c r="F24" i="10"/>
  <c r="E24" i="10"/>
  <c r="D304" i="17"/>
  <c r="D273" i="17"/>
  <c r="C223" i="18"/>
  <c r="C247" i="18" s="1"/>
  <c r="E222" i="18"/>
  <c r="E188" i="7"/>
  <c r="E201" i="9"/>
  <c r="D208" i="9"/>
  <c r="E208" i="9" s="1"/>
  <c r="F208" i="9" s="1"/>
  <c r="F47" i="10"/>
  <c r="E47" i="10"/>
  <c r="D22" i="13"/>
  <c r="D21" i="13"/>
  <c r="C291" i="17"/>
  <c r="E175" i="17"/>
  <c r="D20" i="13"/>
  <c r="F205" i="17"/>
  <c r="C43" i="4"/>
  <c r="F87" i="6"/>
  <c r="D37" i="22"/>
  <c r="D112" i="22"/>
  <c r="E76" i="9"/>
  <c r="F76" i="9" s="1"/>
  <c r="C254" i="18"/>
  <c r="E252" i="18"/>
  <c r="D108" i="22"/>
  <c r="D109" i="22"/>
  <c r="D110" i="22"/>
  <c r="C183" i="17"/>
  <c r="F183" i="17" s="1"/>
  <c r="F162" i="17"/>
  <c r="C300" i="17"/>
  <c r="C265" i="17"/>
  <c r="F24" i="7"/>
  <c r="C139" i="17"/>
  <c r="C104" i="17"/>
  <c r="E61" i="17"/>
  <c r="F61" i="17"/>
  <c r="E38" i="4"/>
  <c r="F38" i="4" s="1"/>
  <c r="F52" i="6"/>
  <c r="C86" i="8"/>
  <c r="E139" i="8"/>
  <c r="E136" i="8"/>
  <c r="E140" i="8"/>
  <c r="E138" i="8"/>
  <c r="E135" i="8"/>
  <c r="E137" i="8"/>
  <c r="F49" i="12"/>
  <c r="C279" i="17"/>
  <c r="E278" i="17"/>
  <c r="F278" i="17" s="1"/>
  <c r="C70" i="13"/>
  <c r="C72" i="13" s="1"/>
  <c r="C69" i="13" s="1"/>
  <c r="C22" i="13"/>
  <c r="F30" i="7"/>
  <c r="E109" i="22"/>
  <c r="E110" i="22"/>
  <c r="D24" i="8"/>
  <c r="D20" i="8" s="1"/>
  <c r="F42" i="12"/>
  <c r="E111" i="22"/>
  <c r="E22" i="4"/>
  <c r="F22" i="4" s="1"/>
  <c r="D43" i="4"/>
  <c r="E137" i="6"/>
  <c r="F137" i="6"/>
  <c r="F209" i="17"/>
  <c r="D210" i="17"/>
  <c r="D209" i="17"/>
  <c r="E209" i="17" s="1"/>
  <c r="E208" i="17"/>
  <c r="D101" i="22"/>
  <c r="D103" i="22" s="1"/>
  <c r="E176" i="17"/>
  <c r="C288" i="17"/>
  <c r="C38" i="22"/>
  <c r="C56" i="22"/>
  <c r="C216" i="17"/>
  <c r="C304" i="17"/>
  <c r="E214" i="17"/>
  <c r="F214" i="17" s="1"/>
  <c r="D35" i="5"/>
  <c r="E24" i="7"/>
  <c r="F95" i="10"/>
  <c r="E95" i="10"/>
  <c r="F264" i="17"/>
  <c r="F281" i="17"/>
  <c r="E264" i="17"/>
  <c r="C62" i="17"/>
  <c r="D270" i="17"/>
  <c r="D284" i="17"/>
  <c r="E277" i="17"/>
  <c r="F277" i="17" s="1"/>
  <c r="D287" i="17"/>
  <c r="D279" i="17"/>
  <c r="E279" i="17" s="1"/>
  <c r="E42" i="12"/>
  <c r="F208" i="17"/>
  <c r="D116" i="18"/>
  <c r="D47" i="22"/>
  <c r="C174" i="17"/>
  <c r="F105" i="17"/>
  <c r="C106" i="17"/>
  <c r="C37" i="22"/>
  <c r="E183" i="7"/>
  <c r="E48" i="6"/>
  <c r="F48" i="6" s="1"/>
  <c r="E51" i="6"/>
  <c r="E95" i="7"/>
  <c r="F130" i="7"/>
  <c r="E130" i="7"/>
  <c r="E193" i="9"/>
  <c r="F193" i="9"/>
  <c r="F96" i="10"/>
  <c r="E96" i="10"/>
  <c r="E234" i="18"/>
  <c r="C37" i="19"/>
  <c r="C38" i="19" s="1"/>
  <c r="C127" i="19" s="1"/>
  <c r="C129" i="19" s="1"/>
  <c r="C133" i="19" s="1"/>
  <c r="C22" i="19"/>
  <c r="F22" i="20"/>
  <c r="E25" i="20"/>
  <c r="F21" i="21"/>
  <c r="E124" i="17"/>
  <c r="F124" i="17" s="1"/>
  <c r="E267" i="17"/>
  <c r="F267" i="17" s="1"/>
  <c r="F138" i="17"/>
  <c r="E61" i="4"/>
  <c r="F61" i="4" s="1"/>
  <c r="D266" i="17"/>
  <c r="D194" i="17"/>
  <c r="E193" i="17"/>
  <c r="F193" i="17" s="1"/>
  <c r="D288" i="17"/>
  <c r="E288" i="17" s="1"/>
  <c r="D123" i="18"/>
  <c r="D113" i="18"/>
  <c r="E101" i="9"/>
  <c r="F101" i="9" s="1"/>
  <c r="C68" i="17"/>
  <c r="E66" i="17"/>
  <c r="F66" i="17" s="1"/>
  <c r="F160" i="17"/>
  <c r="E262" i="17"/>
  <c r="F262" i="17" s="1"/>
  <c r="D145" i="18"/>
  <c r="D253" i="18"/>
  <c r="E253" i="18" s="1"/>
  <c r="C284" i="18"/>
  <c r="E22" i="18"/>
  <c r="E46" i="22"/>
  <c r="E30" i="22"/>
  <c r="F41" i="6"/>
  <c r="F111" i="6"/>
  <c r="C25" i="8"/>
  <c r="C27" i="8" s="1"/>
  <c r="C15" i="8"/>
  <c r="F207" i="17"/>
  <c r="C206" i="17"/>
  <c r="C261" i="17"/>
  <c r="E188" i="17"/>
  <c r="F188" i="17" s="1"/>
  <c r="C270" i="17"/>
  <c r="D263" i="17"/>
  <c r="C234" i="18"/>
  <c r="F192" i="17"/>
  <c r="D254" i="18"/>
  <c r="E254" i="18" s="1"/>
  <c r="F29" i="4"/>
  <c r="E59" i="7"/>
  <c r="F59" i="7" s="1"/>
  <c r="C149" i="8"/>
  <c r="E37" i="9"/>
  <c r="F190" i="17"/>
  <c r="F43" i="6"/>
  <c r="F49" i="6"/>
  <c r="F88" i="6"/>
  <c r="C95" i="6"/>
  <c r="E88" i="6"/>
  <c r="C95" i="7"/>
  <c r="E254" i="17"/>
  <c r="F254" i="17" s="1"/>
  <c r="F34" i="12"/>
  <c r="E104" i="17"/>
  <c r="C284" i="17"/>
  <c r="F283" i="17"/>
  <c r="E54" i="22"/>
  <c r="E290" i="17"/>
  <c r="F290" i="17" s="1"/>
  <c r="C272" i="17"/>
  <c r="D281" i="17"/>
  <c r="E281" i="17" s="1"/>
  <c r="D268" i="17"/>
  <c r="C195" i="17"/>
  <c r="E55" i="18"/>
  <c r="D284" i="18"/>
  <c r="E29" i="4"/>
  <c r="F73" i="4"/>
  <c r="F90" i="6"/>
  <c r="D136" i="8"/>
  <c r="D141" i="8" s="1"/>
  <c r="D139" i="8"/>
  <c r="E58" i="17"/>
  <c r="F58" i="17"/>
  <c r="E112" i="22"/>
  <c r="C18" i="5"/>
  <c r="F16" i="5"/>
  <c r="F47" i="6"/>
  <c r="F68" i="6"/>
  <c r="F91" i="6"/>
  <c r="F63" i="9"/>
  <c r="E63" i="9"/>
  <c r="E114" i="9"/>
  <c r="F114" i="9"/>
  <c r="E27" i="13"/>
  <c r="E161" i="18"/>
  <c r="E174" i="18"/>
  <c r="F86" i="6"/>
  <c r="F166" i="6"/>
  <c r="F50" i="9"/>
  <c r="E50" i="9"/>
  <c r="C39" i="20"/>
  <c r="F25" i="20"/>
  <c r="F89" i="6"/>
  <c r="E109" i="8"/>
  <c r="E106" i="8" s="1"/>
  <c r="E205" i="17"/>
  <c r="C140" i="17"/>
  <c r="E65" i="4"/>
  <c r="F65" i="4" s="1"/>
  <c r="E45" i="6"/>
  <c r="F45" i="6" s="1"/>
  <c r="F92" i="6"/>
  <c r="E167" i="7"/>
  <c r="F167" i="7"/>
  <c r="F140" i="9"/>
  <c r="E140" i="9"/>
  <c r="C122" i="10"/>
  <c r="E15" i="8"/>
  <c r="E121" i="10"/>
  <c r="E115" i="10"/>
  <c r="F115" i="10" s="1"/>
  <c r="F119" i="10"/>
  <c r="E21" i="21"/>
  <c r="F71" i="10"/>
  <c r="E71" i="10"/>
  <c r="E116" i="10"/>
  <c r="F116" i="10" s="1"/>
  <c r="E16" i="15"/>
  <c r="F16" i="15" s="1"/>
  <c r="E40" i="18"/>
  <c r="F38" i="6"/>
  <c r="E68" i="6"/>
  <c r="E30" i="7"/>
  <c r="E207" i="9"/>
  <c r="F207" i="9" s="1"/>
  <c r="C294" i="18"/>
  <c r="E294" i="18" s="1"/>
  <c r="C33" i="18"/>
  <c r="D43" i="18"/>
  <c r="C77" i="18"/>
  <c r="D189" i="18"/>
  <c r="E189" i="18" s="1"/>
  <c r="D261" i="18"/>
  <c r="E261" i="18" s="1"/>
  <c r="D23" i="22"/>
  <c r="D34" i="22"/>
  <c r="F75" i="9"/>
  <c r="F192" i="9"/>
  <c r="E122" i="10"/>
  <c r="F100" i="15"/>
  <c r="F20" i="17"/>
  <c r="E53" i="17"/>
  <c r="F53" i="17"/>
  <c r="D46" i="20"/>
  <c r="E119" i="10"/>
  <c r="F17" i="17"/>
  <c r="C146" i="17"/>
  <c r="E162" i="18"/>
  <c r="D217" i="18"/>
  <c r="E232" i="18"/>
  <c r="F16" i="20"/>
  <c r="D88" i="22"/>
  <c r="F117" i="10"/>
  <c r="F21" i="16"/>
  <c r="F44" i="17"/>
  <c r="C144" i="18"/>
  <c r="E164" i="18"/>
  <c r="F201" i="9"/>
  <c r="F72" i="10"/>
  <c r="E72" i="10"/>
  <c r="C121" i="10"/>
  <c r="F73" i="11"/>
  <c r="F40" i="12"/>
  <c r="E13" i="16"/>
  <c r="F13" i="16" s="1"/>
  <c r="D37" i="17"/>
  <c r="E37" i="17" s="1"/>
  <c r="F37" i="17" s="1"/>
  <c r="C44" i="18"/>
  <c r="C76" i="18"/>
  <c r="E44" i="20"/>
  <c r="E46" i="20" s="1"/>
  <c r="F46" i="20" s="1"/>
  <c r="C77" i="22"/>
  <c r="E114" i="10"/>
  <c r="F114" i="10" s="1"/>
  <c r="C43" i="11"/>
  <c r="F29" i="11"/>
  <c r="F15" i="12"/>
  <c r="F32" i="12"/>
  <c r="C61" i="13"/>
  <c r="C57" i="13" s="1"/>
  <c r="E42" i="13"/>
  <c r="D80" i="13"/>
  <c r="D77" i="13" s="1"/>
  <c r="F23" i="15"/>
  <c r="F50" i="15"/>
  <c r="F65" i="15"/>
  <c r="F36" i="17"/>
  <c r="D283" i="18"/>
  <c r="E283" i="18" s="1"/>
  <c r="D241" i="18" l="1"/>
  <c r="E241" i="18" s="1"/>
  <c r="E217" i="18"/>
  <c r="C136" i="8"/>
  <c r="C135" i="8"/>
  <c r="C140" i="8"/>
  <c r="C139" i="8"/>
  <c r="C137" i="8"/>
  <c r="C138" i="8"/>
  <c r="C305" i="17"/>
  <c r="F304" i="17"/>
  <c r="D259" i="18"/>
  <c r="E43" i="18"/>
  <c r="C110" i="22"/>
  <c r="C109" i="22"/>
  <c r="C111" i="22"/>
  <c r="C108" i="22"/>
  <c r="C295" i="18"/>
  <c r="E33" i="18"/>
  <c r="E206" i="17"/>
  <c r="F206" i="17"/>
  <c r="D195" i="17"/>
  <c r="E195" i="17" s="1"/>
  <c r="E194" i="17"/>
  <c r="F194" i="17" s="1"/>
  <c r="E43" i="4"/>
  <c r="F43" i="4" s="1"/>
  <c r="E300" i="17"/>
  <c r="F300" i="17"/>
  <c r="F188" i="7"/>
  <c r="D162" i="17"/>
  <c r="E161" i="17"/>
  <c r="F161" i="17" s="1"/>
  <c r="F122" i="10"/>
  <c r="E68" i="17"/>
  <c r="F68" i="17" s="1"/>
  <c r="D265" i="17"/>
  <c r="E265" i="17" s="1"/>
  <c r="E266" i="17"/>
  <c r="F266" i="17" s="1"/>
  <c r="E284" i="17"/>
  <c r="C113" i="22"/>
  <c r="C180" i="18"/>
  <c r="E180" i="18" s="1"/>
  <c r="C145" i="18"/>
  <c r="C168" i="18"/>
  <c r="E168" i="18" s="1"/>
  <c r="E261" i="17"/>
  <c r="F261" i="17" s="1"/>
  <c r="C268" i="17"/>
  <c r="C263" i="17"/>
  <c r="C271" i="17"/>
  <c r="F174" i="17"/>
  <c r="D197" i="17"/>
  <c r="E197" i="17" s="1"/>
  <c r="F197" i="17" s="1"/>
  <c r="E196" i="17"/>
  <c r="F196" i="17" s="1"/>
  <c r="C259" i="18"/>
  <c r="C263" i="18" s="1"/>
  <c r="E76" i="18"/>
  <c r="E22" i="13"/>
  <c r="E20" i="13"/>
  <c r="E21" i="13"/>
  <c r="D117" i="18"/>
  <c r="F104" i="17"/>
  <c r="E304" i="17"/>
  <c r="D295" i="18"/>
  <c r="E66" i="18"/>
  <c r="E49" i="17"/>
  <c r="F49" i="17" s="1"/>
  <c r="D50" i="17"/>
  <c r="F106" i="17"/>
  <c r="C324" i="17"/>
  <c r="C124" i="18"/>
  <c r="E124" i="18" s="1"/>
  <c r="C127" i="18"/>
  <c r="E127" i="18" s="1"/>
  <c r="C126" i="18"/>
  <c r="E126" i="18" s="1"/>
  <c r="C125" i="18"/>
  <c r="E125" i="18" s="1"/>
  <c r="C115" i="18"/>
  <c r="E115" i="18" s="1"/>
  <c r="C112" i="18"/>
  <c r="E112" i="18" s="1"/>
  <c r="C113" i="18"/>
  <c r="E113" i="18" s="1"/>
  <c r="C110" i="18"/>
  <c r="C111" i="18"/>
  <c r="E111" i="18" s="1"/>
  <c r="C109" i="18"/>
  <c r="C123" i="18"/>
  <c r="E123" i="18" s="1"/>
  <c r="C121" i="18"/>
  <c r="C122" i="18"/>
  <c r="C114" i="18"/>
  <c r="E114" i="18" s="1"/>
  <c r="F195" i="17"/>
  <c r="D92" i="17"/>
  <c r="E91" i="17"/>
  <c r="F91" i="17" s="1"/>
  <c r="F146" i="17"/>
  <c r="E146" i="17"/>
  <c r="D291" i="17"/>
  <c r="D289" i="17"/>
  <c r="E289" i="17" s="1"/>
  <c r="F289" i="17" s="1"/>
  <c r="E287" i="17"/>
  <c r="F287" i="17" s="1"/>
  <c r="F265" i="17"/>
  <c r="C41" i="20"/>
  <c r="E39" i="20"/>
  <c r="E41" i="20" s="1"/>
  <c r="C112" i="22"/>
  <c r="D44" i="18"/>
  <c r="F95" i="7"/>
  <c r="C21" i="8"/>
  <c r="C323" i="17"/>
  <c r="F323" i="17" s="1"/>
  <c r="E126" i="17"/>
  <c r="F126" i="17" s="1"/>
  <c r="D127" i="17"/>
  <c r="F95" i="6"/>
  <c r="E106" i="17"/>
  <c r="E43" i="11"/>
  <c r="F43" i="11" s="1"/>
  <c r="F284" i="17"/>
  <c r="C113" i="17"/>
  <c r="E56" i="22"/>
  <c r="E48" i="22"/>
  <c r="E38" i="22"/>
  <c r="E113" i="22"/>
  <c r="E141" i="8"/>
  <c r="F121" i="10"/>
  <c r="E24" i="8"/>
  <c r="E20" i="8" s="1"/>
  <c r="E17" i="8"/>
  <c r="E140" i="17"/>
  <c r="C141" i="17"/>
  <c r="F140" i="17"/>
  <c r="F272" i="17"/>
  <c r="C17" i="8"/>
  <c r="C24" i="8"/>
  <c r="C20" i="8" s="1"/>
  <c r="E270" i="17"/>
  <c r="F270" i="17" s="1"/>
  <c r="C95" i="18"/>
  <c r="C87" i="18"/>
  <c r="C101" i="18"/>
  <c r="C96" i="18"/>
  <c r="C102" i="18" s="1"/>
  <c r="C88" i="18"/>
  <c r="C83" i="18"/>
  <c r="C99" i="18"/>
  <c r="C97" i="18"/>
  <c r="C86" i="18"/>
  <c r="C84" i="18"/>
  <c r="C100" i="18"/>
  <c r="C85" i="18"/>
  <c r="C258" i="18"/>
  <c r="C98" i="18"/>
  <c r="C89" i="18"/>
  <c r="D46" i="22"/>
  <c r="D54" i="22"/>
  <c r="D111" i="22"/>
  <c r="D30" i="22"/>
  <c r="D36" i="22"/>
  <c r="D40" i="22"/>
  <c r="F18" i="5"/>
  <c r="E18" i="5"/>
  <c r="C21" i="5"/>
  <c r="E263" i="17"/>
  <c r="C63" i="17"/>
  <c r="E62" i="17"/>
  <c r="F62" i="17" s="1"/>
  <c r="F288" i="17"/>
  <c r="D211" i="17"/>
  <c r="E210" i="17"/>
  <c r="F210" i="17" s="1"/>
  <c r="F279" i="17"/>
  <c r="E139" i="17"/>
  <c r="F139" i="17" s="1"/>
  <c r="D128" i="18"/>
  <c r="D158" i="8"/>
  <c r="D99" i="8"/>
  <c r="D101" i="8" s="1"/>
  <c r="D98" i="8" s="1"/>
  <c r="D22" i="8"/>
  <c r="F44" i="20"/>
  <c r="E284" i="18"/>
  <c r="D169" i="18"/>
  <c r="D181" i="18"/>
  <c r="E77" i="18"/>
  <c r="E144" i="18"/>
  <c r="E216" i="17"/>
  <c r="F216" i="17" s="1"/>
  <c r="D43" i="5"/>
  <c r="D247" i="18"/>
  <c r="E247" i="18" s="1"/>
  <c r="E95" i="6"/>
  <c r="C28" i="8" l="1"/>
  <c r="C112" i="8"/>
  <c r="C111" i="8" s="1"/>
  <c r="C181" i="18"/>
  <c r="C169" i="18"/>
  <c r="E259" i="18"/>
  <c r="D263" i="18"/>
  <c r="E263" i="18" s="1"/>
  <c r="F63" i="17"/>
  <c r="E63" i="17"/>
  <c r="C70" i="17"/>
  <c r="C211" i="17"/>
  <c r="C322" i="17"/>
  <c r="C148" i="17"/>
  <c r="E141" i="17"/>
  <c r="F141" i="17" s="1"/>
  <c r="E127" i="17"/>
  <c r="F127" i="17" s="1"/>
  <c r="D148" i="17"/>
  <c r="D101" i="18"/>
  <c r="E101" i="18" s="1"/>
  <c r="D84" i="18"/>
  <c r="D89" i="18"/>
  <c r="E89" i="18" s="1"/>
  <c r="D95" i="18"/>
  <c r="D85" i="18"/>
  <c r="E85" i="18" s="1"/>
  <c r="D258" i="18"/>
  <c r="E44" i="18"/>
  <c r="D100" i="18"/>
  <c r="E100" i="18" s="1"/>
  <c r="D97" i="18"/>
  <c r="E97" i="18" s="1"/>
  <c r="D98" i="18"/>
  <c r="E98" i="18" s="1"/>
  <c r="D88" i="18"/>
  <c r="E88" i="18" s="1"/>
  <c r="D96" i="18"/>
  <c r="D86" i="18"/>
  <c r="E86" i="18" s="1"/>
  <c r="D87" i="18"/>
  <c r="E87" i="18" s="1"/>
  <c r="D83" i="18"/>
  <c r="D99" i="18"/>
  <c r="E99" i="18" s="1"/>
  <c r="D305" i="17"/>
  <c r="E291" i="17"/>
  <c r="F291" i="17" s="1"/>
  <c r="C129" i="18"/>
  <c r="E121" i="18"/>
  <c r="C273" i="17"/>
  <c r="E271" i="17"/>
  <c r="F271" i="17" s="1"/>
  <c r="E145" i="18"/>
  <c r="C90" i="18"/>
  <c r="C91" i="18" s="1"/>
  <c r="C105" i="18" s="1"/>
  <c r="E295" i="18"/>
  <c r="F263" i="17"/>
  <c r="C141" i="8"/>
  <c r="F113" i="17"/>
  <c r="D131" i="18"/>
  <c r="D129" i="18"/>
  <c r="E129" i="18" s="1"/>
  <c r="E169" i="18"/>
  <c r="C264" i="18"/>
  <c r="C266" i="18" s="1"/>
  <c r="C267" i="18"/>
  <c r="D70" i="17"/>
  <c r="E70" i="17" s="1"/>
  <c r="E50" i="17"/>
  <c r="F50" i="17" s="1"/>
  <c r="C128" i="18"/>
  <c r="E128" i="18" s="1"/>
  <c r="E122" i="18"/>
  <c r="E181" i="18"/>
  <c r="D56" i="22"/>
  <c r="D48" i="22"/>
  <c r="D38" i="22"/>
  <c r="D113" i="22"/>
  <c r="C103" i="18"/>
  <c r="E112" i="8"/>
  <c r="E111" i="8" s="1"/>
  <c r="E28" i="8"/>
  <c r="E109" i="18"/>
  <c r="F268" i="17"/>
  <c r="C309" i="17"/>
  <c r="F21" i="5"/>
  <c r="C35" i="5"/>
  <c r="E21" i="5"/>
  <c r="F39" i="20"/>
  <c r="D183" i="17"/>
  <c r="E183" i="17" s="1"/>
  <c r="D323" i="17"/>
  <c r="E323" i="17" s="1"/>
  <c r="E162" i="17"/>
  <c r="D50" i="5"/>
  <c r="F41" i="20"/>
  <c r="D324" i="17"/>
  <c r="E92" i="17"/>
  <c r="F92" i="17" s="1"/>
  <c r="D113" i="17"/>
  <c r="E113" i="17" s="1"/>
  <c r="C116" i="18"/>
  <c r="E116" i="18" s="1"/>
  <c r="E110" i="18"/>
  <c r="C325" i="17"/>
  <c r="E268" i="17"/>
  <c r="E273" i="17" l="1"/>
  <c r="F273" i="17" s="1"/>
  <c r="C269" i="18"/>
  <c r="C268" i="18"/>
  <c r="C271" i="18" s="1"/>
  <c r="D102" i="18"/>
  <c r="E102" i="18" s="1"/>
  <c r="E96" i="18"/>
  <c r="E95" i="18"/>
  <c r="E322" i="17"/>
  <c r="F322" i="17" s="1"/>
  <c r="E83" i="18"/>
  <c r="F325" i="17"/>
  <c r="E258" i="18"/>
  <c r="D264" i="18"/>
  <c r="C310" i="17"/>
  <c r="C117" i="18"/>
  <c r="D90" i="18"/>
  <c r="E90" i="18" s="1"/>
  <c r="E84" i="18"/>
  <c r="E324" i="17"/>
  <c r="F324" i="17" s="1"/>
  <c r="D325" i="17"/>
  <c r="E325" i="17" s="1"/>
  <c r="E99" i="8"/>
  <c r="E101" i="8" s="1"/>
  <c r="E98" i="8" s="1"/>
  <c r="E22" i="8"/>
  <c r="D309" i="17"/>
  <c r="E305" i="17"/>
  <c r="F305" i="17" s="1"/>
  <c r="F70" i="17"/>
  <c r="C99" i="8"/>
  <c r="C101" i="8" s="1"/>
  <c r="C98" i="8" s="1"/>
  <c r="C22" i="8"/>
  <c r="C43" i="5"/>
  <c r="E35" i="5"/>
  <c r="F35" i="5" s="1"/>
  <c r="E148" i="17"/>
  <c r="F148" i="17" s="1"/>
  <c r="E211" i="17"/>
  <c r="F211" i="17" s="1"/>
  <c r="C131" i="18" l="1"/>
  <c r="E131" i="18" s="1"/>
  <c r="E117" i="18"/>
  <c r="C312" i="17"/>
  <c r="E309" i="17"/>
  <c r="F309" i="17" s="1"/>
  <c r="D310" i="17"/>
  <c r="D91" i="18"/>
  <c r="C50" i="5"/>
  <c r="E43" i="5"/>
  <c r="F43" i="5" s="1"/>
  <c r="E264" i="18"/>
  <c r="D266" i="18"/>
  <c r="D103" i="18"/>
  <c r="E103" i="18" s="1"/>
  <c r="E50" i="5" l="1"/>
  <c r="F50" i="5" s="1"/>
  <c r="E91" i="18"/>
  <c r="D105" i="18"/>
  <c r="E105" i="18" s="1"/>
  <c r="D312" i="17"/>
  <c r="E310" i="17"/>
  <c r="F310" i="17" s="1"/>
  <c r="E266" i="18"/>
  <c r="D267" i="18"/>
  <c r="C313" i="17"/>
  <c r="E312" i="17" l="1"/>
  <c r="F312" i="17" s="1"/>
  <c r="D313" i="17"/>
  <c r="E267" i="18"/>
  <c r="D268" i="18"/>
  <c r="D269" i="18"/>
  <c r="E269" i="18" s="1"/>
  <c r="C256" i="17"/>
  <c r="C314" i="17"/>
  <c r="C251" i="17"/>
  <c r="C315" i="17"/>
  <c r="C318" i="17" l="1"/>
  <c r="D271" i="18"/>
  <c r="E271" i="18" s="1"/>
  <c r="E268" i="18"/>
  <c r="C257" i="17"/>
  <c r="D315" i="17"/>
  <c r="E315" i="17" s="1"/>
  <c r="F315" i="17" s="1"/>
  <c r="D314" i="17"/>
  <c r="E313" i="17"/>
  <c r="F313" i="17" s="1"/>
  <c r="D251" i="17"/>
  <c r="E251" i="17" s="1"/>
  <c r="F251" i="17" s="1"/>
  <c r="D256" i="17"/>
  <c r="E256" i="17" l="1"/>
  <c r="F256" i="17" s="1"/>
  <c r="D257" i="17"/>
  <c r="E257" i="17" s="1"/>
  <c r="F257" i="17" s="1"/>
  <c r="E314" i="17"/>
  <c r="F314" i="17" s="1"/>
  <c r="D318" i="17"/>
  <c r="E318" i="17" s="1"/>
  <c r="F318" i="17" s="1"/>
</calcChain>
</file>

<file path=xl/sharedStrings.xml><?xml version="1.0" encoding="utf-8"?>
<sst xmlns="http://schemas.openxmlformats.org/spreadsheetml/2006/main" count="2333" uniqueCount="1008">
  <si>
    <t>WATERBURY HOSPITAL</t>
  </si>
  <si>
    <t>TWELVE MONTHS ACTUAL FILING</t>
  </si>
  <si>
    <t>FISCAL YEAR 2013</t>
  </si>
  <si>
    <t>REPORT 100 - HOSPITAL BALANCE SHEET INFORMATION</t>
  </si>
  <si>
    <t>FY 2012</t>
  </si>
  <si>
    <t>FY 2013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</si>
  <si>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</si>
  <si>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</si>
  <si>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</si>
  <si>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</si>
  <si>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</si>
  <si>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</si>
  <si>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</si>
  <si>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</si>
  <si>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</si>
  <si>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</si>
  <si>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</si>
  <si>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</si>
  <si>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</si>
  <si>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</si>
  <si>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</si>
  <si>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</si>
  <si>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</si>
  <si>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</si>
  <si>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</si>
  <si>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</si>
  <si>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</si>
  <si>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</si>
  <si>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</si>
  <si>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</si>
  <si>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</si>
  <si>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</si>
  <si>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</si>
  <si>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</si>
  <si>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</si>
  <si>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</si>
  <si>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</si>
  <si>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</si>
  <si>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</si>
  <si>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</si>
  <si>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</si>
  <si>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</si>
  <si>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</si>
  <si>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</si>
  <si>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</si>
  <si>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</si>
  <si>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</si>
  <si>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</si>
  <si>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</si>
  <si>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</si>
  <si>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</si>
  <si>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</si>
  <si>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</si>
  <si>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</si>
  <si>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</si>
  <si>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</si>
  <si>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</si>
  <si>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</si>
  <si>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</si>
  <si>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</si>
  <si>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</si>
  <si>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</si>
  <si>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</si>
  <si>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</si>
  <si>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</si>
  <si>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</si>
  <si>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</si>
  <si>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</si>
  <si>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</si>
  <si>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</si>
  <si>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</si>
  <si>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</si>
  <si>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</si>
  <si>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</si>
  <si>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</si>
  <si>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</si>
  <si>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</si>
  <si>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</si>
  <si>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</si>
  <si>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</si>
  <si>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</si>
  <si>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</si>
  <si>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</si>
  <si>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</si>
  <si>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</si>
  <si>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</si>
  <si>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</si>
  <si>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</si>
  <si>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</si>
  <si>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</si>
  <si>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</si>
  <si>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</si>
  <si>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</si>
  <si>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</si>
  <si>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</si>
  <si>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</si>
  <si>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</si>
  <si>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</si>
  <si>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</si>
  <si>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</si>
  <si>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</si>
  <si>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</si>
  <si>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</si>
  <si>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</si>
  <si>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</si>
  <si>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</si>
  <si>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</si>
  <si>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2012                ACTUAL</t>
  </si>
  <si>
    <t>FY 2013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</si>
  <si>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</si>
  <si>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</si>
  <si>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</si>
  <si>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</si>
  <si>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</si>
  <si>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</si>
  <si>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</si>
  <si>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</si>
  <si>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</si>
  <si>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</si>
  <si>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</si>
  <si>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</si>
  <si>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</si>
  <si>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</si>
  <si>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</si>
  <si>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</si>
  <si>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</si>
  <si>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</si>
  <si>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</si>
  <si>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</si>
  <si>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</si>
  <si>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</si>
  <si>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</si>
  <si>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</si>
  <si>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</si>
  <si>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</si>
  <si>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</si>
  <si>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</si>
  <si>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</si>
  <si>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</si>
  <si>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</si>
  <si>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</si>
  <si>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</si>
  <si>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</si>
  <si>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</si>
  <si>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</si>
  <si>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</si>
  <si>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</si>
  <si>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</si>
  <si>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</si>
  <si>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</si>
  <si>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</si>
  <si>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</si>
  <si>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</si>
  <si>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</si>
  <si>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</si>
  <si>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</si>
  <si>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</si>
  <si>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</si>
  <si>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</si>
  <si>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</si>
  <si>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</si>
  <si>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</si>
  <si>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</si>
  <si>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</si>
  <si>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</si>
  <si>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</si>
  <si>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</si>
  <si>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</si>
  <si>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</si>
  <si>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</si>
  <si>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</si>
  <si>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</si>
  <si>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</si>
  <si>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</si>
  <si>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</si>
  <si>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</si>
  <si>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</si>
  <si>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</si>
  <si>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</si>
  <si>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</si>
  <si>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</si>
  <si>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</si>
  <si>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</si>
  <si>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</si>
  <si>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</si>
  <si>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</si>
  <si>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</si>
  <si>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</si>
  <si>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</si>
  <si>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</si>
  <si>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</si>
  <si>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</si>
  <si>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</si>
  <si>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</si>
  <si>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</si>
  <si>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</si>
  <si>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</si>
  <si>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</si>
  <si>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</si>
  <si>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</si>
  <si>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</si>
  <si>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</si>
  <si>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</si>
  <si>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</si>
  <si>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</si>
  <si>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</si>
  <si>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</si>
  <si>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</si>
  <si>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</si>
  <si>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</si>
  <si>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</si>
  <si>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</si>
  <si>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</si>
  <si>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</si>
  <si>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</si>
  <si>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</si>
  <si>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</si>
  <si>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</si>
  <si>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</si>
  <si>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</si>
  <si>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</si>
  <si>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</si>
  <si>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</si>
  <si>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</si>
  <si>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</si>
  <si>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</si>
  <si>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</si>
  <si>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</si>
  <si>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</si>
  <si>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</si>
  <si>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</si>
  <si>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</si>
  <si>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</si>
  <si>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</si>
  <si>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</si>
  <si>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</si>
  <si>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</si>
  <si>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</si>
  <si>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</si>
  <si>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</si>
  <si>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</si>
  <si>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</si>
  <si>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</si>
  <si>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</si>
  <si>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</si>
  <si>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</si>
  <si>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</si>
  <si>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</si>
  <si>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</si>
  <si>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</si>
  <si>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</si>
  <si>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</si>
  <si>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</si>
  <si>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</si>
  <si>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</si>
  <si>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</si>
  <si>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</si>
  <si>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</si>
  <si>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</si>
  <si>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</si>
  <si>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</si>
  <si>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</si>
  <si>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</si>
  <si>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</si>
  <si>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</si>
  <si>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</si>
  <si>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</si>
  <si>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</si>
  <si>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</si>
  <si>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</si>
  <si>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</si>
  <si>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</si>
  <si>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</si>
  <si>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</si>
  <si>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</si>
  <si>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</si>
  <si>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</si>
  <si>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</si>
  <si>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</si>
  <si>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</si>
  <si>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</si>
  <si>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</si>
  <si>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</si>
  <si>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</si>
  <si>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</si>
  <si>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</si>
  <si>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</si>
  <si>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</si>
  <si>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</si>
  <si>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</si>
  <si>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</si>
  <si>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</si>
  <si>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</si>
  <si>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</si>
  <si>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</si>
  <si>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</si>
  <si>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</si>
  <si>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</si>
  <si>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</si>
  <si>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</si>
  <si>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</si>
  <si>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</si>
  <si>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</si>
  <si>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</si>
  <si>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</si>
  <si>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</si>
  <si>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</si>
  <si>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</si>
  <si>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</si>
  <si>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</si>
  <si>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</si>
  <si>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</si>
  <si>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</si>
  <si>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</si>
  <si>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2013</t>
  </si>
  <si>
    <t>REPORT 185 - HOSPITAL FINANCIAL AND STATISTICAL DATA ANALYSIS</t>
  </si>
  <si>
    <t xml:space="preserve">      FY 2011</t>
  </si>
  <si>
    <t xml:space="preserve">      FY 2012</t>
  </si>
  <si>
    <t xml:space="preserve">      FY 2013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</si>
  <si>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</si>
  <si>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</si>
  <si>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</si>
  <si>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</si>
  <si>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</si>
  <si>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</si>
  <si>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</si>
  <si>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</si>
  <si>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</si>
  <si>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</si>
  <si>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</si>
  <si>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</si>
  <si>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</si>
  <si>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</si>
  <si>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</si>
  <si>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</si>
  <si>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</si>
  <si>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</si>
  <si>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</si>
  <si>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</si>
  <si>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</si>
  <si>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</si>
  <si>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</si>
  <si>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</si>
  <si>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</si>
  <si>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</si>
  <si>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</si>
  <si>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</si>
  <si>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</si>
  <si>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</si>
  <si>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</si>
  <si>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</si>
  <si>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</si>
  <si>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</si>
  <si>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</si>
  <si>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</si>
  <si>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</si>
  <si>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</si>
  <si>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</si>
  <si>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</si>
  <si>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</si>
  <si>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</si>
  <si>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</si>
  <si>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</si>
  <si>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</si>
  <si>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</si>
  <si>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</si>
  <si>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</si>
  <si>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</si>
  <si>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</si>
  <si>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</si>
  <si>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</si>
  <si>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</si>
  <si>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</si>
  <si>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</si>
  <si>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</si>
  <si>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</si>
  <si>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</si>
  <si>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</si>
  <si>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</si>
  <si>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</si>
  <si>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</si>
  <si>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</si>
  <si>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</si>
  <si>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</si>
  <si>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</si>
  <si>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</si>
  <si>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</si>
  <si>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</si>
  <si>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</si>
  <si>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</si>
  <si>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</si>
  <si>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</si>
  <si>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</si>
  <si>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</si>
  <si>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</si>
  <si>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</si>
  <si>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</si>
  <si>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</si>
  <si>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</si>
  <si>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</si>
  <si>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</si>
  <si>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</si>
  <si>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</si>
  <si>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</si>
  <si>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</si>
  <si>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</si>
  <si>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</si>
  <si>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</si>
  <si>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</si>
  <si>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</si>
  <si>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</si>
  <si>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</si>
  <si>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</si>
  <si>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</si>
  <si>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</si>
  <si>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</si>
  <si>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</si>
  <si>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</si>
  <si>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</si>
  <si>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</si>
  <si>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</si>
  <si>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</si>
  <si>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</si>
  <si>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</si>
  <si>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</si>
  <si>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</si>
  <si>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</si>
  <si>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</si>
  <si>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</si>
  <si>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</si>
  <si>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</si>
  <si>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</si>
  <si>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</si>
  <si>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</si>
  <si>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</si>
  <si>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</si>
  <si>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2012 ACTUAL</t>
  </si>
  <si>
    <t>FY 2013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</si>
  <si>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</si>
  <si>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</si>
  <si>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</si>
  <si>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</si>
  <si>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</si>
  <si>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</si>
  <si>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</si>
  <si>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</si>
  <si>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</si>
  <si>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</si>
  <si>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</si>
  <si>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</si>
  <si>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</si>
  <si>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</si>
  <si>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</si>
  <si>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</si>
  <si>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</si>
  <si>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</si>
  <si>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</si>
  <si>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</si>
  <si>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</si>
  <si>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</si>
  <si>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</si>
  <si>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</si>
  <si>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</si>
  <si>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</si>
  <si>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</si>
  <si>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</si>
  <si>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</si>
  <si>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</si>
  <si>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</si>
  <si>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</si>
  <si>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</si>
  <si>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</si>
  <si>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</si>
  <si>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</si>
  <si>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2012 ACTUAL     </t>
  </si>
  <si>
    <t xml:space="preserve">      FY 2013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</si>
  <si>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</si>
  <si>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</si>
  <si>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</si>
  <si>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</si>
  <si>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</si>
  <si>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</si>
  <si>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</si>
  <si>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</si>
  <si>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</si>
  <si>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</si>
  <si>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</si>
  <si>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</si>
  <si>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</si>
  <si>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</si>
  <si>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</si>
  <si>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</si>
  <si>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</si>
  <si>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</si>
  <si>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</si>
  <si>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</si>
  <si>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</si>
  <si>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</si>
  <si>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</si>
  <si>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</si>
  <si>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GREATER WATERBURY HEALTH NETWORK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</si>
  <si>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</si>
  <si>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</si>
  <si>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</si>
  <si>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</si>
  <si>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2011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</si>
  <si>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</si>
  <si>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</si>
  <si>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</si>
  <si>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</si>
  <si>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</si>
  <si>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</si>
  <si>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</si>
  <si>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</si>
  <si>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</si>
  <si>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</si>
  <si>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</si>
  <si>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</si>
  <si>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</si>
  <si>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</si>
  <si>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</si>
  <si>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</si>
  <si>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</si>
  <si>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</si>
  <si>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</si>
  <si>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</si>
  <si>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</si>
  <si>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</si>
  <si>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</si>
  <si>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</si>
  <si>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</si>
  <si>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</si>
  <si>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</si>
  <si>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</si>
  <si>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</si>
  <si>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</si>
  <si>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</si>
  <si>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</si>
  <si>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</si>
  <si>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</si>
  <si>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</si>
  <si>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</si>
  <si>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</si>
  <si>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</si>
  <si>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</si>
  <si>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</si>
  <si>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</si>
  <si>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</si>
  <si>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</si>
  <si>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</si>
  <si>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</si>
  <si>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</si>
  <si>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</si>
  <si>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</si>
  <si>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</si>
  <si>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</si>
  <si>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</si>
  <si>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</si>
  <si>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</si>
  <si>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</si>
  <si>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</si>
  <si>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</si>
  <si>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</si>
  <si>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</si>
  <si>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</si>
  <si>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</si>
  <si>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</si>
  <si>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</si>
  <si>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</si>
  <si>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</si>
  <si>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</si>
  <si>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</si>
  <si>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</si>
  <si>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</si>
  <si>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</si>
  <si>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</si>
  <si>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</si>
  <si>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</si>
  <si>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</si>
  <si>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</si>
  <si>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</si>
  <si>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</si>
  <si>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</si>
  <si>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</si>
  <si>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</si>
  <si>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</si>
  <si>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</si>
  <si>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</si>
  <si>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</si>
  <si>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</si>
  <si>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</si>
  <si>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</si>
  <si>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</si>
  <si>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</si>
  <si>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</si>
  <si>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</si>
  <si>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</si>
  <si>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</si>
  <si>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</si>
  <si>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</si>
  <si>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</si>
  <si>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</si>
  <si>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</si>
  <si>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</si>
  <si>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</si>
  <si>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</si>
  <si>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</si>
  <si>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</si>
  <si>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</si>
  <si>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</si>
  <si>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</si>
  <si>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</si>
  <si>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</si>
  <si>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</si>
  <si>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</si>
  <si>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</si>
  <si>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</si>
  <si>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</si>
  <si>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</si>
  <si>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</si>
  <si>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</si>
  <si>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Waterbury Hospital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</si>
  <si>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</si>
  <si>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</si>
  <si>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</si>
  <si>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</si>
  <si>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</si>
  <si>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</si>
  <si>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</si>
  <si>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</si>
  <si>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</si>
  <si>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</si>
  <si>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</si>
  <si>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</si>
  <si>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</si>
  <si>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</si>
  <si>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</si>
  <si>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</si>
  <si>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</si>
  <si>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</si>
  <si>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</si>
  <si>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</si>
  <si>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</si>
  <si>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</si>
  <si>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</si>
  <si>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</si>
  <si>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</si>
  <si>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</si>
  <si>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</si>
  <si>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</si>
  <si>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</si>
  <si>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</si>
  <si>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</si>
  <si>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</si>
  <si>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</si>
  <si>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</si>
  <si>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</si>
  <si>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</si>
  <si>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</si>
  <si>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</si>
  <si>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</si>
  <si>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</si>
  <si>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</si>
  <si>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</si>
  <si>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</si>
  <si>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</si>
  <si>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</si>
  <si>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</si>
  <si>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</si>
  <si>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</si>
  <si>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</si>
  <si>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</si>
  <si>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</si>
  <si>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</si>
  <si>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</si>
  <si>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</si>
  <si>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</si>
  <si>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</si>
  <si>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</si>
  <si>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</si>
  <si>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</si>
  <si>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</si>
  <si>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</si>
  <si>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</si>
  <si>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</si>
  <si>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</si>
  <si>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</si>
  <si>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</si>
  <si>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</si>
  <si>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</si>
  <si>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</si>
  <si>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</si>
  <si>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</si>
  <si>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</si>
  <si>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</si>
  <si>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</si>
  <si>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</si>
  <si>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</si>
  <si>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</si>
  <si>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</si>
  <si>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</si>
  <si>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</si>
  <si>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</si>
  <si>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</si>
  <si>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</si>
  <si>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</si>
  <si>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</si>
  <si>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</si>
  <si>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</si>
  <si>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</si>
  <si>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</si>
  <si>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</si>
  <si>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</si>
  <si>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</si>
  <si>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</si>
  <si>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</si>
  <si>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</si>
  <si>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</si>
  <si>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</si>
  <si>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</si>
  <si>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</si>
  <si>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</si>
  <si>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</si>
  <si>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</si>
  <si>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</si>
  <si>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</si>
  <si>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</si>
  <si>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</si>
  <si>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</si>
  <si>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</si>
  <si>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</si>
  <si>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</si>
  <si>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</si>
  <si>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</si>
  <si>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</si>
  <si>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</si>
  <si>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</si>
  <si>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</si>
  <si>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</si>
  <si>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</si>
  <si>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</si>
  <si>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</si>
  <si>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</si>
  <si>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</si>
  <si>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</si>
  <si>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</si>
  <si>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</si>
  <si>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</si>
  <si>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</si>
  <si>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</si>
  <si>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</si>
  <si>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</si>
  <si>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</si>
  <si>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</si>
  <si>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</si>
  <si>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</si>
  <si>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</si>
  <si>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</si>
  <si>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</si>
  <si>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</si>
  <si>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</si>
  <si>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</si>
  <si>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</si>
  <si>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</si>
  <si>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</si>
  <si>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</si>
  <si>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</si>
  <si>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</si>
  <si>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</si>
  <si>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2013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</si>
  <si>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</si>
  <si>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</si>
  <si>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2012</t>
    </r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</si>
  <si>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</si>
  <si>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</si>
  <si>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</si>
  <si>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</si>
  <si>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</si>
  <si>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</si>
  <si>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</si>
  <si>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</si>
  <si>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</si>
  <si>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</si>
  <si>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</si>
  <si>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</si>
  <si>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</si>
  <si>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</si>
  <si>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</si>
  <si>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</si>
  <si>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</si>
  <si>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</si>
  <si>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</si>
  <si>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</si>
  <si>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</si>
  <si>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</si>
  <si>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</si>
  <si>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</si>
  <si>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</si>
  <si>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</si>
  <si>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</si>
  <si>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</si>
  <si>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</si>
  <si>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</si>
  <si>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</si>
  <si>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</si>
  <si>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</si>
  <si>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</si>
  <si>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</si>
  <si>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</si>
  <si>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</si>
  <si>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</si>
  <si>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</si>
  <si>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</si>
  <si>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</si>
  <si>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</si>
  <si>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</si>
  <si>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</si>
  <si>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</si>
  <si>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</si>
  <si>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</si>
  <si>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</si>
  <si>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</si>
  <si>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</si>
  <si>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</si>
  <si>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</si>
  <si>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</si>
  <si>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</si>
  <si>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</si>
  <si>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</si>
  <si>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</si>
  <si>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</si>
  <si>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</si>
  <si>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</si>
  <si>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</si>
  <si>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</si>
  <si>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</si>
  <si>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</si>
  <si>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</si>
  <si>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</si>
  <si>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</si>
  <si>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</si>
  <si>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</si>
  <si>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</si>
  <si>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</si>
  <si>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</si>
  <si>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</si>
  <si>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</si>
  <si>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</si>
  <si>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</si>
  <si>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</si>
  <si>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</si>
  <si>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</si>
  <si>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</si>
  <si>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</si>
  <si>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</si>
  <si>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</si>
  <si>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</si>
  <si>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</si>
  <si>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</si>
  <si>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</si>
  <si>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</si>
  <si>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</si>
  <si>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</si>
  <si>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</si>
  <si>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</si>
  <si>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</si>
  <si>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</si>
  <si>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</si>
  <si>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</si>
  <si>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</si>
  <si>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</si>
  <si>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2013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</si>
  <si>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</si>
  <si>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</si>
  <si>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</si>
  <si>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</si>
  <si>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</si>
  <si>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</si>
  <si>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</si>
  <si>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</si>
  <si>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</si>
  <si>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</si>
  <si>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</si>
  <si>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</si>
  <si>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</si>
  <si>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</si>
  <si>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</si>
  <si>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</si>
  <si>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</si>
  <si>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</si>
  <si>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</si>
  <si>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</si>
  <si>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</si>
  <si>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</si>
  <si>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</si>
  <si>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</si>
  <si>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</si>
  <si>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</si>
  <si>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</si>
  <si>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</si>
  <si>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</si>
  <si>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</si>
  <si>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</si>
  <si>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</si>
  <si>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</si>
  <si>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</si>
  <si>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</si>
  <si>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</si>
  <si>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</si>
  <si>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</si>
  <si>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</si>
  <si>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</si>
  <si>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</si>
  <si>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</si>
  <si>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</si>
  <si>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</si>
  <si>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</si>
  <si>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</si>
  <si>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</si>
  <si>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</si>
  <si>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</si>
  <si>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</si>
  <si>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</si>
  <si>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</si>
  <si>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</si>
  <si>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</si>
  <si>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</si>
  <si>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2011</t>
    </r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</si>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</sst>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22930963</v>
      </c>
      <c r="D13" s="22">
        <v>23662300</v>
      </c>
      <c r="E13" s="22">
        <f t="shared" ref="E13:E22" si="0">D13-C13</f>
        <v>731337</v>
      </c>
      <c r="F13" s="23">
        <f t="shared" ref="F13:F22" si="1">IF(C13=0,0,E13/C13)</f>
        <v>3.1892991149128802E-2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26903888</v>
      </c>
      <c r="D15" s="22">
        <v>25010738</v>
      </c>
      <c r="E15" s="22">
        <f t="shared" si="0"/>
        <v>-1893150</v>
      </c>
      <c r="F15" s="23">
        <f t="shared" si="1"/>
        <v>-7.0367152881397665E-2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3105602</v>
      </c>
      <c r="D19" s="22">
        <v>3416317</v>
      </c>
      <c r="E19" s="22">
        <f t="shared" si="0"/>
        <v>310715</v>
      </c>
      <c r="F19" s="23">
        <f t="shared" si="1"/>
        <v>0.10004984540839425</v>
      </c>
    </row>
    <row r="20" spans="1:11" ht="24" customHeight="1" x14ac:dyDescent="0.2">
      <c r="A20" s="20">
        <v>8</v>
      </c>
      <c r="B20" s="21" t="s">
        <v>23</v>
      </c>
      <c r="C20" s="22">
        <v>1109204</v>
      </c>
      <c r="D20" s="22">
        <v>1291734</v>
      </c>
      <c r="E20" s="22">
        <f t="shared" si="0"/>
        <v>182530</v>
      </c>
      <c r="F20" s="23">
        <f t="shared" si="1"/>
        <v>0.16455944983970486</v>
      </c>
    </row>
    <row r="21" spans="1:11" ht="24" customHeight="1" x14ac:dyDescent="0.2">
      <c r="A21" s="20">
        <v>9</v>
      </c>
      <c r="B21" s="21" t="s">
        <v>24</v>
      </c>
      <c r="C21" s="22">
        <v>2829816</v>
      </c>
      <c r="D21" s="22">
        <v>3065683</v>
      </c>
      <c r="E21" s="22">
        <f t="shared" si="0"/>
        <v>235867</v>
      </c>
      <c r="F21" s="23">
        <f t="shared" si="1"/>
        <v>8.3350648946786648E-2</v>
      </c>
    </row>
    <row r="22" spans="1:11" ht="24" customHeight="1" x14ac:dyDescent="0.25">
      <c r="A22" s="24"/>
      <c r="B22" s="25" t="s">
        <v>25</v>
      </c>
      <c r="C22" s="26">
        <f>SUM(C13:C21)</f>
        <v>56879473</v>
      </c>
      <c r="D22" s="26">
        <f>SUM(D13:D21)</f>
        <v>56446772</v>
      </c>
      <c r="E22" s="26">
        <f t="shared" si="0"/>
        <v>-432701</v>
      </c>
      <c r="F22" s="27">
        <f t="shared" si="1"/>
        <v>-7.607331382975366E-3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42218163</v>
      </c>
      <c r="D25" s="22">
        <v>44960039</v>
      </c>
      <c r="E25" s="22">
        <f>D25-C25</f>
        <v>2741876</v>
      </c>
      <c r="F25" s="23">
        <f>IF(C25=0,0,E25/C25)</f>
        <v>6.4945412238803471E-2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2974503</v>
      </c>
      <c r="D26" s="22">
        <v>3193664</v>
      </c>
      <c r="E26" s="22">
        <f>D26-C26</f>
        <v>219161</v>
      </c>
      <c r="F26" s="23">
        <f>IF(C26=0,0,E26/C26)</f>
        <v>7.3679871897927143E-2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661338</v>
      </c>
      <c r="D27" s="22">
        <v>0</v>
      </c>
      <c r="E27" s="22">
        <f>D27-C27</f>
        <v>-661338</v>
      </c>
      <c r="F27" s="23">
        <f>IF(C27=0,0,E27/C27)</f>
        <v>-1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0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45854004</v>
      </c>
      <c r="D29" s="26">
        <f>SUM(D25:D28)</f>
        <v>48153703</v>
      </c>
      <c r="E29" s="26">
        <f>D29-C29</f>
        <v>2299699</v>
      </c>
      <c r="F29" s="27">
        <f>IF(C29=0,0,E29/C29)</f>
        <v>5.0152632254317417E-2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9900286</v>
      </c>
      <c r="D32" s="22">
        <v>10713229</v>
      </c>
      <c r="E32" s="22">
        <f>D32-C32</f>
        <v>812943</v>
      </c>
      <c r="F32" s="23">
        <f>IF(C32=0,0,E32/C32)</f>
        <v>8.2113082389741063E-2</v>
      </c>
    </row>
    <row r="33" spans="1:8" ht="24" customHeight="1" x14ac:dyDescent="0.2">
      <c r="A33" s="20">
        <v>7</v>
      </c>
      <c r="B33" s="21" t="s">
        <v>35</v>
      </c>
      <c r="C33" s="22">
        <v>812582</v>
      </c>
      <c r="D33" s="22">
        <v>655148</v>
      </c>
      <c r="E33" s="22">
        <f>D33-C33</f>
        <v>-157434</v>
      </c>
      <c r="F33" s="23">
        <f>IF(C33=0,0,E33/C33)</f>
        <v>-0.19374536969807354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263155416</v>
      </c>
      <c r="D36" s="22">
        <v>266609418</v>
      </c>
      <c r="E36" s="22">
        <f>D36-C36</f>
        <v>3454002</v>
      </c>
      <c r="F36" s="23">
        <f>IF(C36=0,0,E36/C36)</f>
        <v>1.3125331230119922E-2</v>
      </c>
    </row>
    <row r="37" spans="1:8" ht="24" customHeight="1" x14ac:dyDescent="0.2">
      <c r="A37" s="20">
        <v>2</v>
      </c>
      <c r="B37" s="21" t="s">
        <v>39</v>
      </c>
      <c r="C37" s="22">
        <v>222405856</v>
      </c>
      <c r="D37" s="22">
        <v>229493366</v>
      </c>
      <c r="E37" s="22">
        <f>D37-C37</f>
        <v>7087510</v>
      </c>
      <c r="F37" s="23">
        <f>IF(C37=0,0,E37/C37)</f>
        <v>3.186746125965316E-2</v>
      </c>
    </row>
    <row r="38" spans="1:8" ht="24" customHeight="1" x14ac:dyDescent="0.25">
      <c r="A38" s="24"/>
      <c r="B38" s="25" t="s">
        <v>40</v>
      </c>
      <c r="C38" s="26">
        <f>C36-C37</f>
        <v>40749560</v>
      </c>
      <c r="D38" s="26">
        <f>D36-D37</f>
        <v>37116052</v>
      </c>
      <c r="E38" s="26">
        <f>D38-C38</f>
        <v>-3633508</v>
      </c>
      <c r="F38" s="27">
        <f>IF(C38=0,0,E38/C38)</f>
        <v>-8.9166803273458661E-2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2358644</v>
      </c>
      <c r="D40" s="22">
        <v>73654</v>
      </c>
      <c r="E40" s="22">
        <f>D40-C40</f>
        <v>-2284990</v>
      </c>
      <c r="F40" s="23">
        <f>IF(C40=0,0,E40/C40)</f>
        <v>-0.96877273552091792</v>
      </c>
    </row>
    <row r="41" spans="1:8" ht="24" customHeight="1" x14ac:dyDescent="0.25">
      <c r="A41" s="24"/>
      <c r="B41" s="25" t="s">
        <v>42</v>
      </c>
      <c r="C41" s="26">
        <f>+C38+C40</f>
        <v>43108204</v>
      </c>
      <c r="D41" s="26">
        <f>+D38+D40</f>
        <v>37189706</v>
      </c>
      <c r="E41" s="26">
        <f>D41-C41</f>
        <v>-5918498</v>
      </c>
      <c r="F41" s="27">
        <f>IF(C41=0,0,E41/C41)</f>
        <v>-0.13729400556794247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156554549</v>
      </c>
      <c r="D43" s="26">
        <f>D22+D29+D31+D32+D33+D41</f>
        <v>153158558</v>
      </c>
      <c r="E43" s="26">
        <f>D43-C43</f>
        <v>-3395991</v>
      </c>
      <c r="F43" s="27">
        <f>IF(C43=0,0,E43/C43)</f>
        <v>-2.1692062106735716E-2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26966152</v>
      </c>
      <c r="D49" s="22">
        <v>20802742</v>
      </c>
      <c r="E49" s="22">
        <f t="shared" ref="E49:E56" si="2">D49-C49</f>
        <v>-6163410</v>
      </c>
      <c r="F49" s="23">
        <f t="shared" ref="F49:F56" si="3">IF(C49=0,0,E49/C49)</f>
        <v>-0.22856097525520142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6072850</v>
      </c>
      <c r="D50" s="22">
        <v>5298046</v>
      </c>
      <c r="E50" s="22">
        <f t="shared" si="2"/>
        <v>-774804</v>
      </c>
      <c r="F50" s="23">
        <f t="shared" si="3"/>
        <v>-0.12758490659245658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601271</v>
      </c>
      <c r="D51" s="22">
        <v>2969391</v>
      </c>
      <c r="E51" s="22">
        <f t="shared" si="2"/>
        <v>2368120</v>
      </c>
      <c r="F51" s="23">
        <f t="shared" si="3"/>
        <v>3.9385235609234437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3551101</v>
      </c>
      <c r="D52" s="22">
        <v>1795348</v>
      </c>
      <c r="E52" s="22">
        <f t="shared" si="2"/>
        <v>-1755753</v>
      </c>
      <c r="F52" s="23">
        <f t="shared" si="3"/>
        <v>-0.49442496848160611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451444</v>
      </c>
      <c r="D53" s="22">
        <v>472136</v>
      </c>
      <c r="E53" s="22">
        <f t="shared" si="2"/>
        <v>20692</v>
      </c>
      <c r="F53" s="23">
        <f t="shared" si="3"/>
        <v>4.5835142343236372E-2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461461</v>
      </c>
      <c r="D54" s="22">
        <v>405496</v>
      </c>
      <c r="E54" s="22">
        <f t="shared" si="2"/>
        <v>-55965</v>
      </c>
      <c r="F54" s="23">
        <f t="shared" si="3"/>
        <v>-0.12127785446657464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0</v>
      </c>
      <c r="D55" s="22">
        <v>0</v>
      </c>
      <c r="E55" s="22">
        <f t="shared" si="2"/>
        <v>0</v>
      </c>
      <c r="F55" s="23">
        <f t="shared" si="3"/>
        <v>0</v>
      </c>
    </row>
    <row r="56" spans="1:6" ht="24" customHeight="1" x14ac:dyDescent="0.25">
      <c r="A56" s="24"/>
      <c r="B56" s="25" t="s">
        <v>54</v>
      </c>
      <c r="C56" s="26">
        <f>SUM(C49:C55)</f>
        <v>38104279</v>
      </c>
      <c r="D56" s="26">
        <f>SUM(D49:D55)</f>
        <v>31743159</v>
      </c>
      <c r="E56" s="26">
        <f t="shared" si="2"/>
        <v>-6361120</v>
      </c>
      <c r="F56" s="27">
        <f t="shared" si="3"/>
        <v>-0.16693978122509548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24755656</v>
      </c>
      <c r="D59" s="22">
        <v>24283520</v>
      </c>
      <c r="E59" s="22">
        <f>D59-C59</f>
        <v>-472136</v>
      </c>
      <c r="F59" s="23">
        <f>IF(C59=0,0,E59/C59)</f>
        <v>-1.9071843622322109E-2</v>
      </c>
    </row>
    <row r="60" spans="1:6" ht="24" customHeight="1" x14ac:dyDescent="0.2">
      <c r="A60" s="20">
        <v>2</v>
      </c>
      <c r="B60" s="21" t="s">
        <v>57</v>
      </c>
      <c r="C60" s="22">
        <v>1105261</v>
      </c>
      <c r="D60" s="22">
        <v>820591</v>
      </c>
      <c r="E60" s="22">
        <f>D60-C60</f>
        <v>-284670</v>
      </c>
      <c r="F60" s="23">
        <f>IF(C60=0,0,E60/C60)</f>
        <v>-0.25755907428200214</v>
      </c>
    </row>
    <row r="61" spans="1:6" ht="24" customHeight="1" x14ac:dyDescent="0.25">
      <c r="A61" s="24"/>
      <c r="B61" s="25" t="s">
        <v>58</v>
      </c>
      <c r="C61" s="26">
        <f>SUM(C59:C60)</f>
        <v>25860917</v>
      </c>
      <c r="D61" s="26">
        <f>SUM(D59:D60)</f>
        <v>25104111</v>
      </c>
      <c r="E61" s="26">
        <f>D61-C61</f>
        <v>-756806</v>
      </c>
      <c r="F61" s="27">
        <f>IF(C61=0,0,E61/C61)</f>
        <v>-2.9264468850814532E-2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0</v>
      </c>
      <c r="D63" s="22">
        <v>0</v>
      </c>
      <c r="E63" s="22">
        <f>D63-C63</f>
        <v>0</v>
      </c>
      <c r="F63" s="23">
        <f>IF(C63=0,0,E63/C63)</f>
        <v>0</v>
      </c>
    </row>
    <row r="64" spans="1:6" ht="24" customHeight="1" x14ac:dyDescent="0.2">
      <c r="A64" s="20">
        <v>4</v>
      </c>
      <c r="B64" s="21" t="s">
        <v>60</v>
      </c>
      <c r="C64" s="22">
        <v>21417424</v>
      </c>
      <c r="D64" s="22">
        <v>21482020</v>
      </c>
      <c r="E64" s="22">
        <f>D64-C64</f>
        <v>64596</v>
      </c>
      <c r="F64" s="23">
        <f>IF(C64=0,0,E64/C64)</f>
        <v>3.0160489888980111E-3</v>
      </c>
    </row>
    <row r="65" spans="1:6" ht="24" customHeight="1" x14ac:dyDescent="0.25">
      <c r="A65" s="24"/>
      <c r="B65" s="25" t="s">
        <v>61</v>
      </c>
      <c r="C65" s="26">
        <f>SUM(C61:C64)</f>
        <v>47278341</v>
      </c>
      <c r="D65" s="26">
        <f>SUM(D61:D64)</f>
        <v>46586131</v>
      </c>
      <c r="E65" s="26">
        <f>D65-C65</f>
        <v>-692210</v>
      </c>
      <c r="F65" s="27">
        <f>IF(C65=0,0,E65/C65)</f>
        <v>-1.4641165179632678E-2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18516310</v>
      </c>
      <c r="D70" s="22">
        <v>18667399</v>
      </c>
      <c r="E70" s="22">
        <f>D70-C70</f>
        <v>151089</v>
      </c>
      <c r="F70" s="23">
        <f>IF(C70=0,0,E70/C70)</f>
        <v>8.1597791352596705E-3</v>
      </c>
    </row>
    <row r="71" spans="1:6" ht="24" customHeight="1" x14ac:dyDescent="0.2">
      <c r="A71" s="20">
        <v>2</v>
      </c>
      <c r="B71" s="21" t="s">
        <v>65</v>
      </c>
      <c r="C71" s="22">
        <v>7645420</v>
      </c>
      <c r="D71" s="22">
        <v>8409794</v>
      </c>
      <c r="E71" s="22">
        <f>D71-C71</f>
        <v>764374</v>
      </c>
      <c r="F71" s="23">
        <f>IF(C71=0,0,E71/C71)</f>
        <v>9.997802606004641E-2</v>
      </c>
    </row>
    <row r="72" spans="1:6" ht="24" customHeight="1" x14ac:dyDescent="0.2">
      <c r="A72" s="20">
        <v>3</v>
      </c>
      <c r="B72" s="21" t="s">
        <v>66</v>
      </c>
      <c r="C72" s="22">
        <v>45010199</v>
      </c>
      <c r="D72" s="22">
        <v>47752075</v>
      </c>
      <c r="E72" s="22">
        <f>D72-C72</f>
        <v>2741876</v>
      </c>
      <c r="F72" s="23">
        <f>IF(C72=0,0,E72/C72)</f>
        <v>6.0916771329982342E-2</v>
      </c>
    </row>
    <row r="73" spans="1:6" ht="24" customHeight="1" x14ac:dyDescent="0.25">
      <c r="A73" s="20"/>
      <c r="B73" s="25" t="s">
        <v>67</v>
      </c>
      <c r="C73" s="26">
        <f>SUM(C70:C72)</f>
        <v>71171929</v>
      </c>
      <c r="D73" s="26">
        <f>SUM(D70:D72)</f>
        <v>74829268</v>
      </c>
      <c r="E73" s="26">
        <f>D73-C73</f>
        <v>3657339</v>
      </c>
      <c r="F73" s="27">
        <f>IF(C73=0,0,E73/C73)</f>
        <v>5.138738054999184E-2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156554549</v>
      </c>
      <c r="D75" s="26">
        <f>D56+D65+D67+D73</f>
        <v>153158558</v>
      </c>
      <c r="E75" s="26">
        <f>D75-C75</f>
        <v>-3395991</v>
      </c>
      <c r="F75" s="27">
        <f>IF(C75=0,0,E75/C75)</f>
        <v>-2.1692062106735716E-2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sqref="A1:F1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270732398</v>
      </c>
      <c r="D11" s="76">
        <v>273484098</v>
      </c>
      <c r="E11" s="76">
        <v>248028586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13154680</v>
      </c>
      <c r="D12" s="185">
        <v>13227694</v>
      </c>
      <c r="E12" s="185">
        <v>12423300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283887078</v>
      </c>
      <c r="D13" s="76">
        <f>+D11+D12</f>
        <v>286711792</v>
      </c>
      <c r="E13" s="76">
        <f>+E11+E12</f>
        <v>260451886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291891000</v>
      </c>
      <c r="D14" s="185">
        <v>286509869</v>
      </c>
      <c r="E14" s="185">
        <v>263937259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-8003922</v>
      </c>
      <c r="D15" s="76">
        <f>+D13-D14</f>
        <v>201923</v>
      </c>
      <c r="E15" s="76">
        <f>+E13-E14</f>
        <v>-3485373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-3981175</v>
      </c>
      <c r="D16" s="185">
        <v>2087588</v>
      </c>
      <c r="E16" s="185">
        <v>1888552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-11985097</v>
      </c>
      <c r="D17" s="76">
        <f>D15+D16</f>
        <v>2289511</v>
      </c>
      <c r="E17" s="76">
        <f>E15+E16</f>
        <v>-1596821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-2.8595045385663053E-2</v>
      </c>
      <c r="D20" s="189">
        <f>IF(+D27=0,0,+D24/+D27)</f>
        <v>6.991808638924363E-4</v>
      </c>
      <c r="E20" s="189">
        <f>IF(+E27=0,0,+E24/+E27)</f>
        <v>-1.3285687203129545E-2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-1.4223262022451881E-2</v>
      </c>
      <c r="D21" s="189">
        <f>IF(+D27=0,0,+D26/+D27)</f>
        <v>7.2285058229695645E-3</v>
      </c>
      <c r="E21" s="189">
        <f>IF(+E27=0,0,+E26/+E27)</f>
        <v>7.1988596740850145E-3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-4.2818307408114931E-2</v>
      </c>
      <c r="D22" s="189">
        <f>IF(+D27=0,0,+D28/+D27)</f>
        <v>7.9276866868620011E-3</v>
      </c>
      <c r="E22" s="189">
        <f>IF(+E27=0,0,+E28/+E27)</f>
        <v>-6.0868275290445308E-3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-8003922</v>
      </c>
      <c r="D24" s="76">
        <f>+D15</f>
        <v>201923</v>
      </c>
      <c r="E24" s="76">
        <f>+E15</f>
        <v>-3485373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283887078</v>
      </c>
      <c r="D25" s="76">
        <f>+D13</f>
        <v>286711792</v>
      </c>
      <c r="E25" s="76">
        <f>+E13</f>
        <v>260451886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-3981175</v>
      </c>
      <c r="D26" s="76">
        <f>+D16</f>
        <v>2087588</v>
      </c>
      <c r="E26" s="76">
        <f>+E16</f>
        <v>1888552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279905903</v>
      </c>
      <c r="D27" s="76">
        <f>SUM(D25:D26)</f>
        <v>288799380</v>
      </c>
      <c r="E27" s="76">
        <f>SUM(E25:E26)</f>
        <v>262340438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-11985097</v>
      </c>
      <c r="D28" s="76">
        <f>+D17</f>
        <v>2289511</v>
      </c>
      <c r="E28" s="76">
        <f>+E17</f>
        <v>-1596821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47421696</v>
      </c>
      <c r="D31" s="76">
        <v>49687465</v>
      </c>
      <c r="E31" s="76">
        <v>50223049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94030425</v>
      </c>
      <c r="D32" s="76">
        <v>102343084</v>
      </c>
      <c r="E32" s="76">
        <v>106384918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-21828590</v>
      </c>
      <c r="D33" s="76">
        <f>+D32-C32</f>
        <v>8312659</v>
      </c>
      <c r="E33" s="76">
        <f>+E32-D32</f>
        <v>4041834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0.8115</v>
      </c>
      <c r="D34" s="193">
        <f>IF(C32=0,0,+D33/C32)</f>
        <v>8.8403928834736203E-2</v>
      </c>
      <c r="E34" s="193">
        <f>IF(D32=0,0,+E33/D32)</f>
        <v>3.9492986160159095E-2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1.4246930902313124</v>
      </c>
      <c r="D38" s="338">
        <f>IF(+D40=0,0,+D39/+D40)</f>
        <v>1.8048118447765338</v>
      </c>
      <c r="E38" s="338">
        <f>IF(+E40=0,0,+E39/+E40)</f>
        <v>2.0871867509848561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59392701</v>
      </c>
      <c r="D39" s="341">
        <v>70728627</v>
      </c>
      <c r="E39" s="341">
        <v>70475090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41688067</v>
      </c>
      <c r="D40" s="341">
        <v>39188920</v>
      </c>
      <c r="E40" s="341">
        <v>33765589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22.872685056354193</v>
      </c>
      <c r="D42" s="343">
        <f>IF((D48/365)=0,0,+D45/(D48/365))</f>
        <v>39.988574831963476</v>
      </c>
      <c r="E42" s="343">
        <f>IF((E48/365)=0,0,+E45/(E48/365))</f>
        <v>45.006406176577279</v>
      </c>
    </row>
    <row r="43" spans="1:14" ht="24" customHeight="1" x14ac:dyDescent="0.2">
      <c r="A43" s="339">
        <v>5</v>
      </c>
      <c r="B43" s="344" t="s">
        <v>16</v>
      </c>
      <c r="C43" s="345">
        <v>16661759</v>
      </c>
      <c r="D43" s="345">
        <v>29267992</v>
      </c>
      <c r="E43" s="345">
        <v>30231958</v>
      </c>
    </row>
    <row r="44" spans="1:14" ht="24" customHeight="1" x14ac:dyDescent="0.2">
      <c r="A44" s="339">
        <v>6</v>
      </c>
      <c r="B44" s="346" t="s">
        <v>17</v>
      </c>
      <c r="C44" s="345">
        <v>1034841</v>
      </c>
      <c r="D44" s="345">
        <v>1089172</v>
      </c>
      <c r="E44" s="345">
        <v>1203559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17696600</v>
      </c>
      <c r="D45" s="341">
        <f>+D43+D44</f>
        <v>30357164</v>
      </c>
      <c r="E45" s="341">
        <f>+E43+E44</f>
        <v>31435517</v>
      </c>
    </row>
    <row r="46" spans="1:14" ht="24" customHeight="1" x14ac:dyDescent="0.2">
      <c r="A46" s="339">
        <v>8</v>
      </c>
      <c r="B46" s="340" t="s">
        <v>334</v>
      </c>
      <c r="C46" s="341">
        <f>+C14</f>
        <v>291891000</v>
      </c>
      <c r="D46" s="341">
        <f>+D14</f>
        <v>286509869</v>
      </c>
      <c r="E46" s="341">
        <f>+E14</f>
        <v>263937259</v>
      </c>
    </row>
    <row r="47" spans="1:14" ht="24" customHeight="1" x14ac:dyDescent="0.2">
      <c r="A47" s="339">
        <v>9</v>
      </c>
      <c r="B47" s="340" t="s">
        <v>356</v>
      </c>
      <c r="C47" s="341">
        <v>9490443</v>
      </c>
      <c r="D47" s="341">
        <v>9421603</v>
      </c>
      <c r="E47" s="341">
        <v>8996581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282400557</v>
      </c>
      <c r="D48" s="341">
        <f>+D46-D47</f>
        <v>277088266</v>
      </c>
      <c r="E48" s="341">
        <f>+E46-E47</f>
        <v>254940678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43.437632536317281</v>
      </c>
      <c r="D50" s="350">
        <f>IF((D55/365)=0,0,+D54/(D55/365))</f>
        <v>42.168591681699894</v>
      </c>
      <c r="E50" s="350">
        <f>IF((E55/365)=0,0,+E54/(E55/365))</f>
        <v>39.460439269689665</v>
      </c>
    </row>
    <row r="51" spans="1:5" ht="24" customHeight="1" x14ac:dyDescent="0.2">
      <c r="A51" s="339">
        <v>12</v>
      </c>
      <c r="B51" s="344" t="s">
        <v>359</v>
      </c>
      <c r="C51" s="351">
        <v>29584627</v>
      </c>
      <c r="D51" s="351">
        <v>32367012</v>
      </c>
      <c r="E51" s="351">
        <v>29957753</v>
      </c>
    </row>
    <row r="52" spans="1:5" ht="24" customHeight="1" x14ac:dyDescent="0.2">
      <c r="A52" s="339">
        <v>13</v>
      </c>
      <c r="B52" s="344" t="s">
        <v>21</v>
      </c>
      <c r="C52" s="341">
        <v>2634481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0</v>
      </c>
      <c r="D53" s="341">
        <v>771288</v>
      </c>
      <c r="E53" s="341">
        <v>3143186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32219108</v>
      </c>
      <c r="D54" s="352">
        <f>+D51+D52-D53</f>
        <v>31595724</v>
      </c>
      <c r="E54" s="352">
        <f>+E51+E52-E53</f>
        <v>26814567</v>
      </c>
    </row>
    <row r="55" spans="1:5" ht="24" customHeight="1" x14ac:dyDescent="0.2">
      <c r="A55" s="339">
        <v>16</v>
      </c>
      <c r="B55" s="340" t="s">
        <v>75</v>
      </c>
      <c r="C55" s="341">
        <f>+C11</f>
        <v>270732398</v>
      </c>
      <c r="D55" s="341">
        <f>+D11</f>
        <v>273484098</v>
      </c>
      <c r="E55" s="341">
        <f>+E11</f>
        <v>248028586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53.881425081608462</v>
      </c>
      <c r="D57" s="355">
        <f>IF((D61/365)=0,0,+D58/(D61/365))</f>
        <v>51.622380140774347</v>
      </c>
      <c r="E57" s="355">
        <f>IF((E61/365)=0,0,+E58/(E61/365))</f>
        <v>48.342383340645227</v>
      </c>
    </row>
    <row r="58" spans="1:5" ht="24" customHeight="1" x14ac:dyDescent="0.2">
      <c r="A58" s="339">
        <v>18</v>
      </c>
      <c r="B58" s="340" t="s">
        <v>54</v>
      </c>
      <c r="C58" s="353">
        <f>+C40</f>
        <v>41688067</v>
      </c>
      <c r="D58" s="353">
        <f>+D40</f>
        <v>39188920</v>
      </c>
      <c r="E58" s="353">
        <f>+E40</f>
        <v>33765589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291891000</v>
      </c>
      <c r="D59" s="353">
        <f t="shared" si="0"/>
        <v>286509869</v>
      </c>
      <c r="E59" s="353">
        <f t="shared" si="0"/>
        <v>263937259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9490443</v>
      </c>
      <c r="D60" s="356">
        <f t="shared" si="0"/>
        <v>9421603</v>
      </c>
      <c r="E60" s="356">
        <f t="shared" si="0"/>
        <v>8996581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282400557</v>
      </c>
      <c r="D61" s="353">
        <f>+D59-D60</f>
        <v>277088266</v>
      </c>
      <c r="E61" s="353">
        <f>+E59-E60</f>
        <v>254940678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50.323095504486879</v>
      </c>
      <c r="D65" s="357">
        <f>IF(D67=0,0,(D66/D67)*100)</f>
        <v>52.727107676081289</v>
      </c>
      <c r="E65" s="357">
        <f>IF(E67=0,0,(E66/E67)*100)</f>
        <v>55.658227571545503</v>
      </c>
    </row>
    <row r="66" spans="1:5" ht="24" customHeight="1" x14ac:dyDescent="0.2">
      <c r="A66" s="339">
        <v>2</v>
      </c>
      <c r="B66" s="340" t="s">
        <v>67</v>
      </c>
      <c r="C66" s="353">
        <f>+C32</f>
        <v>94030425</v>
      </c>
      <c r="D66" s="353">
        <f>+D32</f>
        <v>102343084</v>
      </c>
      <c r="E66" s="353">
        <f>+E32</f>
        <v>106384918</v>
      </c>
    </row>
    <row r="67" spans="1:5" ht="24" customHeight="1" x14ac:dyDescent="0.2">
      <c r="A67" s="339">
        <v>3</v>
      </c>
      <c r="B67" s="340" t="s">
        <v>43</v>
      </c>
      <c r="C67" s="353">
        <v>186853420</v>
      </c>
      <c r="D67" s="353">
        <v>194099560</v>
      </c>
      <c r="E67" s="353">
        <v>191139608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-3.5722525127766551</v>
      </c>
      <c r="D69" s="357">
        <f>IF(D75=0,0,(D72/D75)*100)</f>
        <v>17.543198113208536</v>
      </c>
      <c r="E69" s="357">
        <f>IF(E75=0,0,(E72/E75)*100)</f>
        <v>12.286515492129842</v>
      </c>
    </row>
    <row r="70" spans="1:5" ht="24" customHeight="1" x14ac:dyDescent="0.2">
      <c r="A70" s="339">
        <v>5</v>
      </c>
      <c r="B70" s="340" t="s">
        <v>366</v>
      </c>
      <c r="C70" s="353">
        <f>+C28</f>
        <v>-11985097</v>
      </c>
      <c r="D70" s="353">
        <f>+D28</f>
        <v>2289511</v>
      </c>
      <c r="E70" s="353">
        <f>+E28</f>
        <v>-1596821</v>
      </c>
    </row>
    <row r="71" spans="1:5" ht="24" customHeight="1" x14ac:dyDescent="0.2">
      <c r="A71" s="339">
        <v>6</v>
      </c>
      <c r="B71" s="340" t="s">
        <v>356</v>
      </c>
      <c r="C71" s="356">
        <f>+C47</f>
        <v>9490443</v>
      </c>
      <c r="D71" s="356">
        <f>+D47</f>
        <v>9421603</v>
      </c>
      <c r="E71" s="356">
        <f>+E47</f>
        <v>8996581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-2494654</v>
      </c>
      <c r="D72" s="353">
        <f>+D70+D71</f>
        <v>11711114</v>
      </c>
      <c r="E72" s="353">
        <f>+E70+E71</f>
        <v>7399760</v>
      </c>
    </row>
    <row r="73" spans="1:5" ht="24" customHeight="1" x14ac:dyDescent="0.2">
      <c r="A73" s="339">
        <v>8</v>
      </c>
      <c r="B73" s="340" t="s">
        <v>54</v>
      </c>
      <c r="C73" s="341">
        <f>+C40</f>
        <v>41688067</v>
      </c>
      <c r="D73" s="341">
        <f>+D40</f>
        <v>39188920</v>
      </c>
      <c r="E73" s="341">
        <f>+E40</f>
        <v>33765589</v>
      </c>
    </row>
    <row r="74" spans="1:5" ht="24" customHeight="1" x14ac:dyDescent="0.2">
      <c r="A74" s="339">
        <v>9</v>
      </c>
      <c r="B74" s="340" t="s">
        <v>58</v>
      </c>
      <c r="C74" s="353">
        <v>28146134</v>
      </c>
      <c r="D74" s="353">
        <v>27566947</v>
      </c>
      <c r="E74" s="353">
        <v>26461088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69834201</v>
      </c>
      <c r="D75" s="341">
        <f>+D73+D74</f>
        <v>66755867</v>
      </c>
      <c r="E75" s="341">
        <f>+E73+E74</f>
        <v>60226677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23.03726200047916</v>
      </c>
      <c r="D77" s="359">
        <f>IF(D80=0,0,(D78/D80)*100)</f>
        <v>21.220029575699201</v>
      </c>
      <c r="E77" s="359">
        <f>IF(E80=0,0,(E78/E80)*100)</f>
        <v>19.918617651177257</v>
      </c>
    </row>
    <row r="78" spans="1:5" ht="24" customHeight="1" x14ac:dyDescent="0.2">
      <c r="A78" s="339">
        <v>12</v>
      </c>
      <c r="B78" s="340" t="s">
        <v>58</v>
      </c>
      <c r="C78" s="341">
        <f>+C74</f>
        <v>28146134</v>
      </c>
      <c r="D78" s="341">
        <f>+D74</f>
        <v>27566947</v>
      </c>
      <c r="E78" s="341">
        <f>+E74</f>
        <v>26461088</v>
      </c>
    </row>
    <row r="79" spans="1:5" ht="24" customHeight="1" x14ac:dyDescent="0.2">
      <c r="A79" s="339">
        <v>13</v>
      </c>
      <c r="B79" s="340" t="s">
        <v>67</v>
      </c>
      <c r="C79" s="341">
        <f>+C32</f>
        <v>94030425</v>
      </c>
      <c r="D79" s="341">
        <f>+D32</f>
        <v>102343084</v>
      </c>
      <c r="E79" s="341">
        <f>+E32</f>
        <v>106384918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122176559</v>
      </c>
      <c r="D80" s="341">
        <f>+D78+D79</f>
        <v>129910031</v>
      </c>
      <c r="E80" s="341">
        <f>+E78+E79</f>
        <v>132846006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78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sqref="A1:F1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33199</v>
      </c>
      <c r="D11" s="376">
        <v>8110</v>
      </c>
      <c r="E11" s="376">
        <v>8354</v>
      </c>
      <c r="F11" s="377">
        <v>106</v>
      </c>
      <c r="G11" s="377">
        <v>147</v>
      </c>
      <c r="H11" s="378">
        <f>IF(F11=0,0,$C11/(F11*365))</f>
        <v>0.85807702248643059</v>
      </c>
      <c r="I11" s="378">
        <f>IF(G11=0,0,$C11/(G11*365))</f>
        <v>0.61874941757524926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4295</v>
      </c>
      <c r="D13" s="376">
        <v>560</v>
      </c>
      <c r="E13" s="376">
        <v>0</v>
      </c>
      <c r="F13" s="377">
        <v>16</v>
      </c>
      <c r="G13" s="377">
        <v>20</v>
      </c>
      <c r="H13" s="378">
        <f>IF(F13=0,0,$C13/(F13*365))</f>
        <v>0.73544520547945202</v>
      </c>
      <c r="I13" s="378">
        <f>IF(G13=0,0,$C13/(G13*365))</f>
        <v>0.58835616438356164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1324</v>
      </c>
      <c r="D15" s="376">
        <v>183</v>
      </c>
      <c r="E15" s="376">
        <v>170</v>
      </c>
      <c r="F15" s="377">
        <v>4</v>
      </c>
      <c r="G15" s="377">
        <v>5</v>
      </c>
      <c r="H15" s="378">
        <f t="shared" ref="H15:I17" si="0">IF(F15=0,0,$C15/(F15*365))</f>
        <v>0.9068493150684932</v>
      </c>
      <c r="I15" s="378">
        <f t="shared" si="0"/>
        <v>0.72547945205479447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8037</v>
      </c>
      <c r="D16" s="376">
        <v>878</v>
      </c>
      <c r="E16" s="376">
        <v>852</v>
      </c>
      <c r="F16" s="377">
        <v>23</v>
      </c>
      <c r="G16" s="377">
        <v>25</v>
      </c>
      <c r="H16" s="378">
        <f t="shared" si="0"/>
        <v>0.95735556879094696</v>
      </c>
      <c r="I16" s="378">
        <f t="shared" si="0"/>
        <v>0.88076712328767126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9361</v>
      </c>
      <c r="D17" s="381">
        <f>SUM(D15:D16)</f>
        <v>1061</v>
      </c>
      <c r="E17" s="381">
        <f>SUM(E15:E16)</f>
        <v>1022</v>
      </c>
      <c r="F17" s="381">
        <f>SUM(F15:F16)</f>
        <v>27</v>
      </c>
      <c r="G17" s="381">
        <f>SUM(G15:G16)</f>
        <v>30</v>
      </c>
      <c r="H17" s="382">
        <f t="shared" si="0"/>
        <v>0.94987316083206497</v>
      </c>
      <c r="I17" s="382">
        <f t="shared" si="0"/>
        <v>0.85488584474885843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3249</v>
      </c>
      <c r="D21" s="376">
        <v>1238</v>
      </c>
      <c r="E21" s="376">
        <v>1235</v>
      </c>
      <c r="F21" s="377">
        <v>9</v>
      </c>
      <c r="G21" s="377">
        <v>27</v>
      </c>
      <c r="H21" s="378">
        <f>IF(F21=0,0,$C21/(F21*365))</f>
        <v>0.989041095890411</v>
      </c>
      <c r="I21" s="378">
        <f>IF(G21=0,0,$C21/(G21*365))</f>
        <v>0.32968036529680367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2245</v>
      </c>
      <c r="D23" s="376">
        <v>947</v>
      </c>
      <c r="E23" s="376">
        <v>1176</v>
      </c>
      <c r="F23" s="377">
        <v>10</v>
      </c>
      <c r="G23" s="377">
        <v>36</v>
      </c>
      <c r="H23" s="378">
        <f>IF(F23=0,0,$C23/(F23*365))</f>
        <v>0.6150684931506849</v>
      </c>
      <c r="I23" s="378">
        <f>IF(G23=0,0,$C23/(G23*365))</f>
        <v>0.1708523592085236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1460</v>
      </c>
      <c r="D25" s="376">
        <v>232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1290</v>
      </c>
      <c r="D29" s="376">
        <v>259</v>
      </c>
      <c r="E29" s="376">
        <v>232</v>
      </c>
      <c r="F29" s="377">
        <v>8</v>
      </c>
      <c r="G29" s="377">
        <v>8</v>
      </c>
      <c r="H29" s="378">
        <f>IF(F29=0,0,$C29/(F29*365))</f>
        <v>0.44178082191780821</v>
      </c>
      <c r="I29" s="378">
        <f>IF(G29=0,0,$C29/(G29*365))</f>
        <v>0.44178082191780821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52854</v>
      </c>
      <c r="D31" s="384">
        <f>SUM(D10:D29)-D13-D17-D23</f>
        <v>10900</v>
      </c>
      <c r="E31" s="384">
        <f>SUM(E10:E29)-E17-E23</f>
        <v>10843</v>
      </c>
      <c r="F31" s="384">
        <f>SUM(F10:F29)-F17-F23</f>
        <v>166</v>
      </c>
      <c r="G31" s="384">
        <f>SUM(G10:G29)-G17-G23</f>
        <v>232</v>
      </c>
      <c r="H31" s="385">
        <f>IF(F31=0,0,$C31/(F31*365))</f>
        <v>0.87232216537382401</v>
      </c>
      <c r="I31" s="385">
        <f>IF(G31=0,0,$C31/(G31*365))</f>
        <v>0.62416154936230517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55099</v>
      </c>
      <c r="D33" s="384">
        <f>SUM(D10:D29)-D13-D17</f>
        <v>11847</v>
      </c>
      <c r="E33" s="384">
        <f>SUM(E10:E29)-E17</f>
        <v>12019</v>
      </c>
      <c r="F33" s="384">
        <f>SUM(F10:F29)-F17</f>
        <v>176</v>
      </c>
      <c r="G33" s="384">
        <f>SUM(G10:G29)-G17</f>
        <v>268</v>
      </c>
      <c r="H33" s="385">
        <f>IF(F33=0,0,$C33/(F33*365))</f>
        <v>0.85770547945205478</v>
      </c>
      <c r="I33" s="385">
        <f>IF(G33=0,0,$C33/(G33*365))</f>
        <v>0.56326927008791661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55099</v>
      </c>
      <c r="D36" s="384">
        <f t="shared" si="1"/>
        <v>11847</v>
      </c>
      <c r="E36" s="384">
        <f t="shared" si="1"/>
        <v>12019</v>
      </c>
      <c r="F36" s="384">
        <f t="shared" si="1"/>
        <v>176</v>
      </c>
      <c r="G36" s="384">
        <f t="shared" si="1"/>
        <v>268</v>
      </c>
      <c r="H36" s="387">
        <f t="shared" si="1"/>
        <v>0.85770547945205478</v>
      </c>
      <c r="I36" s="387">
        <f t="shared" si="1"/>
        <v>0.56326927008791661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57548</v>
      </c>
      <c r="D37" s="384">
        <v>12364</v>
      </c>
      <c r="E37" s="384">
        <v>11410</v>
      </c>
      <c r="F37" s="386">
        <v>190</v>
      </c>
      <c r="G37" s="386">
        <v>280</v>
      </c>
      <c r="H37" s="385">
        <f>IF(F37=0,0,$C37/(F37*365))</f>
        <v>0.82981975486661863</v>
      </c>
      <c r="I37" s="385">
        <f>IF(G37=0,0,$C37/(G37*365))</f>
        <v>0.56309197651663401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-2449</v>
      </c>
      <c r="D38" s="384">
        <f t="shared" si="2"/>
        <v>-517</v>
      </c>
      <c r="E38" s="384">
        <f t="shared" si="2"/>
        <v>609</v>
      </c>
      <c r="F38" s="384">
        <f t="shared" si="2"/>
        <v>-14</v>
      </c>
      <c r="G38" s="384">
        <f t="shared" si="2"/>
        <v>-12</v>
      </c>
      <c r="H38" s="387">
        <f t="shared" si="2"/>
        <v>2.7885724585436145E-2</v>
      </c>
      <c r="I38" s="387">
        <f t="shared" si="2"/>
        <v>1.7729357128259959E-4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-4.2555779523180647E-2</v>
      </c>
      <c r="D40" s="389">
        <f t="shared" si="3"/>
        <v>-4.1814946619217079E-2</v>
      </c>
      <c r="E40" s="389">
        <f t="shared" si="3"/>
        <v>5.3374233128834353E-2</v>
      </c>
      <c r="F40" s="389">
        <f t="shared" si="3"/>
        <v>-7.3684210526315783E-2</v>
      </c>
      <c r="G40" s="389">
        <f t="shared" si="3"/>
        <v>-4.2857142857142858E-2</v>
      </c>
      <c r="H40" s="389">
        <f t="shared" si="3"/>
        <v>3.3604556196566285E-2</v>
      </c>
      <c r="I40" s="389">
        <f t="shared" si="3"/>
        <v>3.14857214587504E-4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393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5" bottom="0.5" header="0.25" footer="0.25"/>
  <pageSetup scale="74" fitToHeight="0" orientation="landscape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6309</v>
      </c>
      <c r="D12" s="409">
        <v>5919</v>
      </c>
      <c r="E12" s="409">
        <f>+D12-C12</f>
        <v>-390</v>
      </c>
      <c r="F12" s="410">
        <f>IF(C12=0,0,+E12/C12)</f>
        <v>-6.1816452686638136E-2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2449</v>
      </c>
      <c r="D13" s="409">
        <v>3451</v>
      </c>
      <c r="E13" s="409">
        <f>+D13-C13</f>
        <v>1002</v>
      </c>
      <c r="F13" s="410">
        <f>IF(C13=0,0,+E13/C13)</f>
        <v>0.40914659044507962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6651</v>
      </c>
      <c r="D14" s="409">
        <v>7961</v>
      </c>
      <c r="E14" s="409">
        <f>+D14-C14</f>
        <v>1310</v>
      </c>
      <c r="F14" s="410">
        <f>IF(C14=0,0,+E14/C14)</f>
        <v>0.1969628627274094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15409</v>
      </c>
      <c r="D16" s="401">
        <f>SUM(D12:D15)</f>
        <v>17331</v>
      </c>
      <c r="E16" s="401">
        <f>+D16-C16</f>
        <v>1922</v>
      </c>
      <c r="F16" s="402">
        <f>IF(C16=0,0,+E16/C16)</f>
        <v>0.12473229930560062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0</v>
      </c>
      <c r="D19" s="409">
        <v>0</v>
      </c>
      <c r="E19" s="409">
        <f>+D19-C19</f>
        <v>0</v>
      </c>
      <c r="F19" s="410">
        <f>IF(C19=0,0,+E19/C19)</f>
        <v>0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0</v>
      </c>
      <c r="D20" s="409">
        <v>0</v>
      </c>
      <c r="E20" s="409">
        <f>+D20-C20</f>
        <v>0</v>
      </c>
      <c r="F20" s="410">
        <f>IF(C20=0,0,+E20/C20)</f>
        <v>0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0</v>
      </c>
      <c r="D21" s="409">
        <v>0</v>
      </c>
      <c r="E21" s="409">
        <f>+D21-C21</f>
        <v>0</v>
      </c>
      <c r="F21" s="410">
        <f>IF(C21=0,0,+E21/C21)</f>
        <v>0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2140</v>
      </c>
      <c r="D22" s="409">
        <v>8238</v>
      </c>
      <c r="E22" s="409">
        <f>+D22-C22</f>
        <v>6098</v>
      </c>
      <c r="F22" s="410">
        <f>IF(C22=0,0,+E22/C22)</f>
        <v>2.849532710280374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2140</v>
      </c>
      <c r="D23" s="401">
        <f>SUM(D19:D22)</f>
        <v>8238</v>
      </c>
      <c r="E23" s="401">
        <f>+D23-C23</f>
        <v>6098</v>
      </c>
      <c r="F23" s="402">
        <f>IF(C23=0,0,+E23/C23)</f>
        <v>2.849532710280374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53</v>
      </c>
      <c r="D43" s="409">
        <v>75</v>
      </c>
      <c r="E43" s="409">
        <f>+D43-C43</f>
        <v>22</v>
      </c>
      <c r="F43" s="410">
        <f>IF(C43=0,0,+E43/C43)</f>
        <v>0.41509433962264153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0</v>
      </c>
      <c r="D44" s="409">
        <v>1</v>
      </c>
      <c r="E44" s="409">
        <f>+D44-C44</f>
        <v>1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53</v>
      </c>
      <c r="D45" s="401">
        <f>SUM(D43:D44)</f>
        <v>76</v>
      </c>
      <c r="E45" s="401">
        <f>+D45-C45</f>
        <v>23</v>
      </c>
      <c r="F45" s="402">
        <f>IF(C45=0,0,+E45/C45)</f>
        <v>0.43396226415094341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469</v>
      </c>
      <c r="D48" s="409">
        <v>351</v>
      </c>
      <c r="E48" s="409">
        <f>+D48-C48</f>
        <v>-118</v>
      </c>
      <c r="F48" s="410">
        <f>IF(C48=0,0,+E48/C48)</f>
        <v>-0.25159914712153519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319</v>
      </c>
      <c r="D49" s="409">
        <v>472</v>
      </c>
      <c r="E49" s="409">
        <f>+D49-C49</f>
        <v>153</v>
      </c>
      <c r="F49" s="410">
        <f>IF(C49=0,0,+E49/C49)</f>
        <v>0.47962382445141066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788</v>
      </c>
      <c r="D50" s="401">
        <f>SUM(D48:D49)</f>
        <v>823</v>
      </c>
      <c r="E50" s="401">
        <f>+D50-C50</f>
        <v>35</v>
      </c>
      <c r="F50" s="402">
        <f>IF(C50=0,0,+E50/C50)</f>
        <v>4.4416243654822336E-2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149</v>
      </c>
      <c r="D53" s="409">
        <v>150</v>
      </c>
      <c r="E53" s="409">
        <f>+D53-C53</f>
        <v>1</v>
      </c>
      <c r="F53" s="410">
        <f>IF(C53=0,0,+E53/C53)</f>
        <v>6.7114093959731542E-3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188</v>
      </c>
      <c r="D54" s="409">
        <v>174</v>
      </c>
      <c r="E54" s="409">
        <f>+D54-C54</f>
        <v>-14</v>
      </c>
      <c r="F54" s="410">
        <f>IF(C54=0,0,+E54/C54)</f>
        <v>-7.4468085106382975E-2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337</v>
      </c>
      <c r="D55" s="401">
        <f>SUM(D53:D54)</f>
        <v>324</v>
      </c>
      <c r="E55" s="401">
        <f>+D55-C55</f>
        <v>-13</v>
      </c>
      <c r="F55" s="402">
        <f>IF(C55=0,0,+E55/C55)</f>
        <v>-3.857566765578635E-2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130</v>
      </c>
      <c r="D58" s="409">
        <v>111</v>
      </c>
      <c r="E58" s="409">
        <f>+D58-C58</f>
        <v>-19</v>
      </c>
      <c r="F58" s="410">
        <f>IF(C58=0,0,+E58/C58)</f>
        <v>-0.14615384615384616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81</v>
      </c>
      <c r="D59" s="409">
        <v>101</v>
      </c>
      <c r="E59" s="409">
        <f>+D59-C59</f>
        <v>20</v>
      </c>
      <c r="F59" s="410">
        <f>IF(C59=0,0,+E59/C59)</f>
        <v>0.24691358024691357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211</v>
      </c>
      <c r="D60" s="401">
        <f>SUM(D58:D59)</f>
        <v>212</v>
      </c>
      <c r="E60" s="401">
        <f>SUM(E58:E59)</f>
        <v>1</v>
      </c>
      <c r="F60" s="402">
        <f>IF(C60=0,0,+E60/C60)</f>
        <v>4.7393364928909956E-3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2544</v>
      </c>
      <c r="D63" s="409">
        <v>2191</v>
      </c>
      <c r="E63" s="409">
        <f>+D63-C63</f>
        <v>-353</v>
      </c>
      <c r="F63" s="410">
        <f>IF(C63=0,0,+E63/C63)</f>
        <v>-0.13875786163522014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4920</v>
      </c>
      <c r="D64" s="409">
        <v>4831</v>
      </c>
      <c r="E64" s="409">
        <f>+D64-C64</f>
        <v>-89</v>
      </c>
      <c r="F64" s="410">
        <f>IF(C64=0,0,+E64/C64)</f>
        <v>-1.8089430894308943E-2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7464</v>
      </c>
      <c r="D65" s="401">
        <f>SUM(D63:D64)</f>
        <v>7022</v>
      </c>
      <c r="E65" s="401">
        <f>+D65-C65</f>
        <v>-442</v>
      </c>
      <c r="F65" s="402">
        <f>IF(C65=0,0,+E65/C65)</f>
        <v>-5.9217577706323687E-2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359</v>
      </c>
      <c r="D68" s="409">
        <v>272</v>
      </c>
      <c r="E68" s="409">
        <f>+D68-C68</f>
        <v>-87</v>
      </c>
      <c r="F68" s="410">
        <f>IF(C68=0,0,+E68/C68)</f>
        <v>-0.24233983286908078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1034</v>
      </c>
      <c r="D69" s="409">
        <v>788</v>
      </c>
      <c r="E69" s="409">
        <f>+D69-C69</f>
        <v>-246</v>
      </c>
      <c r="F69" s="412">
        <f>IF(C69=0,0,+E69/C69)</f>
        <v>-0.23791102514506771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1393</v>
      </c>
      <c r="D70" s="401">
        <f>SUM(D68:D69)</f>
        <v>1060</v>
      </c>
      <c r="E70" s="401">
        <f>+D70-C70</f>
        <v>-333</v>
      </c>
      <c r="F70" s="402">
        <f>IF(C70=0,0,+E70/C70)</f>
        <v>-0.23905240488155061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8267</v>
      </c>
      <c r="D73" s="376">
        <v>7836</v>
      </c>
      <c r="E73" s="409">
        <f>+D73-C73</f>
        <v>-431</v>
      </c>
      <c r="F73" s="410">
        <f>IF(C73=0,0,+E73/C73)</f>
        <v>-5.2134994556671102E-2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47677</v>
      </c>
      <c r="D74" s="376">
        <v>46520</v>
      </c>
      <c r="E74" s="409">
        <f>+D74-C74</f>
        <v>-1157</v>
      </c>
      <c r="F74" s="410">
        <f>IF(C74=0,0,+E74/C74)</f>
        <v>-2.4267466493277681E-2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55944</v>
      </c>
      <c r="D75" s="401">
        <f>SUM(D73:D74)</f>
        <v>54356</v>
      </c>
      <c r="E75" s="401">
        <f>SUM(E73:E74)</f>
        <v>-1588</v>
      </c>
      <c r="F75" s="402">
        <f>IF(C75=0,0,+E75/C75)</f>
        <v>-2.8385528385528387E-2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28791</v>
      </c>
      <c r="D81" s="376">
        <v>27083</v>
      </c>
      <c r="E81" s="409">
        <f t="shared" si="0"/>
        <v>-1708</v>
      </c>
      <c r="F81" s="410">
        <f t="shared" si="1"/>
        <v>-5.9324094335035257E-2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5408</v>
      </c>
      <c r="E91" s="409">
        <f t="shared" si="0"/>
        <v>5408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28791</v>
      </c>
      <c r="D92" s="381">
        <f>SUM(D79:D91)</f>
        <v>32491</v>
      </c>
      <c r="E92" s="401">
        <f t="shared" si="0"/>
        <v>3700</v>
      </c>
      <c r="F92" s="402">
        <f t="shared" si="1"/>
        <v>0.12851238234170401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0</v>
      </c>
      <c r="D95" s="414">
        <v>0</v>
      </c>
      <c r="E95" s="415">
        <f t="shared" ref="E95:E100" si="2">+D95-C95</f>
        <v>0</v>
      </c>
      <c r="F95" s="412">
        <f t="shared" ref="F95:F100" si="3">IF(C95=0,0,+E95/C95)</f>
        <v>0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2320</v>
      </c>
      <c r="D96" s="414">
        <v>2634</v>
      </c>
      <c r="E96" s="409">
        <f t="shared" si="2"/>
        <v>314</v>
      </c>
      <c r="F96" s="410">
        <f t="shared" si="3"/>
        <v>0.13534482758620689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0</v>
      </c>
      <c r="D97" s="414">
        <v>660</v>
      </c>
      <c r="E97" s="409">
        <f t="shared" si="2"/>
        <v>660</v>
      </c>
      <c r="F97" s="410">
        <f t="shared" si="3"/>
        <v>0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2938</v>
      </c>
      <c r="D98" s="414">
        <v>2886</v>
      </c>
      <c r="E98" s="409">
        <f t="shared" si="2"/>
        <v>-52</v>
      </c>
      <c r="F98" s="410">
        <f t="shared" si="3"/>
        <v>-1.7699115044247787E-2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122725</v>
      </c>
      <c r="D99" s="414">
        <v>115539</v>
      </c>
      <c r="E99" s="409">
        <f t="shared" si="2"/>
        <v>-7186</v>
      </c>
      <c r="F99" s="410">
        <f t="shared" si="3"/>
        <v>-5.8553676919942961E-2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127983</v>
      </c>
      <c r="D100" s="381">
        <f>SUM(D95:D99)</f>
        <v>121719</v>
      </c>
      <c r="E100" s="401">
        <f t="shared" si="2"/>
        <v>-6264</v>
      </c>
      <c r="F100" s="402">
        <f t="shared" si="3"/>
        <v>-4.8944000375049812E-2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353</v>
      </c>
      <c r="D104" s="416">
        <v>335.5</v>
      </c>
      <c r="E104" s="417">
        <f>+D104-C104</f>
        <v>-17.5</v>
      </c>
      <c r="F104" s="410">
        <f>IF(C104=0,0,+E104/C104)</f>
        <v>-4.9575070821529746E-2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77.3</v>
      </c>
      <c r="D105" s="416">
        <v>62.9</v>
      </c>
      <c r="E105" s="417">
        <f>+D105-C105</f>
        <v>-14.399999999999999</v>
      </c>
      <c r="F105" s="410">
        <f>IF(C105=0,0,+E105/C105)</f>
        <v>-0.18628719275549804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869.6</v>
      </c>
      <c r="D106" s="416">
        <v>810.7</v>
      </c>
      <c r="E106" s="417">
        <f>+D106-C106</f>
        <v>-58.899999999999977</v>
      </c>
      <c r="F106" s="410">
        <f>IF(C106=0,0,+E106/C106)</f>
        <v>-6.773229070837164E-2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1299.9000000000001</v>
      </c>
      <c r="D107" s="418">
        <f>SUM(D104:D106)</f>
        <v>1209.0999999999999</v>
      </c>
      <c r="E107" s="418">
        <f>+D107-C107</f>
        <v>-90.800000000000182</v>
      </c>
      <c r="F107" s="402">
        <f>IF(C107=0,0,+E107/C107)</f>
        <v>-6.9851527040541719E-2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="75" zoomScaleSheetLayoutView="90" workbookViewId="0">
      <selection sqref="A1:F1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4920</v>
      </c>
      <c r="D12" s="409">
        <v>4831</v>
      </c>
      <c r="E12" s="409">
        <f>+D12-C12</f>
        <v>-89</v>
      </c>
      <c r="F12" s="410">
        <f>IF(C12=0,0,+E12/C12)</f>
        <v>-1.8089430894308943E-2</v>
      </c>
    </row>
    <row r="13" spans="1:6" ht="15.75" customHeight="1" x14ac:dyDescent="0.25">
      <c r="A13" s="374"/>
      <c r="B13" s="399" t="s">
        <v>622</v>
      </c>
      <c r="C13" s="401">
        <f>SUM(C11:C12)</f>
        <v>4920</v>
      </c>
      <c r="D13" s="401">
        <f>SUM(D11:D12)</f>
        <v>4831</v>
      </c>
      <c r="E13" s="401">
        <f>+D13-C13</f>
        <v>-89</v>
      </c>
      <c r="F13" s="402">
        <f>IF(C13=0,0,+E13/C13)</f>
        <v>-1.8089430894308943E-2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1034</v>
      </c>
      <c r="D16" s="409">
        <v>788</v>
      </c>
      <c r="E16" s="409">
        <f>+D16-C16</f>
        <v>-246</v>
      </c>
      <c r="F16" s="410">
        <f>IF(C16=0,0,+E16/C16)</f>
        <v>-0.23791102514506771</v>
      </c>
    </row>
    <row r="17" spans="1:6" ht="15.75" customHeight="1" x14ac:dyDescent="0.25">
      <c r="A17" s="374"/>
      <c r="B17" s="399" t="s">
        <v>623</v>
      </c>
      <c r="C17" s="401">
        <f>SUM(C15:C16)</f>
        <v>1034</v>
      </c>
      <c r="D17" s="401">
        <f>SUM(D15:D16)</f>
        <v>788</v>
      </c>
      <c r="E17" s="401">
        <f>+D17-C17</f>
        <v>-246</v>
      </c>
      <c r="F17" s="402">
        <f>IF(C17=0,0,+E17/C17)</f>
        <v>-0.23791102514506771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47677</v>
      </c>
      <c r="D20" s="409">
        <v>46520</v>
      </c>
      <c r="E20" s="409">
        <f>+D20-C20</f>
        <v>-1157</v>
      </c>
      <c r="F20" s="410">
        <f>IF(C20=0,0,+E20/C20)</f>
        <v>-2.4267466493277681E-2</v>
      </c>
    </row>
    <row r="21" spans="1:6" ht="15.75" customHeight="1" x14ac:dyDescent="0.25">
      <c r="A21" s="374"/>
      <c r="B21" s="399" t="s">
        <v>625</v>
      </c>
      <c r="C21" s="401">
        <f>SUM(C19:C20)</f>
        <v>47677</v>
      </c>
      <c r="D21" s="401">
        <f>SUM(D19:D20)</f>
        <v>46520</v>
      </c>
      <c r="E21" s="401">
        <f>+D21-C21</f>
        <v>-1157</v>
      </c>
      <c r="F21" s="402">
        <f>IF(C21=0,0,+E21/C21)</f>
        <v>-2.4267466493277681E-2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0" t="s">
        <v>626</v>
      </c>
      <c r="C23" s="811"/>
      <c r="D23" s="811"/>
      <c r="E23" s="811"/>
      <c r="F23" s="812"/>
    </row>
    <row r="24" spans="1:6" ht="15.75" customHeight="1" x14ac:dyDescent="0.25">
      <c r="A24" s="392"/>
    </row>
    <row r="25" spans="1:6" ht="15.75" customHeight="1" x14ac:dyDescent="0.25">
      <c r="B25" s="810" t="s">
        <v>627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628</v>
      </c>
      <c r="C27" s="811"/>
      <c r="D27" s="811"/>
      <c r="E27" s="811"/>
      <c r="F27" s="812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629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630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631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632</v>
      </c>
      <c r="D7" s="426" t="s">
        <v>632</v>
      </c>
      <c r="E7" s="426" t="s">
        <v>633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634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635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636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637</v>
      </c>
      <c r="C15" s="448">
        <v>289311831</v>
      </c>
      <c r="D15" s="448">
        <v>260207823</v>
      </c>
      <c r="E15" s="448">
        <f t="shared" ref="E15:E24" si="0">D15-C15</f>
        <v>-29104008</v>
      </c>
      <c r="F15" s="449">
        <f t="shared" ref="F15:F24" si="1">IF(C15=0,0,E15/C15)</f>
        <v>-0.10059736547725212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638</v>
      </c>
      <c r="C16" s="448">
        <v>77014129</v>
      </c>
      <c r="D16" s="448">
        <v>58554766</v>
      </c>
      <c r="E16" s="448">
        <f t="shared" si="0"/>
        <v>-18459363</v>
      </c>
      <c r="F16" s="449">
        <f t="shared" si="1"/>
        <v>-0.23968800582033462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639</v>
      </c>
      <c r="C17" s="453">
        <f>IF(C15=0,0,C16/C15)</f>
        <v>0.26619764817015035</v>
      </c>
      <c r="D17" s="453">
        <f>IF(LN_IA1=0,0,LN_IA2/LN_IA1)</f>
        <v>0.22503076704192709</v>
      </c>
      <c r="E17" s="454">
        <f t="shared" si="0"/>
        <v>-4.1166881128223254E-2</v>
      </c>
      <c r="F17" s="449">
        <f t="shared" si="1"/>
        <v>-0.15464780177888679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5734</v>
      </c>
      <c r="D18" s="456">
        <v>5301</v>
      </c>
      <c r="E18" s="456">
        <f t="shared" si="0"/>
        <v>-433</v>
      </c>
      <c r="F18" s="449">
        <f t="shared" si="1"/>
        <v>-7.5514475061039407E-2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640</v>
      </c>
      <c r="C19" s="459">
        <v>1.5455000000000001</v>
      </c>
      <c r="D19" s="459">
        <v>1.5699000000000001</v>
      </c>
      <c r="E19" s="460">
        <f t="shared" si="0"/>
        <v>2.4399999999999977E-2</v>
      </c>
      <c r="F19" s="449">
        <f t="shared" si="1"/>
        <v>1.5787770947913282E-2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641</v>
      </c>
      <c r="C20" s="463">
        <f>C18*C19</f>
        <v>8861.8970000000008</v>
      </c>
      <c r="D20" s="463">
        <f>LN_IA4*LN_IA5</f>
        <v>8322.0398999999998</v>
      </c>
      <c r="E20" s="463">
        <f t="shared" si="0"/>
        <v>-539.85710000000108</v>
      </c>
      <c r="F20" s="449">
        <f t="shared" si="1"/>
        <v>-6.0918909348641838E-2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642</v>
      </c>
      <c r="C21" s="465">
        <f>IF(C20=0,0,C16/C20)</f>
        <v>8690.478912133598</v>
      </c>
      <c r="D21" s="465">
        <f>IF(LN_IA6=0,0,LN_IA2/LN_IA6)</f>
        <v>7036.1073370965214</v>
      </c>
      <c r="E21" s="465">
        <f t="shared" si="0"/>
        <v>-1654.3715750370766</v>
      </c>
      <c r="F21" s="449">
        <f t="shared" si="1"/>
        <v>-0.19036598463259052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31301</v>
      </c>
      <c r="D22" s="456">
        <v>29000</v>
      </c>
      <c r="E22" s="456">
        <f t="shared" si="0"/>
        <v>-2301</v>
      </c>
      <c r="F22" s="449">
        <f t="shared" si="1"/>
        <v>-7.3512028369700652E-2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643</v>
      </c>
      <c r="C23" s="465">
        <f>IF(C22=0,0,C16/C22)</f>
        <v>2460.4366953132489</v>
      </c>
      <c r="D23" s="465">
        <f>IF(LN_IA8=0,0,LN_IA2/LN_IA8)</f>
        <v>2019.1298620689656</v>
      </c>
      <c r="E23" s="465">
        <f t="shared" si="0"/>
        <v>-441.30683324428333</v>
      </c>
      <c r="F23" s="449">
        <f t="shared" si="1"/>
        <v>-0.17936118173042392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644</v>
      </c>
      <c r="C24" s="466">
        <f>IF(C18=0,0,C22/C18)</f>
        <v>5.4588419951168472</v>
      </c>
      <c r="D24" s="466">
        <f>IF(LN_IA4=0,0,LN_IA8/LN_IA4)</f>
        <v>5.4706659120920582</v>
      </c>
      <c r="E24" s="466">
        <f t="shared" si="0"/>
        <v>1.1823916975211013E-2</v>
      </c>
      <c r="F24" s="449">
        <f t="shared" si="1"/>
        <v>2.1660119464509105E-3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645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646</v>
      </c>
      <c r="C27" s="448">
        <v>125437700</v>
      </c>
      <c r="D27" s="448">
        <v>138907689</v>
      </c>
      <c r="E27" s="448">
        <f t="shared" ref="E27:E32" si="2">D27-C27</f>
        <v>13469989</v>
      </c>
      <c r="F27" s="449">
        <f t="shared" ref="F27:F32" si="3">IF(C27=0,0,E27/C27)</f>
        <v>0.10738389654784805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647</v>
      </c>
      <c r="C28" s="448">
        <v>24866209</v>
      </c>
      <c r="D28" s="448">
        <v>21965286</v>
      </c>
      <c r="E28" s="448">
        <f t="shared" si="2"/>
        <v>-2900923</v>
      </c>
      <c r="F28" s="449">
        <f t="shared" si="3"/>
        <v>-0.11666124900663387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648</v>
      </c>
      <c r="C29" s="453">
        <f>IF(C27=0,0,C28/C27)</f>
        <v>0.19823553046651843</v>
      </c>
      <c r="D29" s="453">
        <f>IF(LN_IA11=0,0,LN_IA12/LN_IA11)</f>
        <v>0.15812865477878621</v>
      </c>
      <c r="E29" s="454">
        <f t="shared" si="2"/>
        <v>-4.0106875687732219E-2</v>
      </c>
      <c r="F29" s="449">
        <f t="shared" si="3"/>
        <v>-0.20231930972891959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649</v>
      </c>
      <c r="C30" s="453">
        <f>IF(C15=0,0,C27/C15)</f>
        <v>0.43357265952943347</v>
      </c>
      <c r="D30" s="453">
        <f>IF(LN_IA1=0,0,LN_IA11/LN_IA1)</f>
        <v>0.53383363881415669</v>
      </c>
      <c r="E30" s="454">
        <f t="shared" si="2"/>
        <v>0.10026097928472322</v>
      </c>
      <c r="F30" s="449">
        <f t="shared" si="3"/>
        <v>0.23124377674906624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650</v>
      </c>
      <c r="C31" s="463">
        <f>C30*C18</f>
        <v>2486.1056297417713</v>
      </c>
      <c r="D31" s="463">
        <f>LN_IA14*LN_IA4</f>
        <v>2829.8521193538445</v>
      </c>
      <c r="E31" s="463">
        <f t="shared" si="2"/>
        <v>343.74648961207322</v>
      </c>
      <c r="F31" s="449">
        <f t="shared" si="3"/>
        <v>0.13826704927568895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651</v>
      </c>
      <c r="C32" s="465">
        <f>IF(C31=0,0,C28/C31)</f>
        <v>10002.072600021755</v>
      </c>
      <c r="D32" s="465">
        <f>IF(LN_IA15=0,0,LN_IA12/LN_IA15)</f>
        <v>7761.9907590844196</v>
      </c>
      <c r="E32" s="465">
        <f t="shared" si="2"/>
        <v>-2240.0818409373351</v>
      </c>
      <c r="F32" s="449">
        <f t="shared" si="3"/>
        <v>-0.22396176577767121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652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653</v>
      </c>
      <c r="C35" s="448">
        <f>C15+C27</f>
        <v>414749531</v>
      </c>
      <c r="D35" s="448">
        <f>LN_IA1+LN_IA11</f>
        <v>399115512</v>
      </c>
      <c r="E35" s="448">
        <f>D35-C35</f>
        <v>-15634019</v>
      </c>
      <c r="F35" s="449">
        <f>IF(C35=0,0,E35/C35)</f>
        <v>-3.7695085422531797E-2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654</v>
      </c>
      <c r="C36" s="448">
        <f>C16+C28</f>
        <v>101880338</v>
      </c>
      <c r="D36" s="448">
        <f>LN_IA2+LN_IA12</f>
        <v>80520052</v>
      </c>
      <c r="E36" s="448">
        <f>D36-C36</f>
        <v>-21360286</v>
      </c>
      <c r="F36" s="449">
        <f>IF(C36=0,0,E36/C36)</f>
        <v>-0.20966053332096327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655</v>
      </c>
      <c r="C37" s="448">
        <f>C35-C36</f>
        <v>312869193</v>
      </c>
      <c r="D37" s="448">
        <f>LN_IA17-LN_IA18</f>
        <v>318595460</v>
      </c>
      <c r="E37" s="448">
        <f>D37-C37</f>
        <v>5726267</v>
      </c>
      <c r="F37" s="449">
        <f>IF(C37=0,0,E37/C37)</f>
        <v>1.8302431585202446E-2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656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657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637</v>
      </c>
      <c r="C42" s="448">
        <v>133641420</v>
      </c>
      <c r="D42" s="448">
        <v>123031545</v>
      </c>
      <c r="E42" s="448">
        <f t="shared" ref="E42:E53" si="4">D42-C42</f>
        <v>-10609875</v>
      </c>
      <c r="F42" s="449">
        <f t="shared" ref="F42:F53" si="5">IF(C42=0,0,E42/C42)</f>
        <v>-7.939061856720768E-2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638</v>
      </c>
      <c r="C43" s="448">
        <v>48451862</v>
      </c>
      <c r="D43" s="448">
        <v>47526120</v>
      </c>
      <c r="E43" s="448">
        <f t="shared" si="4"/>
        <v>-925742</v>
      </c>
      <c r="F43" s="449">
        <f t="shared" si="5"/>
        <v>-1.9106427736461398E-2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639</v>
      </c>
      <c r="C44" s="453">
        <f>IF(C42=0,0,C43/C42)</f>
        <v>0.36255123598656763</v>
      </c>
      <c r="D44" s="453">
        <f>IF(LN_IB1=0,0,LN_IB2/LN_IB1)</f>
        <v>0.38629214970843451</v>
      </c>
      <c r="E44" s="454">
        <f t="shared" si="4"/>
        <v>2.3740913721866874E-2</v>
      </c>
      <c r="F44" s="449">
        <f t="shared" si="5"/>
        <v>6.5482920385758842E-2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3407</v>
      </c>
      <c r="D45" s="456">
        <v>3287</v>
      </c>
      <c r="E45" s="456">
        <f t="shared" si="4"/>
        <v>-120</v>
      </c>
      <c r="F45" s="449">
        <f t="shared" si="5"/>
        <v>-3.5221602582917524E-2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640</v>
      </c>
      <c r="C46" s="459">
        <v>1.2645</v>
      </c>
      <c r="D46" s="459">
        <v>1.2595000000000001</v>
      </c>
      <c r="E46" s="460">
        <f t="shared" si="4"/>
        <v>-4.9999999999998934E-3</v>
      </c>
      <c r="F46" s="449">
        <f t="shared" si="5"/>
        <v>-3.9541320680109874E-3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641</v>
      </c>
      <c r="C47" s="463">
        <f>C45*C46</f>
        <v>4308.1514999999999</v>
      </c>
      <c r="D47" s="463">
        <f>LN_IB4*LN_IB5</f>
        <v>4139.9764999999998</v>
      </c>
      <c r="E47" s="463">
        <f t="shared" si="4"/>
        <v>-168.17500000000018</v>
      </c>
      <c r="F47" s="449">
        <f t="shared" si="5"/>
        <v>-3.9036463782668784E-2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642</v>
      </c>
      <c r="C48" s="465">
        <f>IF(C47=0,0,C43/C47)</f>
        <v>11246.554815911186</v>
      </c>
      <c r="D48" s="465">
        <f>IF(LN_IB6=0,0,LN_IB2/LN_IB6)</f>
        <v>11479.804293575096</v>
      </c>
      <c r="E48" s="465">
        <f t="shared" si="4"/>
        <v>233.24947766391051</v>
      </c>
      <c r="F48" s="449">
        <f t="shared" si="5"/>
        <v>2.0739638180922594E-2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658</v>
      </c>
      <c r="C49" s="465">
        <f>C21-C48</f>
        <v>-2556.0759037775879</v>
      </c>
      <c r="D49" s="465">
        <f>LN_IA7-LN_IB7</f>
        <v>-4443.696956478575</v>
      </c>
      <c r="E49" s="465">
        <f t="shared" si="4"/>
        <v>-1887.6210527009871</v>
      </c>
      <c r="F49" s="449">
        <f t="shared" si="5"/>
        <v>0.73848395891190044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659</v>
      </c>
      <c r="C50" s="479">
        <f>C49*C47</f>
        <v>-11011962.238973271</v>
      </c>
      <c r="D50" s="479">
        <f>LN_IB8*LN_IB6</f>
        <v>-18396800.972942822</v>
      </c>
      <c r="E50" s="479">
        <f t="shared" si="4"/>
        <v>-7384838.7339695506</v>
      </c>
      <c r="F50" s="449">
        <f t="shared" si="5"/>
        <v>0.67061969281308531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12275</v>
      </c>
      <c r="D51" s="456">
        <v>12148</v>
      </c>
      <c r="E51" s="456">
        <f t="shared" si="4"/>
        <v>-127</v>
      </c>
      <c r="F51" s="449">
        <f t="shared" si="5"/>
        <v>-1.034623217922607E-2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643</v>
      </c>
      <c r="C52" s="465">
        <f>IF(C51=0,0,C43/C51)</f>
        <v>3947.1985336048879</v>
      </c>
      <c r="D52" s="465">
        <f>IF(LN_IB10=0,0,LN_IB2/LN_IB10)</f>
        <v>3912.2588080342443</v>
      </c>
      <c r="E52" s="465">
        <f t="shared" si="4"/>
        <v>-34.939725570643532</v>
      </c>
      <c r="F52" s="449">
        <f t="shared" si="5"/>
        <v>-8.8517781087473872E-3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644</v>
      </c>
      <c r="C53" s="466">
        <f>IF(C45=0,0,C51/C45)</f>
        <v>3.6028764308776049</v>
      </c>
      <c r="D53" s="466">
        <f>IF(LN_IB4=0,0,LN_IB10/LN_IB4)</f>
        <v>3.695771219957408</v>
      </c>
      <c r="E53" s="466">
        <f t="shared" si="4"/>
        <v>9.2894789079803086E-2</v>
      </c>
      <c r="F53" s="449">
        <f t="shared" si="5"/>
        <v>2.5783506834614184E-2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660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646</v>
      </c>
      <c r="C56" s="448">
        <v>161691254</v>
      </c>
      <c r="D56" s="448">
        <v>163225542</v>
      </c>
      <c r="E56" s="448">
        <f t="shared" ref="E56:E63" si="6">D56-C56</f>
        <v>1534288</v>
      </c>
      <c r="F56" s="449">
        <f t="shared" ref="F56:F63" si="7">IF(C56=0,0,E56/C56)</f>
        <v>9.4889980876764063E-3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647</v>
      </c>
      <c r="C57" s="448">
        <v>43291731</v>
      </c>
      <c r="D57" s="448">
        <v>43128442</v>
      </c>
      <c r="E57" s="448">
        <f t="shared" si="6"/>
        <v>-163289</v>
      </c>
      <c r="F57" s="449">
        <f t="shared" si="7"/>
        <v>-3.7718288511032279E-3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648</v>
      </c>
      <c r="C58" s="453">
        <f>IF(C56=0,0,C57/C56)</f>
        <v>0.26774318294296856</v>
      </c>
      <c r="D58" s="453">
        <f>IF(LN_IB13=0,0,LN_IB14/LN_IB13)</f>
        <v>0.2642260608943176</v>
      </c>
      <c r="E58" s="454">
        <f t="shared" si="6"/>
        <v>-3.5171220486509558E-3</v>
      </c>
      <c r="F58" s="449">
        <f t="shared" si="7"/>
        <v>-1.3136177773012174E-2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649</v>
      </c>
      <c r="C59" s="453">
        <f>IF(C42=0,0,C56/C42)</f>
        <v>1.2098887755008889</v>
      </c>
      <c r="D59" s="453">
        <f>IF(LN_IB1=0,0,LN_IB13/LN_IB1)</f>
        <v>1.3266966776691296</v>
      </c>
      <c r="E59" s="454">
        <f t="shared" si="6"/>
        <v>0.11680790216824066</v>
      </c>
      <c r="F59" s="449">
        <f t="shared" si="7"/>
        <v>9.6544330795930125E-2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650</v>
      </c>
      <c r="C60" s="463">
        <f>C59*C45</f>
        <v>4122.0910581315284</v>
      </c>
      <c r="D60" s="463">
        <f>LN_IB16*LN_IB4</f>
        <v>4360.8519794984286</v>
      </c>
      <c r="E60" s="463">
        <f t="shared" si="6"/>
        <v>238.76092136690022</v>
      </c>
      <c r="F60" s="449">
        <f t="shared" si="7"/>
        <v>5.7922282162084587E-2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651</v>
      </c>
      <c r="C61" s="465">
        <f>IF(C60=0,0,C57/C60)</f>
        <v>10502.371342476696</v>
      </c>
      <c r="D61" s="465">
        <f>IF(LN_IB17=0,0,LN_IB14/LN_IB17)</f>
        <v>9889.9119261003889</v>
      </c>
      <c r="E61" s="465">
        <f t="shared" si="6"/>
        <v>-612.45941637630676</v>
      </c>
      <c r="F61" s="449">
        <f t="shared" si="7"/>
        <v>-5.8316297948752122E-2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661</v>
      </c>
      <c r="C62" s="465">
        <f>C32-C61</f>
        <v>-500.29874245494102</v>
      </c>
      <c r="D62" s="465">
        <f>LN_IA16-LN_IB18</f>
        <v>-2127.9211670159693</v>
      </c>
      <c r="E62" s="465">
        <f t="shared" si="6"/>
        <v>-1627.6224245610283</v>
      </c>
      <c r="F62" s="449">
        <f t="shared" si="7"/>
        <v>3.2533010508368783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662</v>
      </c>
      <c r="C63" s="448">
        <f>C62*C60</f>
        <v>-2062276.9726679609</v>
      </c>
      <c r="D63" s="448">
        <f>LN_IB19*LN_IB17</f>
        <v>-9279549.2333981954</v>
      </c>
      <c r="E63" s="448">
        <f t="shared" si="6"/>
        <v>-7217272.2607302349</v>
      </c>
      <c r="F63" s="449">
        <f t="shared" si="7"/>
        <v>3.4996619544237424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663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653</v>
      </c>
      <c r="C66" s="448">
        <f>C42+C56</f>
        <v>295332674</v>
      </c>
      <c r="D66" s="448">
        <f>LN_IB1+LN_IB13</f>
        <v>286257087</v>
      </c>
      <c r="E66" s="448">
        <f>D66-C66</f>
        <v>-9075587</v>
      </c>
      <c r="F66" s="449">
        <f>IF(C66=0,0,E66/C66)</f>
        <v>-3.0730047160308447E-2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654</v>
      </c>
      <c r="C67" s="448">
        <f>C43+C57</f>
        <v>91743593</v>
      </c>
      <c r="D67" s="448">
        <f>LN_IB2+LN_IB14</f>
        <v>90654562</v>
      </c>
      <c r="E67" s="448">
        <f>D67-C67</f>
        <v>-1089031</v>
      </c>
      <c r="F67" s="449">
        <f>IF(C67=0,0,E67/C67)</f>
        <v>-1.1870376604936325E-2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655</v>
      </c>
      <c r="C68" s="448">
        <f>C66-C67</f>
        <v>203589081</v>
      </c>
      <c r="D68" s="448">
        <f>LN_IB21-LN_IB22</f>
        <v>195602525</v>
      </c>
      <c r="E68" s="448">
        <f>D68-C68</f>
        <v>-7986556</v>
      </c>
      <c r="F68" s="449">
        <f>IF(C68=0,0,E68/C68)</f>
        <v>-3.9228803238224745E-2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664</v>
      </c>
      <c r="C70" s="441">
        <f>C50+C63</f>
        <v>-13074239.211641232</v>
      </c>
      <c r="D70" s="441">
        <f>LN_IB9+LN_IB20</f>
        <v>-27676350.206341017</v>
      </c>
      <c r="E70" s="448">
        <f>D70-C70</f>
        <v>-14602110.994699785</v>
      </c>
      <c r="F70" s="449">
        <f>IF(C70=0,0,E70/C70)</f>
        <v>1.1168612382201286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665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666</v>
      </c>
      <c r="C73" s="488">
        <v>295332674</v>
      </c>
      <c r="D73" s="488">
        <v>275878525</v>
      </c>
      <c r="E73" s="488">
        <f>D73-C73</f>
        <v>-19454149</v>
      </c>
      <c r="F73" s="489">
        <f>IF(C73=0,0,E73/C73)</f>
        <v>-6.5871983402689807E-2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667</v>
      </c>
      <c r="C74" s="488">
        <v>91743593</v>
      </c>
      <c r="D74" s="488">
        <v>99992463</v>
      </c>
      <c r="E74" s="488">
        <f>D74-C74</f>
        <v>8248870</v>
      </c>
      <c r="F74" s="489">
        <f>IF(C74=0,0,E74/C74)</f>
        <v>8.9912218720276188E-2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668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669</v>
      </c>
      <c r="C76" s="441">
        <f>C73-C74</f>
        <v>203589081</v>
      </c>
      <c r="D76" s="441">
        <f>LN_IB32-LN_IB33</f>
        <v>175886062</v>
      </c>
      <c r="E76" s="488">
        <f>D76-C76</f>
        <v>-27703019</v>
      </c>
      <c r="F76" s="489">
        <f>IF(E76=0,0,E76/C76)</f>
        <v>-0.13607320620500271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670</v>
      </c>
      <c r="C77" s="453">
        <f>IF(C73=0,0,C76/C73)</f>
        <v>0.68935508639318388</v>
      </c>
      <c r="D77" s="453">
        <f>IF(LN_IB32=0,0,LN_IB34/LN_IB32)</f>
        <v>0.63754894296321185</v>
      </c>
      <c r="E77" s="493">
        <f>D77-C77</f>
        <v>-5.1806143429972029E-2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671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672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637</v>
      </c>
      <c r="C83" s="448">
        <v>4003438</v>
      </c>
      <c r="D83" s="448">
        <v>5215657</v>
      </c>
      <c r="E83" s="448">
        <f t="shared" ref="E83:E95" si="8">D83-C83</f>
        <v>1212219</v>
      </c>
      <c r="F83" s="449">
        <f t="shared" ref="F83:F95" si="9">IF(C83=0,0,E83/C83)</f>
        <v>0.30279449812885822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638</v>
      </c>
      <c r="C84" s="448">
        <v>107871</v>
      </c>
      <c r="D84" s="448">
        <v>743233</v>
      </c>
      <c r="E84" s="448">
        <f t="shared" si="8"/>
        <v>635362</v>
      </c>
      <c r="F84" s="449">
        <f t="shared" si="9"/>
        <v>5.8900167793012024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639</v>
      </c>
      <c r="C85" s="453">
        <f>IF(C83=0,0,C84/C83)</f>
        <v>2.6944591123928982E-2</v>
      </c>
      <c r="D85" s="453">
        <f>IF(LN_IC1=0,0,LN_IC2/LN_IC1)</f>
        <v>0.14250035997382496</v>
      </c>
      <c r="E85" s="454">
        <f t="shared" si="8"/>
        <v>0.11555576884989598</v>
      </c>
      <c r="F85" s="449">
        <f t="shared" si="9"/>
        <v>4.2886443634794329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116</v>
      </c>
      <c r="D86" s="456">
        <v>144</v>
      </c>
      <c r="E86" s="456">
        <f t="shared" si="8"/>
        <v>28</v>
      </c>
      <c r="F86" s="449">
        <f t="shared" si="9"/>
        <v>0.2413793103448276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640</v>
      </c>
      <c r="C87" s="459">
        <v>1.0808</v>
      </c>
      <c r="D87" s="459">
        <v>1.1904999999999999</v>
      </c>
      <c r="E87" s="460">
        <f t="shared" si="8"/>
        <v>0.10969999999999991</v>
      </c>
      <c r="F87" s="449">
        <f t="shared" si="9"/>
        <v>0.10149888971132486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641</v>
      </c>
      <c r="C88" s="463">
        <f>C86*C87</f>
        <v>125.3728</v>
      </c>
      <c r="D88" s="463">
        <f>LN_IC4*LN_IC5</f>
        <v>171.43199999999999</v>
      </c>
      <c r="E88" s="463">
        <f t="shared" si="8"/>
        <v>46.05919999999999</v>
      </c>
      <c r="F88" s="449">
        <f t="shared" si="9"/>
        <v>0.36737793205543778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642</v>
      </c>
      <c r="C89" s="465">
        <f>IF(C88=0,0,C84/C88)</f>
        <v>860.40193726230893</v>
      </c>
      <c r="D89" s="465">
        <f>IF(LN_IC6=0,0,LN_IC2/LN_IC6)</f>
        <v>4335.4391245508423</v>
      </c>
      <c r="E89" s="465">
        <f t="shared" si="8"/>
        <v>3475.0371872885335</v>
      </c>
      <c r="F89" s="449">
        <f t="shared" si="9"/>
        <v>4.0388532809975599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673</v>
      </c>
      <c r="C90" s="465">
        <f>C48-C89</f>
        <v>10386.152878648876</v>
      </c>
      <c r="D90" s="465">
        <f>LN_IB7-LN_IC7</f>
        <v>7144.3651690242541</v>
      </c>
      <c r="E90" s="465">
        <f t="shared" si="8"/>
        <v>-3241.787709624622</v>
      </c>
      <c r="F90" s="449">
        <f t="shared" si="9"/>
        <v>-0.3121259380158809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674</v>
      </c>
      <c r="C91" s="465">
        <f>C21-C89</f>
        <v>7830.0769748712892</v>
      </c>
      <c r="D91" s="465">
        <f>LN_IA7-LN_IC7</f>
        <v>2700.6682125456791</v>
      </c>
      <c r="E91" s="465">
        <f t="shared" si="8"/>
        <v>-5129.40876232561</v>
      </c>
      <c r="F91" s="449">
        <f t="shared" si="9"/>
        <v>-0.65509046447272345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659</v>
      </c>
      <c r="C92" s="441">
        <f>C91*C88</f>
        <v>981678.67455514311</v>
      </c>
      <c r="D92" s="441">
        <f>LN_IC9*LN_IC6</f>
        <v>462980.95301313081</v>
      </c>
      <c r="E92" s="441">
        <f t="shared" si="8"/>
        <v>-518697.7215420123</v>
      </c>
      <c r="F92" s="449">
        <f t="shared" si="9"/>
        <v>-0.52837831256451107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406</v>
      </c>
      <c r="D93" s="456">
        <v>607</v>
      </c>
      <c r="E93" s="456">
        <f t="shared" si="8"/>
        <v>201</v>
      </c>
      <c r="F93" s="449">
        <f t="shared" si="9"/>
        <v>0.49507389162561577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643</v>
      </c>
      <c r="C94" s="499">
        <f>IF(C93=0,0,C84/C93)</f>
        <v>265.692118226601</v>
      </c>
      <c r="D94" s="499">
        <f>IF(LN_IC11=0,0,LN_IC2/LN_IC11)</f>
        <v>1224.4365733113673</v>
      </c>
      <c r="E94" s="499">
        <f t="shared" si="8"/>
        <v>958.74445508476629</v>
      </c>
      <c r="F94" s="449">
        <f t="shared" si="9"/>
        <v>3.6084790978522041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644</v>
      </c>
      <c r="C95" s="466">
        <f>IF(C86=0,0,C93/C86)</f>
        <v>3.5</v>
      </c>
      <c r="D95" s="466">
        <f>IF(LN_IC4=0,0,LN_IC11/LN_IC4)</f>
        <v>4.2152777777777777</v>
      </c>
      <c r="E95" s="466">
        <f t="shared" si="8"/>
        <v>0.71527777777777768</v>
      </c>
      <c r="F95" s="449">
        <f t="shared" si="9"/>
        <v>0.20436507936507933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675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646</v>
      </c>
      <c r="C98" s="448">
        <v>8063786</v>
      </c>
      <c r="D98" s="448">
        <v>8955982</v>
      </c>
      <c r="E98" s="448">
        <f t="shared" ref="E98:E106" si="10">D98-C98</f>
        <v>892196</v>
      </c>
      <c r="F98" s="449">
        <f t="shared" ref="F98:F106" si="11">IF(C98=0,0,E98/C98)</f>
        <v>0.1106423211131843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647</v>
      </c>
      <c r="C99" s="448">
        <v>496209</v>
      </c>
      <c r="D99" s="448">
        <v>1608517</v>
      </c>
      <c r="E99" s="448">
        <f t="shared" si="10"/>
        <v>1112308</v>
      </c>
      <c r="F99" s="449">
        <f t="shared" si="11"/>
        <v>2.2416119014366931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648</v>
      </c>
      <c r="C100" s="453">
        <f>IF(C98=0,0,C99/C98)</f>
        <v>6.1535487176867042E-2</v>
      </c>
      <c r="D100" s="453">
        <f>IF(LN_IC14=0,0,LN_IC15/LN_IC14)</f>
        <v>0.17960252711539618</v>
      </c>
      <c r="E100" s="454">
        <f t="shared" si="10"/>
        <v>0.11806703993852913</v>
      </c>
      <c r="F100" s="449">
        <f t="shared" si="11"/>
        <v>1.9186821353860009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649</v>
      </c>
      <c r="C101" s="453">
        <f>IF(C83=0,0,C98/C83)</f>
        <v>2.0142152819651509</v>
      </c>
      <c r="D101" s="453">
        <f>IF(LN_IC1=0,0,LN_IC14/LN_IC1)</f>
        <v>1.7171340063198175</v>
      </c>
      <c r="E101" s="454">
        <f t="shared" si="10"/>
        <v>-0.29708127564533338</v>
      </c>
      <c r="F101" s="449">
        <f t="shared" si="11"/>
        <v>-0.14749231539713506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650</v>
      </c>
      <c r="C102" s="463">
        <f>C101*C86</f>
        <v>233.64897270795751</v>
      </c>
      <c r="D102" s="463">
        <f>LN_IC17*LN_IC4</f>
        <v>247.26729691005372</v>
      </c>
      <c r="E102" s="463">
        <f t="shared" si="10"/>
        <v>13.618324202096204</v>
      </c>
      <c r="F102" s="449">
        <f t="shared" si="11"/>
        <v>5.8285401575970196E-2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651</v>
      </c>
      <c r="C103" s="465">
        <f>IF(C102=0,0,C99/C102)</f>
        <v>2123.7371354515712</v>
      </c>
      <c r="D103" s="465">
        <f>IF(LN_IC18=0,0,LN_IC15/LN_IC18)</f>
        <v>6505.1748456049017</v>
      </c>
      <c r="E103" s="465">
        <f t="shared" si="10"/>
        <v>4381.43771015333</v>
      </c>
      <c r="F103" s="449">
        <f t="shared" si="11"/>
        <v>2.063079105701894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676</v>
      </c>
      <c r="C104" s="465">
        <f>C61-C103</f>
        <v>8378.6342070251249</v>
      </c>
      <c r="D104" s="465">
        <f>LN_IB18-LN_IC19</f>
        <v>3384.7370804954871</v>
      </c>
      <c r="E104" s="465">
        <f t="shared" si="10"/>
        <v>-4993.8971265296377</v>
      </c>
      <c r="F104" s="449">
        <f t="shared" si="11"/>
        <v>-0.59602758673274814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677</v>
      </c>
      <c r="C105" s="465">
        <f>C32-C103</f>
        <v>7878.3354645701838</v>
      </c>
      <c r="D105" s="465">
        <f>LN_IA16-LN_IC19</f>
        <v>1256.8159134795178</v>
      </c>
      <c r="E105" s="465">
        <f t="shared" si="10"/>
        <v>-6621.519551090666</v>
      </c>
      <c r="F105" s="449">
        <f t="shared" si="11"/>
        <v>-0.84047189674372602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662</v>
      </c>
      <c r="C106" s="448">
        <f>C105*C102</f>
        <v>1840764.9879454926</v>
      </c>
      <c r="D106" s="448">
        <f>LN_IC21*LN_IC18</f>
        <v>310769.47363962029</v>
      </c>
      <c r="E106" s="448">
        <f t="shared" si="10"/>
        <v>-1529995.5143058724</v>
      </c>
      <c r="F106" s="449">
        <f t="shared" si="11"/>
        <v>-0.8311737371827812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678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653</v>
      </c>
      <c r="C109" s="448">
        <f>C83+C98</f>
        <v>12067224</v>
      </c>
      <c r="D109" s="448">
        <f>LN_IC1+LN_IC14</f>
        <v>14171639</v>
      </c>
      <c r="E109" s="448">
        <f>D109-C109</f>
        <v>2104415</v>
      </c>
      <c r="F109" s="449">
        <f>IF(C109=0,0,E109/C109)</f>
        <v>0.17439097840563828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654</v>
      </c>
      <c r="C110" s="448">
        <f>C84+C99</f>
        <v>604080</v>
      </c>
      <c r="D110" s="448">
        <f>LN_IC2+LN_IC15</f>
        <v>2351750</v>
      </c>
      <c r="E110" s="448">
        <f>D110-C110</f>
        <v>1747670</v>
      </c>
      <c r="F110" s="449">
        <f>IF(C110=0,0,E110/C110)</f>
        <v>2.8931101840815785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655</v>
      </c>
      <c r="C111" s="448">
        <f>C109-C110</f>
        <v>11463144</v>
      </c>
      <c r="D111" s="448">
        <f>LN_IC23-LN_IC24</f>
        <v>11819889</v>
      </c>
      <c r="E111" s="448">
        <f>D111-C111</f>
        <v>356745</v>
      </c>
      <c r="F111" s="449">
        <f>IF(C111=0,0,E111/C111)</f>
        <v>3.112104323211852E-2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664</v>
      </c>
      <c r="C113" s="448">
        <f>C92+C106</f>
        <v>2822443.6625006357</v>
      </c>
      <c r="D113" s="448">
        <f>LN_IC10+LN_IC22</f>
        <v>773750.42665275116</v>
      </c>
      <c r="E113" s="448">
        <f>D113-C113</f>
        <v>-2048693.2358478846</v>
      </c>
      <c r="F113" s="449">
        <f>IF(C113=0,0,E113/C113)</f>
        <v>-0.72585797302780464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679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680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637</v>
      </c>
      <c r="C118" s="448">
        <v>94750947</v>
      </c>
      <c r="D118" s="448">
        <v>93439698</v>
      </c>
      <c r="E118" s="448">
        <f t="shared" ref="E118:E130" si="12">D118-C118</f>
        <v>-1311249</v>
      </c>
      <c r="F118" s="449">
        <f t="shared" ref="F118:F130" si="13">IF(C118=0,0,E118/C118)</f>
        <v>-1.3838901261852296E-2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638</v>
      </c>
      <c r="C119" s="448">
        <v>13376016</v>
      </c>
      <c r="D119" s="448">
        <v>20475986</v>
      </c>
      <c r="E119" s="448">
        <f t="shared" si="12"/>
        <v>7099970</v>
      </c>
      <c r="F119" s="449">
        <f t="shared" si="13"/>
        <v>0.53079855765722772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639</v>
      </c>
      <c r="C120" s="453">
        <f>IF(C118=0,0,C119/C118)</f>
        <v>0.14117026186556214</v>
      </c>
      <c r="D120" s="453">
        <f>IF(LN_ID1=0,0,LN_1D2/LN_ID1)</f>
        <v>0.2191358323953487</v>
      </c>
      <c r="E120" s="454">
        <f t="shared" si="12"/>
        <v>7.796557052978656E-2</v>
      </c>
      <c r="F120" s="449">
        <f t="shared" si="13"/>
        <v>0.55228041302377096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3210</v>
      </c>
      <c r="D121" s="456">
        <v>3234</v>
      </c>
      <c r="E121" s="456">
        <f t="shared" si="12"/>
        <v>24</v>
      </c>
      <c r="F121" s="449">
        <f t="shared" si="13"/>
        <v>7.4766355140186919E-3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640</v>
      </c>
      <c r="C122" s="459">
        <v>0.95679999999999998</v>
      </c>
      <c r="D122" s="459">
        <v>0.96430000000000005</v>
      </c>
      <c r="E122" s="460">
        <f t="shared" si="12"/>
        <v>7.5000000000000622E-3</v>
      </c>
      <c r="F122" s="449">
        <f t="shared" si="13"/>
        <v>7.8386287625418719E-3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641</v>
      </c>
      <c r="C123" s="463">
        <f>C121*C122</f>
        <v>3071.328</v>
      </c>
      <c r="D123" s="463">
        <f>LN_ID4*LN_ID5</f>
        <v>3118.5462000000002</v>
      </c>
      <c r="E123" s="463">
        <f t="shared" si="12"/>
        <v>47.218200000000252</v>
      </c>
      <c r="F123" s="449">
        <f t="shared" si="13"/>
        <v>1.5373870846747809E-2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642</v>
      </c>
      <c r="C124" s="465">
        <f>IF(C123=0,0,C119/C123)</f>
        <v>4355.1245584971712</v>
      </c>
      <c r="D124" s="465">
        <f>IF(LN_ID6=0,0,LN_1D2/LN_ID6)</f>
        <v>6565.8754710768753</v>
      </c>
      <c r="E124" s="465">
        <f t="shared" si="12"/>
        <v>2210.7509125797042</v>
      </c>
      <c r="F124" s="449">
        <f t="shared" si="13"/>
        <v>0.50762059336887744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681</v>
      </c>
      <c r="C125" s="465">
        <f>C48-C124</f>
        <v>6891.4302574140147</v>
      </c>
      <c r="D125" s="465">
        <f>LN_IB7-LN_ID7</f>
        <v>4913.9288224982211</v>
      </c>
      <c r="E125" s="465">
        <f t="shared" si="12"/>
        <v>-1977.5014349157937</v>
      </c>
      <c r="F125" s="449">
        <f t="shared" si="13"/>
        <v>-0.28695080136497592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682</v>
      </c>
      <c r="C126" s="465">
        <f>C21-C124</f>
        <v>4335.3543536364268</v>
      </c>
      <c r="D126" s="465">
        <f>LN_IA7-LN_ID7</f>
        <v>470.23186601964608</v>
      </c>
      <c r="E126" s="465">
        <f t="shared" si="12"/>
        <v>-3865.1224876167807</v>
      </c>
      <c r="F126" s="449">
        <f t="shared" si="13"/>
        <v>-0.89153554065881069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659</v>
      </c>
      <c r="C127" s="479">
        <f>C126*C123</f>
        <v>13315295.216245459</v>
      </c>
      <c r="D127" s="479">
        <f>LN_ID9*LN_ID6</f>
        <v>1466439.7988944766</v>
      </c>
      <c r="E127" s="479">
        <f t="shared" si="12"/>
        <v>-11848855.417350983</v>
      </c>
      <c r="F127" s="449">
        <f t="shared" si="13"/>
        <v>-0.88986802206943694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13938</v>
      </c>
      <c r="D128" s="456">
        <v>13868</v>
      </c>
      <c r="E128" s="456">
        <f t="shared" si="12"/>
        <v>-70</v>
      </c>
      <c r="F128" s="449">
        <f t="shared" si="13"/>
        <v>-5.0222413545702397E-3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643</v>
      </c>
      <c r="C129" s="465">
        <f>IF(C128=0,0,C119/C128)</f>
        <v>959.67972449418858</v>
      </c>
      <c r="D129" s="465">
        <f>IF(LN_ID11=0,0,LN_1D2/LN_ID11)</f>
        <v>1476.4916354196712</v>
      </c>
      <c r="E129" s="465">
        <f t="shared" si="12"/>
        <v>516.81191092548261</v>
      </c>
      <c r="F129" s="449">
        <f t="shared" si="13"/>
        <v>0.53852540356406398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644</v>
      </c>
      <c r="C130" s="466">
        <f>IF(C121=0,0,C128/C121)</f>
        <v>4.3420560747663552</v>
      </c>
      <c r="D130" s="466">
        <f>IF(LN_ID4=0,0,LN_ID11/LN_ID4)</f>
        <v>4.2881880024737171</v>
      </c>
      <c r="E130" s="466">
        <f t="shared" si="12"/>
        <v>-5.3868072292638125E-2</v>
      </c>
      <c r="F130" s="449">
        <f t="shared" si="13"/>
        <v>-1.2406120825037191E-2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683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646</v>
      </c>
      <c r="C133" s="448">
        <v>77273088</v>
      </c>
      <c r="D133" s="448">
        <v>77531079</v>
      </c>
      <c r="E133" s="448">
        <f t="shared" ref="E133:E141" si="14">D133-C133</f>
        <v>257991</v>
      </c>
      <c r="F133" s="449">
        <f t="shared" ref="F133:F141" si="15">IF(C133=0,0,E133/C133)</f>
        <v>3.338691473026159E-3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647</v>
      </c>
      <c r="C134" s="448">
        <v>11862948</v>
      </c>
      <c r="D134" s="448">
        <v>15109418</v>
      </c>
      <c r="E134" s="448">
        <f t="shared" si="14"/>
        <v>3246470</v>
      </c>
      <c r="F134" s="449">
        <f t="shared" si="15"/>
        <v>0.27366469110376274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648</v>
      </c>
      <c r="C135" s="453">
        <f>IF(C133=0,0,C134/C133)</f>
        <v>0.15351978686292439</v>
      </c>
      <c r="D135" s="453">
        <f>IF(LN_ID14=0,0,LN_ID15/LN_ID14)</f>
        <v>0.1948820807717638</v>
      </c>
      <c r="E135" s="454">
        <f t="shared" si="14"/>
        <v>4.1362293908839415E-2</v>
      </c>
      <c r="F135" s="449">
        <f t="shared" si="15"/>
        <v>0.26942646778015145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649</v>
      </c>
      <c r="C136" s="453">
        <f>IF(C118=0,0,C133/C118)</f>
        <v>0.81553895181649216</v>
      </c>
      <c r="D136" s="453">
        <f>IF(LN_ID1=0,0,LN_ID14/LN_ID1)</f>
        <v>0.82974453748769605</v>
      </c>
      <c r="E136" s="454">
        <f t="shared" si="14"/>
        <v>1.4205585671203891E-2</v>
      </c>
      <c r="F136" s="449">
        <f t="shared" si="15"/>
        <v>1.7418647680240231E-2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650</v>
      </c>
      <c r="C137" s="463">
        <f>C136*C121</f>
        <v>2617.8800353309398</v>
      </c>
      <c r="D137" s="463">
        <f>LN_ID17*LN_ID4</f>
        <v>2683.3938342352089</v>
      </c>
      <c r="E137" s="463">
        <f t="shared" si="14"/>
        <v>65.513798904269152</v>
      </c>
      <c r="F137" s="449">
        <f t="shared" si="15"/>
        <v>2.502551607411117E-2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651</v>
      </c>
      <c r="C138" s="465">
        <f>IF(C137=0,0,C134/C137)</f>
        <v>4531.50940451721</v>
      </c>
      <c r="D138" s="465">
        <f>IF(LN_ID18=0,0,LN_ID15/LN_ID18)</f>
        <v>5630.7120509972847</v>
      </c>
      <c r="E138" s="465">
        <f t="shared" si="14"/>
        <v>1099.2026464800747</v>
      </c>
      <c r="F138" s="449">
        <f t="shared" si="15"/>
        <v>0.24256876646539466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684</v>
      </c>
      <c r="C139" s="465">
        <f>C61-C138</f>
        <v>5970.8619379594857</v>
      </c>
      <c r="D139" s="465">
        <f>LN_IB18-LN_ID19</f>
        <v>4259.1998751031042</v>
      </c>
      <c r="E139" s="465">
        <f t="shared" si="14"/>
        <v>-1711.6620628563815</v>
      </c>
      <c r="F139" s="449">
        <f t="shared" si="15"/>
        <v>-0.28666917450805002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685</v>
      </c>
      <c r="C140" s="465">
        <f>C32-C138</f>
        <v>5470.5631955045446</v>
      </c>
      <c r="D140" s="465">
        <f>LN_IA16-LN_ID19</f>
        <v>2131.2787080871349</v>
      </c>
      <c r="E140" s="465">
        <f t="shared" si="14"/>
        <v>-3339.2844874174098</v>
      </c>
      <c r="F140" s="449">
        <f t="shared" si="15"/>
        <v>-0.61040963573210871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662</v>
      </c>
      <c r="C141" s="441">
        <f>C140*C137</f>
        <v>14321278.171527576</v>
      </c>
      <c r="D141" s="441">
        <f>LN_ID21*LN_ID18</f>
        <v>5719060.1443177992</v>
      </c>
      <c r="E141" s="441">
        <f t="shared" si="14"/>
        <v>-8602218.0272097774</v>
      </c>
      <c r="F141" s="449">
        <f t="shared" si="15"/>
        <v>-0.60065993580880384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686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653</v>
      </c>
      <c r="C144" s="448">
        <f>C118+C133</f>
        <v>172024035</v>
      </c>
      <c r="D144" s="448">
        <f>LN_ID1+LN_ID14</f>
        <v>170970777</v>
      </c>
      <c r="E144" s="448">
        <f>D144-C144</f>
        <v>-1053258</v>
      </c>
      <c r="F144" s="449">
        <f>IF(C144=0,0,E144/C144)</f>
        <v>-6.1227374418929307E-3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654</v>
      </c>
      <c r="C145" s="448">
        <f>C119+C134</f>
        <v>25238964</v>
      </c>
      <c r="D145" s="448">
        <f>LN_1D2+LN_ID15</f>
        <v>35585404</v>
      </c>
      <c r="E145" s="448">
        <f>D145-C145</f>
        <v>10346440</v>
      </c>
      <c r="F145" s="449">
        <f>IF(C145=0,0,E145/C145)</f>
        <v>0.40993917182971534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655</v>
      </c>
      <c r="C146" s="448">
        <f>C144-C145</f>
        <v>146785071</v>
      </c>
      <c r="D146" s="448">
        <f>LN_ID23-LN_ID24</f>
        <v>135385373</v>
      </c>
      <c r="E146" s="448">
        <f>D146-C146</f>
        <v>-11399698</v>
      </c>
      <c r="F146" s="449">
        <f>IF(C146=0,0,E146/C146)</f>
        <v>-7.7662516510279167E-2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664</v>
      </c>
      <c r="C148" s="448">
        <f>C127+C141</f>
        <v>27636573.387773037</v>
      </c>
      <c r="D148" s="448">
        <f>LN_ID10+LN_ID22</f>
        <v>7185499.9432122763</v>
      </c>
      <c r="E148" s="448">
        <f>D148-C148</f>
        <v>-20451073.444560759</v>
      </c>
      <c r="F148" s="503">
        <f>IF(C148=0,0,E148/C148)</f>
        <v>-0.74000033063464787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687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688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637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638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639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640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641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642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689</v>
      </c>
      <c r="C160" s="465">
        <f>C48-C159</f>
        <v>11246.554815911186</v>
      </c>
      <c r="D160" s="465">
        <f>LN_IB7-LN_IE7</f>
        <v>11479.804293575096</v>
      </c>
      <c r="E160" s="465">
        <f t="shared" si="16"/>
        <v>233.24947766391051</v>
      </c>
      <c r="F160" s="449">
        <f t="shared" si="17"/>
        <v>2.0739638180922594E-2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690</v>
      </c>
      <c r="C161" s="465">
        <f>C21-C159</f>
        <v>8690.478912133598</v>
      </c>
      <c r="D161" s="465">
        <f>LN_IA7-LN_IE7</f>
        <v>7036.1073370965214</v>
      </c>
      <c r="E161" s="465">
        <f t="shared" si="16"/>
        <v>-1654.3715750370766</v>
      </c>
      <c r="F161" s="449">
        <f t="shared" si="17"/>
        <v>-0.19036598463259052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659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643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644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691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646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647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648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649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650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651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692</v>
      </c>
      <c r="C174" s="465">
        <f>C61-C173</f>
        <v>10502.371342476696</v>
      </c>
      <c r="D174" s="465">
        <f>LN_IB18-LN_IE19</f>
        <v>9889.9119261003889</v>
      </c>
      <c r="E174" s="465">
        <f t="shared" si="18"/>
        <v>-612.45941637630676</v>
      </c>
      <c r="F174" s="449">
        <f t="shared" si="19"/>
        <v>-5.8316297948752122E-2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693</v>
      </c>
      <c r="C175" s="465">
        <f>C32-C173</f>
        <v>10002.072600021755</v>
      </c>
      <c r="D175" s="465">
        <f>LN_IA16-LN_IE19</f>
        <v>7761.9907590844196</v>
      </c>
      <c r="E175" s="465">
        <f t="shared" si="18"/>
        <v>-2240.0818409373351</v>
      </c>
      <c r="F175" s="449">
        <f t="shared" si="19"/>
        <v>-0.22396176577767121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662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694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653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654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655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695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696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697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637</v>
      </c>
      <c r="C188" s="448">
        <f>C118+C153</f>
        <v>94750947</v>
      </c>
      <c r="D188" s="448">
        <f>LN_ID1+LN_IE1</f>
        <v>93439698</v>
      </c>
      <c r="E188" s="448">
        <f t="shared" ref="E188:E200" si="20">D188-C188</f>
        <v>-1311249</v>
      </c>
      <c r="F188" s="449">
        <f t="shared" ref="F188:F200" si="21">IF(C188=0,0,E188/C188)</f>
        <v>-1.3838901261852296E-2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638</v>
      </c>
      <c r="C189" s="448">
        <f>C119+C154</f>
        <v>13376016</v>
      </c>
      <c r="D189" s="448">
        <f>LN_1D2+LN_IE2</f>
        <v>20475986</v>
      </c>
      <c r="E189" s="448">
        <f t="shared" si="20"/>
        <v>7099970</v>
      </c>
      <c r="F189" s="449">
        <f t="shared" si="21"/>
        <v>0.53079855765722772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639</v>
      </c>
      <c r="C190" s="453">
        <f>IF(C188=0,0,C189/C188)</f>
        <v>0.14117026186556214</v>
      </c>
      <c r="D190" s="453">
        <f>IF(LN_IF1=0,0,LN_IF2/LN_IF1)</f>
        <v>0.2191358323953487</v>
      </c>
      <c r="E190" s="454">
        <f t="shared" si="20"/>
        <v>7.796557052978656E-2</v>
      </c>
      <c r="F190" s="449">
        <f t="shared" si="21"/>
        <v>0.55228041302377096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3210</v>
      </c>
      <c r="D191" s="456">
        <f>LN_ID4+LN_IE4</f>
        <v>3234</v>
      </c>
      <c r="E191" s="456">
        <f t="shared" si="20"/>
        <v>24</v>
      </c>
      <c r="F191" s="449">
        <f t="shared" si="21"/>
        <v>7.4766355140186919E-3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640</v>
      </c>
      <c r="C192" s="459">
        <f>IF((C121+C156)=0,0,(C123+C158)/(C121+C156))</f>
        <v>0.95679999999999998</v>
      </c>
      <c r="D192" s="459">
        <f>IF((LN_ID4+LN_IE4)=0,0,(LN_ID6+LN_IE6)/(LN_ID4+LN_IE4))</f>
        <v>0.96430000000000005</v>
      </c>
      <c r="E192" s="460">
        <f t="shared" si="20"/>
        <v>7.5000000000000622E-3</v>
      </c>
      <c r="F192" s="449">
        <f t="shared" si="21"/>
        <v>7.8386287625418719E-3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641</v>
      </c>
      <c r="C193" s="463">
        <f>C123+C158</f>
        <v>3071.328</v>
      </c>
      <c r="D193" s="463">
        <f>LN_IF4*LN_IF5</f>
        <v>3118.5462000000002</v>
      </c>
      <c r="E193" s="463">
        <f t="shared" si="20"/>
        <v>47.218200000000252</v>
      </c>
      <c r="F193" s="449">
        <f t="shared" si="21"/>
        <v>1.5373870846747809E-2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642</v>
      </c>
      <c r="C194" s="465">
        <f>IF(C193=0,0,C189/C193)</f>
        <v>4355.1245584971712</v>
      </c>
      <c r="D194" s="465">
        <f>IF(LN_IF6=0,0,LN_IF2/LN_IF6)</f>
        <v>6565.8754710768753</v>
      </c>
      <c r="E194" s="465">
        <f t="shared" si="20"/>
        <v>2210.7509125797042</v>
      </c>
      <c r="F194" s="449">
        <f t="shared" si="21"/>
        <v>0.50762059336887744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698</v>
      </c>
      <c r="C195" s="465">
        <f>C48-C194</f>
        <v>6891.4302574140147</v>
      </c>
      <c r="D195" s="465">
        <f>LN_IB7-LN_IF7</f>
        <v>4913.9288224982211</v>
      </c>
      <c r="E195" s="465">
        <f t="shared" si="20"/>
        <v>-1977.5014349157937</v>
      </c>
      <c r="F195" s="449">
        <f t="shared" si="21"/>
        <v>-0.28695080136497592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699</v>
      </c>
      <c r="C196" s="465">
        <f>C21-C194</f>
        <v>4335.3543536364268</v>
      </c>
      <c r="D196" s="465">
        <f>LN_IA7-LN_IF7</f>
        <v>470.23186601964608</v>
      </c>
      <c r="E196" s="465">
        <f t="shared" si="20"/>
        <v>-3865.1224876167807</v>
      </c>
      <c r="F196" s="449">
        <f t="shared" si="21"/>
        <v>-0.89153554065881069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659</v>
      </c>
      <c r="C197" s="479">
        <f>C127+C162</f>
        <v>13315295.216245459</v>
      </c>
      <c r="D197" s="479">
        <f>LN_IF9*LN_IF6</f>
        <v>1466439.7988944766</v>
      </c>
      <c r="E197" s="479">
        <f t="shared" si="20"/>
        <v>-11848855.417350983</v>
      </c>
      <c r="F197" s="449">
        <f t="shared" si="21"/>
        <v>-0.88986802206943694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13938</v>
      </c>
      <c r="D198" s="456">
        <f>LN_ID11+LN_IE11</f>
        <v>13868</v>
      </c>
      <c r="E198" s="456">
        <f t="shared" si="20"/>
        <v>-70</v>
      </c>
      <c r="F198" s="449">
        <f t="shared" si="21"/>
        <v>-5.0222413545702397E-3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643</v>
      </c>
      <c r="C199" s="519">
        <f>IF(C198=0,0,C189/C198)</f>
        <v>959.67972449418858</v>
      </c>
      <c r="D199" s="519">
        <f>IF(LN_IF11=0,0,LN_IF2/LN_IF11)</f>
        <v>1476.4916354196712</v>
      </c>
      <c r="E199" s="519">
        <f t="shared" si="20"/>
        <v>516.81191092548261</v>
      </c>
      <c r="F199" s="449">
        <f t="shared" si="21"/>
        <v>0.53852540356406398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644</v>
      </c>
      <c r="C200" s="466">
        <f>IF(C191=0,0,C198/C191)</f>
        <v>4.3420560747663552</v>
      </c>
      <c r="D200" s="466">
        <f>IF(LN_IF4=0,0,LN_IF11/LN_IF4)</f>
        <v>4.2881880024737171</v>
      </c>
      <c r="E200" s="466">
        <f t="shared" si="20"/>
        <v>-5.3868072292638125E-2</v>
      </c>
      <c r="F200" s="449">
        <f t="shared" si="21"/>
        <v>-1.2406120825037191E-2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700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646</v>
      </c>
      <c r="C203" s="448">
        <f>C133+C168</f>
        <v>77273088</v>
      </c>
      <c r="D203" s="448">
        <f>LN_ID14+LN_IE14</f>
        <v>77531079</v>
      </c>
      <c r="E203" s="448">
        <f t="shared" ref="E203:E211" si="22">D203-C203</f>
        <v>257991</v>
      </c>
      <c r="F203" s="449">
        <f t="shared" ref="F203:F211" si="23">IF(C203=0,0,E203/C203)</f>
        <v>3.338691473026159E-3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647</v>
      </c>
      <c r="C204" s="448">
        <f>C134+C169</f>
        <v>11862948</v>
      </c>
      <c r="D204" s="448">
        <f>LN_ID15+LN_IE15</f>
        <v>15109418</v>
      </c>
      <c r="E204" s="448">
        <f t="shared" si="22"/>
        <v>3246470</v>
      </c>
      <c r="F204" s="449">
        <f t="shared" si="23"/>
        <v>0.27366469110376274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648</v>
      </c>
      <c r="C205" s="453">
        <f>IF(C203=0,0,C204/C203)</f>
        <v>0.15351978686292439</v>
      </c>
      <c r="D205" s="453">
        <f>IF(LN_IF14=0,0,LN_IF15/LN_IF14)</f>
        <v>0.1948820807717638</v>
      </c>
      <c r="E205" s="454">
        <f t="shared" si="22"/>
        <v>4.1362293908839415E-2</v>
      </c>
      <c r="F205" s="449">
        <f t="shared" si="23"/>
        <v>0.26942646778015145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649</v>
      </c>
      <c r="C206" s="453">
        <f>IF(C188=0,0,C203/C188)</f>
        <v>0.81553895181649216</v>
      </c>
      <c r="D206" s="453">
        <f>IF(LN_IF1=0,0,LN_IF14/LN_IF1)</f>
        <v>0.82974453748769605</v>
      </c>
      <c r="E206" s="454">
        <f t="shared" si="22"/>
        <v>1.4205585671203891E-2</v>
      </c>
      <c r="F206" s="449">
        <f t="shared" si="23"/>
        <v>1.7418647680240231E-2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650</v>
      </c>
      <c r="C207" s="463">
        <f>C137+C172</f>
        <v>2617.8800353309398</v>
      </c>
      <c r="D207" s="463">
        <f>LN_ID18+LN_IE18</f>
        <v>2683.3938342352089</v>
      </c>
      <c r="E207" s="463">
        <f t="shared" si="22"/>
        <v>65.513798904269152</v>
      </c>
      <c r="F207" s="449">
        <f t="shared" si="23"/>
        <v>2.502551607411117E-2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651</v>
      </c>
      <c r="C208" s="465">
        <f>IF(C207=0,0,C204/C207)</f>
        <v>4531.50940451721</v>
      </c>
      <c r="D208" s="465">
        <f>IF(LN_IF18=0,0,LN_IF15/LN_IF18)</f>
        <v>5630.7120509972847</v>
      </c>
      <c r="E208" s="465">
        <f t="shared" si="22"/>
        <v>1099.2026464800747</v>
      </c>
      <c r="F208" s="449">
        <f t="shared" si="23"/>
        <v>0.24256876646539466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701</v>
      </c>
      <c r="C209" s="465">
        <f>C61-C208</f>
        <v>5970.8619379594857</v>
      </c>
      <c r="D209" s="465">
        <f>LN_IB18-LN_IF19</f>
        <v>4259.1998751031042</v>
      </c>
      <c r="E209" s="465">
        <f t="shared" si="22"/>
        <v>-1711.6620628563815</v>
      </c>
      <c r="F209" s="449">
        <f t="shared" si="23"/>
        <v>-0.28666917450805002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702</v>
      </c>
      <c r="C210" s="465">
        <f>C32-C208</f>
        <v>5470.5631955045446</v>
      </c>
      <c r="D210" s="465">
        <f>LN_IA16-LN_IF19</f>
        <v>2131.2787080871349</v>
      </c>
      <c r="E210" s="465">
        <f t="shared" si="22"/>
        <v>-3339.2844874174098</v>
      </c>
      <c r="F210" s="449">
        <f t="shared" si="23"/>
        <v>-0.61040963573210871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662</v>
      </c>
      <c r="C211" s="479">
        <f>C141+C176</f>
        <v>14321278.171527576</v>
      </c>
      <c r="D211" s="441">
        <f>LN_IF21*LN_IF18</f>
        <v>5719060.1443177992</v>
      </c>
      <c r="E211" s="441">
        <f t="shared" si="22"/>
        <v>-8602218.0272097774</v>
      </c>
      <c r="F211" s="449">
        <f t="shared" si="23"/>
        <v>-0.60065993580880384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703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653</v>
      </c>
      <c r="C214" s="448">
        <f>C188+C203</f>
        <v>172024035</v>
      </c>
      <c r="D214" s="448">
        <f>LN_IF1+LN_IF14</f>
        <v>170970777</v>
      </c>
      <c r="E214" s="448">
        <f>D214-C214</f>
        <v>-1053258</v>
      </c>
      <c r="F214" s="449">
        <f>IF(C214=0,0,E214/C214)</f>
        <v>-6.1227374418929307E-3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654</v>
      </c>
      <c r="C215" s="448">
        <f>C189+C204</f>
        <v>25238964</v>
      </c>
      <c r="D215" s="448">
        <f>LN_IF2+LN_IF15</f>
        <v>35585404</v>
      </c>
      <c r="E215" s="448">
        <f>D215-C215</f>
        <v>10346440</v>
      </c>
      <c r="F215" s="449">
        <f>IF(C215=0,0,E215/C215)</f>
        <v>0.40993917182971534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655</v>
      </c>
      <c r="C216" s="448">
        <f>C214-C215</f>
        <v>146785071</v>
      </c>
      <c r="D216" s="448">
        <f>LN_IF23-LN_IF24</f>
        <v>135385373</v>
      </c>
      <c r="E216" s="448">
        <f>D216-C216</f>
        <v>-11399698</v>
      </c>
      <c r="F216" s="449">
        <f>IF(C216=0,0,E216/C216)</f>
        <v>-7.7662516510279167E-2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704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705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637</v>
      </c>
      <c r="C221" s="448">
        <v>364207</v>
      </c>
      <c r="D221" s="448">
        <v>631575</v>
      </c>
      <c r="E221" s="448">
        <f t="shared" ref="E221:E230" si="24">D221-C221</f>
        <v>267368</v>
      </c>
      <c r="F221" s="449">
        <f t="shared" ref="F221:F230" si="25">IF(C221=0,0,E221/C221)</f>
        <v>0.73410999788581766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638</v>
      </c>
      <c r="C222" s="448">
        <v>72435</v>
      </c>
      <c r="D222" s="448">
        <v>117410</v>
      </c>
      <c r="E222" s="448">
        <f t="shared" si="24"/>
        <v>44975</v>
      </c>
      <c r="F222" s="449">
        <f t="shared" si="25"/>
        <v>0.6209014978946642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639</v>
      </c>
      <c r="C223" s="453">
        <f>IF(C221=0,0,C222/C221)</f>
        <v>0.1988841510459711</v>
      </c>
      <c r="D223" s="453">
        <f>IF(LN_IG1=0,0,LN_IG2/LN_IG1)</f>
        <v>0.18590032854372007</v>
      </c>
      <c r="E223" s="454">
        <f t="shared" si="24"/>
        <v>-1.2983822502251025E-2</v>
      </c>
      <c r="F223" s="449">
        <f t="shared" si="25"/>
        <v>-6.5283344268341814E-2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13</v>
      </c>
      <c r="D224" s="456">
        <v>25</v>
      </c>
      <c r="E224" s="456">
        <f t="shared" si="24"/>
        <v>12</v>
      </c>
      <c r="F224" s="449">
        <f t="shared" si="25"/>
        <v>0.92307692307692313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640</v>
      </c>
      <c r="C225" s="459">
        <v>0.90820000000000001</v>
      </c>
      <c r="D225" s="459">
        <v>0.81669999999999998</v>
      </c>
      <c r="E225" s="460">
        <f t="shared" si="24"/>
        <v>-9.1500000000000026E-2</v>
      </c>
      <c r="F225" s="449">
        <f t="shared" si="25"/>
        <v>-0.10074873375908393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641</v>
      </c>
      <c r="C226" s="463">
        <f>C224*C225</f>
        <v>11.8066</v>
      </c>
      <c r="D226" s="463">
        <f>LN_IG3*LN_IG4</f>
        <v>20.4175</v>
      </c>
      <c r="E226" s="463">
        <f t="shared" si="24"/>
        <v>8.6109000000000009</v>
      </c>
      <c r="F226" s="449">
        <f t="shared" si="25"/>
        <v>0.72932935815560795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642</v>
      </c>
      <c r="C227" s="465">
        <f>IF(C226=0,0,C222/C226)</f>
        <v>6135.1278098690564</v>
      </c>
      <c r="D227" s="465">
        <f>IF(LN_IG5=0,0,LN_IG2/LN_IG5)</f>
        <v>5750.4591649320437</v>
      </c>
      <c r="E227" s="465">
        <f t="shared" si="24"/>
        <v>-384.66864493701269</v>
      </c>
      <c r="F227" s="449">
        <f t="shared" si="25"/>
        <v>-6.2699369411380323E-2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34</v>
      </c>
      <c r="D228" s="456">
        <v>83</v>
      </c>
      <c r="E228" s="456">
        <f t="shared" si="24"/>
        <v>49</v>
      </c>
      <c r="F228" s="449">
        <f t="shared" si="25"/>
        <v>1.4411764705882353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643</v>
      </c>
      <c r="C229" s="465">
        <f>IF(C228=0,0,C222/C228)</f>
        <v>2130.4411764705883</v>
      </c>
      <c r="D229" s="465">
        <f>IF(LN_IG6=0,0,LN_IG2/LN_IG6)</f>
        <v>1414.5783132530121</v>
      </c>
      <c r="E229" s="465">
        <f t="shared" si="24"/>
        <v>-715.8628632175762</v>
      </c>
      <c r="F229" s="449">
        <f t="shared" si="25"/>
        <v>-0.33601625387447492</v>
      </c>
      <c r="Q229" s="421"/>
      <c r="U229" s="462"/>
    </row>
    <row r="230" spans="1:21" ht="15.75" customHeight="1" x14ac:dyDescent="0.2">
      <c r="A230" s="451">
        <v>10</v>
      </c>
      <c r="B230" s="447" t="s">
        <v>644</v>
      </c>
      <c r="C230" s="466">
        <f>IF(C224=0,0,C228/C224)</f>
        <v>2.6153846153846154</v>
      </c>
      <c r="D230" s="466">
        <f>IF(LN_IG3=0,0,LN_IG6/LN_IG3)</f>
        <v>3.32</v>
      </c>
      <c r="E230" s="466">
        <f t="shared" si="24"/>
        <v>0.70461538461538442</v>
      </c>
      <c r="F230" s="449">
        <f t="shared" si="25"/>
        <v>0.2694117647058823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706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646</v>
      </c>
      <c r="C233" s="448">
        <v>698300</v>
      </c>
      <c r="D233" s="448">
        <v>761500</v>
      </c>
      <c r="E233" s="448">
        <f>D233-C233</f>
        <v>63200</v>
      </c>
      <c r="F233" s="449">
        <f>IF(C233=0,0,E233/C233)</f>
        <v>9.0505513389660605E-2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647</v>
      </c>
      <c r="C234" s="448">
        <v>130360</v>
      </c>
      <c r="D234" s="448">
        <v>145903</v>
      </c>
      <c r="E234" s="448">
        <f>D234-C234</f>
        <v>15543</v>
      </c>
      <c r="F234" s="449">
        <f>IF(C234=0,0,E234/C234)</f>
        <v>0.11923135931267261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707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653</v>
      </c>
      <c r="C237" s="448">
        <f>C221+C233</f>
        <v>1062507</v>
      </c>
      <c r="D237" s="448">
        <f>LN_IG1+LN_IG9</f>
        <v>1393075</v>
      </c>
      <c r="E237" s="448">
        <f>D237-C237</f>
        <v>330568</v>
      </c>
      <c r="F237" s="449">
        <f>IF(C237=0,0,E237/C237)</f>
        <v>0.31112077379254915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654</v>
      </c>
      <c r="C238" s="448">
        <f>C222+C234</f>
        <v>202795</v>
      </c>
      <c r="D238" s="448">
        <f>LN_IG2+LN_IG10</f>
        <v>263313</v>
      </c>
      <c r="E238" s="448">
        <f>D238-C238</f>
        <v>60518</v>
      </c>
      <c r="F238" s="449">
        <f>IF(C238=0,0,E238/C238)</f>
        <v>0.29841958628171306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655</v>
      </c>
      <c r="C239" s="448">
        <f>C237-C238</f>
        <v>859712</v>
      </c>
      <c r="D239" s="448">
        <f>LN_IG13-LN_IG14</f>
        <v>1129762</v>
      </c>
      <c r="E239" s="448">
        <f>D239-C239</f>
        <v>270050</v>
      </c>
      <c r="F239" s="449">
        <f>IF(C239=0,0,E239/C239)</f>
        <v>0.31411682051663814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708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709</v>
      </c>
      <c r="C243" s="448">
        <v>10662189</v>
      </c>
      <c r="D243" s="448">
        <v>9034648</v>
      </c>
      <c r="E243" s="441">
        <f>D243-C243</f>
        <v>-1627541</v>
      </c>
      <c r="F243" s="503">
        <f>IF(C243=0,0,E243/C243)</f>
        <v>-0.15264604669829057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710</v>
      </c>
      <c r="C244" s="448">
        <v>231658975</v>
      </c>
      <c r="D244" s="448">
        <v>213170829</v>
      </c>
      <c r="E244" s="441">
        <f>D244-C244</f>
        <v>-18488146</v>
      </c>
      <c r="F244" s="503">
        <f>IF(C244=0,0,E244/C244)</f>
        <v>-7.9807596489624461E-2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711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712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713</v>
      </c>
      <c r="C248" s="441">
        <v>1389352</v>
      </c>
      <c r="D248" s="441">
        <v>1472594</v>
      </c>
      <c r="E248" s="441">
        <f>D248-C248</f>
        <v>83242</v>
      </c>
      <c r="F248" s="449">
        <f>IF(C248=0,0,E248/C248)</f>
        <v>5.9914262188415897E-2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714</v>
      </c>
      <c r="C249" s="441">
        <v>10435502</v>
      </c>
      <c r="D249" s="441">
        <v>10783760</v>
      </c>
      <c r="E249" s="441">
        <f>D249-C249</f>
        <v>348258</v>
      </c>
      <c r="F249" s="449">
        <f>IF(C249=0,0,E249/C249)</f>
        <v>3.3372424249451534E-2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715</v>
      </c>
      <c r="C250" s="441">
        <f>C248+C249</f>
        <v>11824854</v>
      </c>
      <c r="D250" s="441">
        <f>LN_IH4+LN_IH5</f>
        <v>12256354</v>
      </c>
      <c r="E250" s="441">
        <f>D250-C250</f>
        <v>431500</v>
      </c>
      <c r="F250" s="449">
        <f>IF(C250=0,0,E250/C250)</f>
        <v>3.6490936801418433E-2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716</v>
      </c>
      <c r="C251" s="441">
        <f>C250*C313</f>
        <v>2701570.8820527568</v>
      </c>
      <c r="D251" s="441">
        <f>LN_IH6*LN_III10</f>
        <v>2958194.4614579752</v>
      </c>
      <c r="E251" s="441">
        <f>D251-C251</f>
        <v>256623.57940521836</v>
      </c>
      <c r="F251" s="449">
        <f>IF(C251=0,0,E251/C251)</f>
        <v>9.4990503899059636E-2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717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653</v>
      </c>
      <c r="C254" s="441">
        <f>C188+C203</f>
        <v>172024035</v>
      </c>
      <c r="D254" s="441">
        <f>LN_IF23</f>
        <v>170970777</v>
      </c>
      <c r="E254" s="441">
        <f>D254-C254</f>
        <v>-1053258</v>
      </c>
      <c r="F254" s="449">
        <f>IF(C254=0,0,E254/C254)</f>
        <v>-6.1227374418929307E-3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654</v>
      </c>
      <c r="C255" s="441">
        <f>C189+C204</f>
        <v>25238964</v>
      </c>
      <c r="D255" s="441">
        <f>LN_IF24</f>
        <v>35585404</v>
      </c>
      <c r="E255" s="441">
        <f>D255-C255</f>
        <v>10346440</v>
      </c>
      <c r="F255" s="449">
        <f>IF(C255=0,0,E255/C255)</f>
        <v>0.40993917182971534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718</v>
      </c>
      <c r="C256" s="441">
        <f>C254*C313</f>
        <v>39301552.811495543</v>
      </c>
      <c r="D256" s="441">
        <f>LN_IH8*LN_III10</f>
        <v>41265518.733594559</v>
      </c>
      <c r="E256" s="441">
        <f>D256-C256</f>
        <v>1963965.9220990166</v>
      </c>
      <c r="F256" s="449">
        <f>IF(C256=0,0,E256/C256)</f>
        <v>4.9971713115736352E-2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719</v>
      </c>
      <c r="C257" s="441">
        <f>C256-C255</f>
        <v>14062588.811495543</v>
      </c>
      <c r="D257" s="441">
        <f>LN_IH10-LN_IH9</f>
        <v>5680114.7335945591</v>
      </c>
      <c r="E257" s="441">
        <f>D257-C257</f>
        <v>-8382474.0779009834</v>
      </c>
      <c r="F257" s="449">
        <f>IF(C257=0,0,E257/C257)</f>
        <v>-0.59608328098512575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720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721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518068405</v>
      </c>
      <c r="D261" s="448">
        <f>LN_IA1+LN_IB1+LN_IF1+LN_IG1</f>
        <v>477310641</v>
      </c>
      <c r="E261" s="448">
        <f t="shared" ref="E261:E274" si="26">D261-C261</f>
        <v>-40757764</v>
      </c>
      <c r="F261" s="503">
        <f t="shared" ref="F261:F274" si="27">IF(C261=0,0,E261/C261)</f>
        <v>-7.8672552903510884E-2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138914442</v>
      </c>
      <c r="D262" s="448">
        <f>+LN_IA2+LN_IB2+LN_IF2+LN_IG2</f>
        <v>126674282</v>
      </c>
      <c r="E262" s="448">
        <f t="shared" si="26"/>
        <v>-12240160</v>
      </c>
      <c r="F262" s="503">
        <f t="shared" si="27"/>
        <v>-8.8112940769686135E-2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722</v>
      </c>
      <c r="C263" s="453">
        <f>IF(C261=0,0,C262/C261)</f>
        <v>0.26813918907098766</v>
      </c>
      <c r="D263" s="453">
        <f>IF(LN_IIA1=0,0,LN_IIA2/LN_IIA1)</f>
        <v>0.26539169907171628</v>
      </c>
      <c r="E263" s="454">
        <f t="shared" si="26"/>
        <v>-2.7474899992713797E-3</v>
      </c>
      <c r="F263" s="458">
        <f t="shared" si="27"/>
        <v>-1.0246506707171418E-2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12364</v>
      </c>
      <c r="D264" s="456">
        <f>LN_IA4+LN_IB4+LN_IF4+LN_IG3</f>
        <v>11847</v>
      </c>
      <c r="E264" s="456">
        <f t="shared" si="26"/>
        <v>-517</v>
      </c>
      <c r="F264" s="503">
        <f t="shared" si="27"/>
        <v>-4.1814946619217079E-2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723</v>
      </c>
      <c r="C265" s="525">
        <f>IF(C264=0,0,C266/C264)</f>
        <v>1.314557028469751</v>
      </c>
      <c r="D265" s="525">
        <f>IF(LN_IIA4=0,0,LN_IIA6/LN_IIA4)</f>
        <v>1.3168717903266651</v>
      </c>
      <c r="E265" s="525">
        <f t="shared" si="26"/>
        <v>2.3147618569141493E-3</v>
      </c>
      <c r="F265" s="503">
        <f t="shared" si="27"/>
        <v>1.7608683433146422E-3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724</v>
      </c>
      <c r="C266" s="463">
        <f>C20+C47+C193+C226</f>
        <v>16253.1831</v>
      </c>
      <c r="D266" s="463">
        <f>LN_IA6+LN_IB6+LN_IF6+LN_IG5</f>
        <v>15600.980100000001</v>
      </c>
      <c r="E266" s="463">
        <f t="shared" si="26"/>
        <v>-652.20299999999952</v>
      </c>
      <c r="F266" s="503">
        <f t="shared" si="27"/>
        <v>-4.0127708891681622E-2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365100342</v>
      </c>
      <c r="D267" s="448">
        <f>LN_IA11+LN_IB13+LN_IF14+LN_IG9</f>
        <v>380425810</v>
      </c>
      <c r="E267" s="448">
        <f t="shared" si="26"/>
        <v>15325468</v>
      </c>
      <c r="F267" s="503">
        <f t="shared" si="27"/>
        <v>4.1976043944653443E-2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649</v>
      </c>
      <c r="C268" s="453">
        <f>IF(C261=0,0,C267/C261)</f>
        <v>0.70473385073540629</v>
      </c>
      <c r="D268" s="453">
        <f>IF(LN_IIA1=0,0,LN_IIA7/LN_IIA1)</f>
        <v>0.79701933567410244</v>
      </c>
      <c r="E268" s="454">
        <f t="shared" si="26"/>
        <v>9.228548493869615E-2</v>
      </c>
      <c r="F268" s="458">
        <f t="shared" si="27"/>
        <v>0.13095083320092271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80151248</v>
      </c>
      <c r="D269" s="448">
        <f>LN_IA12+LN_IB14+LN_IF15+LN_IG10</f>
        <v>80349049</v>
      </c>
      <c r="E269" s="448">
        <f t="shared" si="26"/>
        <v>197801</v>
      </c>
      <c r="F269" s="503">
        <f t="shared" si="27"/>
        <v>2.4678467888609792E-3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648</v>
      </c>
      <c r="C270" s="453">
        <f>IF(C267=0,0,C269/C267)</f>
        <v>0.21953210879216323</v>
      </c>
      <c r="D270" s="453">
        <f>IF(LN_IIA7=0,0,LN_IIA9/LN_IIA7)</f>
        <v>0.21120819588975837</v>
      </c>
      <c r="E270" s="454">
        <f t="shared" si="26"/>
        <v>-8.3239129024048619E-3</v>
      </c>
      <c r="F270" s="458">
        <f t="shared" si="27"/>
        <v>-3.7916607954079862E-2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725</v>
      </c>
      <c r="C271" s="441">
        <f>C261+C267</f>
        <v>883168747</v>
      </c>
      <c r="D271" s="441">
        <f>LN_IIA1+LN_IIA7</f>
        <v>857736451</v>
      </c>
      <c r="E271" s="441">
        <f t="shared" si="26"/>
        <v>-25432296</v>
      </c>
      <c r="F271" s="503">
        <f t="shared" si="27"/>
        <v>-2.8796644000809508E-2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726</v>
      </c>
      <c r="C272" s="441">
        <f>C262+C269</f>
        <v>219065690</v>
      </c>
      <c r="D272" s="441">
        <f>LN_IIA2+LN_IIA9</f>
        <v>207023331</v>
      </c>
      <c r="E272" s="441">
        <f t="shared" si="26"/>
        <v>-12042359</v>
      </c>
      <c r="F272" s="503">
        <f t="shared" si="27"/>
        <v>-5.4971451713867199E-2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727</v>
      </c>
      <c r="C273" s="453">
        <f>IF(C271=0,0,C272/C271)</f>
        <v>0.2480451111343504</v>
      </c>
      <c r="D273" s="453">
        <f>IF(LN_IIA11=0,0,LN_IIA12/LN_IIA11)</f>
        <v>0.24136007133501197</v>
      </c>
      <c r="E273" s="454">
        <f t="shared" si="26"/>
        <v>-6.6850397993384325E-3</v>
      </c>
      <c r="F273" s="458">
        <f t="shared" si="27"/>
        <v>-2.6950903280321327E-2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57548</v>
      </c>
      <c r="D274" s="508">
        <f>LN_IA8+LN_IB10+LN_IF11+LN_IG6</f>
        <v>55099</v>
      </c>
      <c r="E274" s="528">
        <f t="shared" si="26"/>
        <v>-2449</v>
      </c>
      <c r="F274" s="458">
        <f t="shared" si="27"/>
        <v>-4.2555779523180647E-2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728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729</v>
      </c>
      <c r="C277" s="448">
        <f>C15+C188+C221</f>
        <v>384426985</v>
      </c>
      <c r="D277" s="448">
        <f>LN_IA1+LN_IF1+LN_IG1</f>
        <v>354279096</v>
      </c>
      <c r="E277" s="448">
        <f t="shared" ref="E277:E291" si="28">D277-C277</f>
        <v>-30147889</v>
      </c>
      <c r="F277" s="503">
        <f t="shared" ref="F277:F291" si="29">IF(C277=0,0,E277/C277)</f>
        <v>-7.842292600765266E-2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730</v>
      </c>
      <c r="C278" s="448">
        <f>C16+C189+C222</f>
        <v>90462580</v>
      </c>
      <c r="D278" s="448">
        <f>LN_IA2+LN_IF2+LN_IG2</f>
        <v>79148162</v>
      </c>
      <c r="E278" s="448">
        <f t="shared" si="28"/>
        <v>-11314418</v>
      </c>
      <c r="F278" s="503">
        <f t="shared" si="29"/>
        <v>-0.12507290859933468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731</v>
      </c>
      <c r="C279" s="453">
        <f>IF(C277=0,0,C278/C277)</f>
        <v>0.23531797592200765</v>
      </c>
      <c r="D279" s="453">
        <f>IF(D277=0,0,LN_IIB2/D277)</f>
        <v>0.22340624353405261</v>
      </c>
      <c r="E279" s="454">
        <f t="shared" si="28"/>
        <v>-1.1911732387955037E-2</v>
      </c>
      <c r="F279" s="458">
        <f t="shared" si="29"/>
        <v>-5.0619729926212644E-2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732</v>
      </c>
      <c r="C280" s="456">
        <f>C18+C191+C224</f>
        <v>8957</v>
      </c>
      <c r="D280" s="456">
        <f>LN_IA4+LN_IF4+LN_IG3</f>
        <v>8560</v>
      </c>
      <c r="E280" s="456">
        <f t="shared" si="28"/>
        <v>-397</v>
      </c>
      <c r="F280" s="503">
        <f t="shared" si="29"/>
        <v>-4.4322875962934015E-2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733</v>
      </c>
      <c r="C281" s="525">
        <f>IF(C280=0,0,C282/C280)</f>
        <v>1.3335973651892374</v>
      </c>
      <c r="D281" s="525">
        <f>IF(LN_IIB4=0,0,LN_IIB6/LN_IIB4)</f>
        <v>1.3389022897196261</v>
      </c>
      <c r="E281" s="525">
        <f t="shared" si="28"/>
        <v>5.3049245303886661E-3</v>
      </c>
      <c r="F281" s="503">
        <f t="shared" si="29"/>
        <v>3.9779056774275328E-3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734</v>
      </c>
      <c r="C282" s="463">
        <f>C20+C193+C226</f>
        <v>11945.0316</v>
      </c>
      <c r="D282" s="463">
        <f>LN_IA6+LN_IF6+LN_IG5</f>
        <v>11461.0036</v>
      </c>
      <c r="E282" s="463">
        <f t="shared" si="28"/>
        <v>-484.02800000000025</v>
      </c>
      <c r="F282" s="503">
        <f t="shared" si="29"/>
        <v>-4.0521282505439356E-2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735</v>
      </c>
      <c r="C283" s="448">
        <f>C27+C203+C233</f>
        <v>203409088</v>
      </c>
      <c r="D283" s="448">
        <f>LN_IA11+LN_IF14+LN_IG9</f>
        <v>217200268</v>
      </c>
      <c r="E283" s="448">
        <f t="shared" si="28"/>
        <v>13791180</v>
      </c>
      <c r="F283" s="503">
        <f t="shared" si="29"/>
        <v>6.7800215494796381E-2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736</v>
      </c>
      <c r="C284" s="453">
        <f>IF(C277=0,0,C283/C277)</f>
        <v>0.52912281378998405</v>
      </c>
      <c r="D284" s="453">
        <f>IF(D277=0,0,LN_IIB7/D277)</f>
        <v>0.61307672524940615</v>
      </c>
      <c r="E284" s="454">
        <f t="shared" si="28"/>
        <v>8.3953911459422104E-2</v>
      </c>
      <c r="F284" s="458">
        <f t="shared" si="29"/>
        <v>0.15866620994487027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737</v>
      </c>
      <c r="C285" s="448">
        <f>C28+C204+C234</f>
        <v>36859517</v>
      </c>
      <c r="D285" s="448">
        <f>LN_IA12+LN_IF15+LN_IG10</f>
        <v>37220607</v>
      </c>
      <c r="E285" s="448">
        <f t="shared" si="28"/>
        <v>361090</v>
      </c>
      <c r="F285" s="503">
        <f t="shared" si="29"/>
        <v>9.7963844724281105E-3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738</v>
      </c>
      <c r="C286" s="453">
        <f>IF(C283=0,0,C285/C283)</f>
        <v>0.18120880125080743</v>
      </c>
      <c r="D286" s="453">
        <f>IF(LN_IIB7=0,0,LN_IIB9/LN_IIB7)</f>
        <v>0.17136538247733654</v>
      </c>
      <c r="E286" s="454">
        <f t="shared" si="28"/>
        <v>-9.8434187734708911E-3</v>
      </c>
      <c r="F286" s="458">
        <f t="shared" si="29"/>
        <v>-5.432086469048937E-2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739</v>
      </c>
      <c r="C287" s="441">
        <f>C277+C283</f>
        <v>587836073</v>
      </c>
      <c r="D287" s="441">
        <f>D277+LN_IIB7</f>
        <v>571479364</v>
      </c>
      <c r="E287" s="441">
        <f t="shared" si="28"/>
        <v>-16356709</v>
      </c>
      <c r="F287" s="503">
        <f t="shared" si="29"/>
        <v>-2.7825289653498349E-2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740</v>
      </c>
      <c r="C288" s="441">
        <f>C278+C285</f>
        <v>127322097</v>
      </c>
      <c r="D288" s="441">
        <f>LN_IIB2+LN_IIB9</f>
        <v>116368769</v>
      </c>
      <c r="E288" s="441">
        <f t="shared" si="28"/>
        <v>-10953328</v>
      </c>
      <c r="F288" s="503">
        <f t="shared" si="29"/>
        <v>-8.6028491974963303E-2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741</v>
      </c>
      <c r="C289" s="453">
        <f>IF(C287=0,0,C288/C287)</f>
        <v>0.21659456240957842</v>
      </c>
      <c r="D289" s="453">
        <f>IF(LN_IIB11=0,0,LN_IIB12/LN_IIB11)</f>
        <v>0.20362724593499057</v>
      </c>
      <c r="E289" s="454">
        <f t="shared" si="28"/>
        <v>-1.2967316474587848E-2</v>
      </c>
      <c r="F289" s="458">
        <f t="shared" si="29"/>
        <v>-5.9869076722557632E-2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45273</v>
      </c>
      <c r="D290" s="508">
        <f>LN_IA8+LN_IF11+LN_IG6</f>
        <v>42951</v>
      </c>
      <c r="E290" s="528">
        <f t="shared" si="28"/>
        <v>-2322</v>
      </c>
      <c r="F290" s="458">
        <f t="shared" si="29"/>
        <v>-5.1288847657544233E-2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742</v>
      </c>
      <c r="C291" s="448">
        <f>C287-C288</f>
        <v>460513976</v>
      </c>
      <c r="D291" s="516">
        <f>LN_IIB11-LN_IIB12</f>
        <v>455110595</v>
      </c>
      <c r="E291" s="441">
        <f t="shared" si="28"/>
        <v>-5403381</v>
      </c>
      <c r="F291" s="503">
        <f t="shared" si="29"/>
        <v>-1.1733370281035728E-2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644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635</v>
      </c>
      <c r="C294" s="466">
        <f>IF(C18=0,0,C22/C18)</f>
        <v>5.4588419951168472</v>
      </c>
      <c r="D294" s="466">
        <f>IF(LN_IA4=0,0,LN_IA8/LN_IA4)</f>
        <v>5.4706659120920582</v>
      </c>
      <c r="E294" s="466">
        <f t="shared" ref="E294:E300" si="30">D294-C294</f>
        <v>1.1823916975211013E-2</v>
      </c>
      <c r="F294" s="503">
        <f t="shared" ref="F294:F300" si="31">IF(C294=0,0,E294/C294)</f>
        <v>2.1660119464509105E-3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656</v>
      </c>
      <c r="C295" s="466">
        <f>IF(C45=0,0,C51/C45)</f>
        <v>3.6028764308776049</v>
      </c>
      <c r="D295" s="466">
        <f>IF(LN_IB4=0,0,(LN_IB10)/(LN_IB4))</f>
        <v>3.695771219957408</v>
      </c>
      <c r="E295" s="466">
        <f t="shared" si="30"/>
        <v>9.2894789079803086E-2</v>
      </c>
      <c r="F295" s="503">
        <f t="shared" si="31"/>
        <v>2.5783506834614184E-2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671</v>
      </c>
      <c r="C296" s="466">
        <f>IF(C86=0,0,C93/C86)</f>
        <v>3.5</v>
      </c>
      <c r="D296" s="466">
        <f>IF(LN_IC4=0,0,LN_IC11/LN_IC4)</f>
        <v>4.2152777777777777</v>
      </c>
      <c r="E296" s="466">
        <f t="shared" si="30"/>
        <v>0.71527777777777768</v>
      </c>
      <c r="F296" s="503">
        <f t="shared" si="31"/>
        <v>0.20436507936507933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4.3420560747663552</v>
      </c>
      <c r="D297" s="466">
        <f>IF(LN_ID4=0,0,LN_ID11/LN_ID4)</f>
        <v>4.2881880024737171</v>
      </c>
      <c r="E297" s="466">
        <f t="shared" si="30"/>
        <v>-5.3868072292638125E-2</v>
      </c>
      <c r="F297" s="503">
        <f t="shared" si="31"/>
        <v>-1.2406120825037191E-2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743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2.6153846153846154</v>
      </c>
      <c r="D299" s="466">
        <f>IF(LN_IG3=0,0,LN_IG6/LN_IG3)</f>
        <v>3.32</v>
      </c>
      <c r="E299" s="466">
        <f t="shared" si="30"/>
        <v>0.70461538461538442</v>
      </c>
      <c r="F299" s="503">
        <f t="shared" si="31"/>
        <v>0.2694117647058823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744</v>
      </c>
      <c r="C300" s="466">
        <f>IF(C264=0,0,C274/C264)</f>
        <v>4.6544807505661598</v>
      </c>
      <c r="D300" s="466">
        <f>IF(LN_IIA4=0,0,LN_IIA14/LN_IIA4)</f>
        <v>4.6508820798514394</v>
      </c>
      <c r="E300" s="466">
        <f t="shared" si="30"/>
        <v>-3.59867071472042E-3</v>
      </c>
      <c r="F300" s="503">
        <f t="shared" si="31"/>
        <v>-7.7316265928969335E-4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745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739</v>
      </c>
      <c r="C304" s="441">
        <f>C35+C66+C214+C221+C233</f>
        <v>883168747</v>
      </c>
      <c r="D304" s="441">
        <f>LN_IIA11</f>
        <v>857736451</v>
      </c>
      <c r="E304" s="441">
        <f t="shared" ref="E304:E316" si="32">D304-C304</f>
        <v>-25432296</v>
      </c>
      <c r="F304" s="449">
        <f>IF(C304=0,0,E304/C304)</f>
        <v>-2.8796644000809508E-2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742</v>
      </c>
      <c r="C305" s="441">
        <f>C291</f>
        <v>460513976</v>
      </c>
      <c r="D305" s="441">
        <f>LN_IIB14</f>
        <v>455110595</v>
      </c>
      <c r="E305" s="441">
        <f t="shared" si="32"/>
        <v>-5403381</v>
      </c>
      <c r="F305" s="449">
        <f>IF(C305=0,0,E305/C305)</f>
        <v>-1.1733370281035728E-2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746</v>
      </c>
      <c r="C306" s="441">
        <f>C250</f>
        <v>11824854</v>
      </c>
      <c r="D306" s="441">
        <f>LN_IH6</f>
        <v>12256354</v>
      </c>
      <c r="E306" s="441">
        <f t="shared" si="32"/>
        <v>431500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747</v>
      </c>
      <c r="C307" s="441">
        <f>C73-C74</f>
        <v>203589081</v>
      </c>
      <c r="D307" s="441">
        <f>LN_IB32-LN_IB33</f>
        <v>175886062</v>
      </c>
      <c r="E307" s="441">
        <f t="shared" si="32"/>
        <v>-27703019</v>
      </c>
      <c r="F307" s="449">
        <f t="shared" ref="F307:F316" si="33">IF(C307=0,0,E307/C307)</f>
        <v>-0.13607320620500271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748</v>
      </c>
      <c r="C308" s="441">
        <v>5467269</v>
      </c>
      <c r="D308" s="441">
        <v>7460110</v>
      </c>
      <c r="E308" s="441">
        <f t="shared" si="32"/>
        <v>1992841</v>
      </c>
      <c r="F308" s="449">
        <f t="shared" si="33"/>
        <v>0.36450392325674846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749</v>
      </c>
      <c r="C309" s="441">
        <f>C305+C307+C308+C306</f>
        <v>681395180</v>
      </c>
      <c r="D309" s="441">
        <f>LN_III2+LN_III3+LN_III4+LN_III5</f>
        <v>650713121</v>
      </c>
      <c r="E309" s="441">
        <f t="shared" si="32"/>
        <v>-30682059</v>
      </c>
      <c r="F309" s="449">
        <f t="shared" si="33"/>
        <v>-4.5028288870490686E-2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750</v>
      </c>
      <c r="C310" s="441">
        <f>C304-C309</f>
        <v>201773567</v>
      </c>
      <c r="D310" s="441">
        <f>LN_III1-LN_III6</f>
        <v>207023330</v>
      </c>
      <c r="E310" s="441">
        <f t="shared" si="32"/>
        <v>5249763</v>
      </c>
      <c r="F310" s="449">
        <f t="shared" si="33"/>
        <v>2.6018090863210046E-2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751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752</v>
      </c>
      <c r="C312" s="441">
        <f>C310+C311</f>
        <v>201773567</v>
      </c>
      <c r="D312" s="441">
        <f>LN_III7+LN_III8</f>
        <v>207023330</v>
      </c>
      <c r="E312" s="441">
        <f t="shared" si="32"/>
        <v>5249763</v>
      </c>
      <c r="F312" s="449">
        <f t="shared" si="33"/>
        <v>2.6018090863210046E-2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753</v>
      </c>
      <c r="C313" s="532">
        <f>IF(C304=0,0,C312/C304)</f>
        <v>0.22846547467332423</v>
      </c>
      <c r="D313" s="532">
        <f>IF(LN_III1=0,0,LN_III9/LN_III1)</f>
        <v>0.2413600701691527</v>
      </c>
      <c r="E313" s="532">
        <f t="shared" si="32"/>
        <v>1.289459549582847E-2</v>
      </c>
      <c r="F313" s="449">
        <f t="shared" si="33"/>
        <v>5.6440017968868411E-2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716</v>
      </c>
      <c r="C314" s="441">
        <f>C306*C313</f>
        <v>2701570.8820527568</v>
      </c>
      <c r="D314" s="441">
        <f>D313*LN_III5</f>
        <v>2958194.4614579752</v>
      </c>
      <c r="E314" s="441">
        <f t="shared" si="32"/>
        <v>256623.57940521836</v>
      </c>
      <c r="F314" s="449">
        <f t="shared" si="33"/>
        <v>9.4990503899059636E-2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719</v>
      </c>
      <c r="C315" s="441">
        <f>(C214*C313)-C215</f>
        <v>14062588.811495543</v>
      </c>
      <c r="D315" s="441">
        <f>D313*LN_IH8-LN_IH9</f>
        <v>5680114.7335945591</v>
      </c>
      <c r="E315" s="441">
        <f t="shared" si="32"/>
        <v>-8382474.0779009834</v>
      </c>
      <c r="F315" s="449">
        <f t="shared" si="33"/>
        <v>-0.59608328098512575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754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755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756</v>
      </c>
      <c r="C318" s="441">
        <f>C314+C315+C316</f>
        <v>16764159.693548299</v>
      </c>
      <c r="D318" s="441">
        <f>D314+D315+D316</f>
        <v>8638309.1950525343</v>
      </c>
      <c r="E318" s="441">
        <f>D318-C318</f>
        <v>-8125850.498495765</v>
      </c>
      <c r="F318" s="449">
        <f>IF(C318=0,0,E318/C318)</f>
        <v>-0.48471564617837692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757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14321278.171527576</v>
      </c>
      <c r="D322" s="441">
        <f>LN_ID22</f>
        <v>5719060.1443177992</v>
      </c>
      <c r="E322" s="441">
        <f>LN_IV2-C322</f>
        <v>-8602218.0272097774</v>
      </c>
      <c r="F322" s="449">
        <f>IF(C322=0,0,E322/C322)</f>
        <v>-0.60065993580880384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743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758</v>
      </c>
      <c r="C324" s="441">
        <f>C92+C106</f>
        <v>2822443.6625006357</v>
      </c>
      <c r="D324" s="441">
        <f>LN_IC10+LN_IC22</f>
        <v>773750.42665275116</v>
      </c>
      <c r="E324" s="441">
        <f>LN_IV1-C324</f>
        <v>-2048693.2358478846</v>
      </c>
      <c r="F324" s="449">
        <f>IF(C324=0,0,E324/C324)</f>
        <v>-0.72585797302780464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759</v>
      </c>
      <c r="C325" s="516">
        <f>C324+C322+C323</f>
        <v>17143721.83402821</v>
      </c>
      <c r="D325" s="516">
        <f>LN_IV1+LN_IV2+LN_IV3</f>
        <v>6492810.5709705502</v>
      </c>
      <c r="E325" s="441">
        <f>LN_IV4-C325</f>
        <v>-10650911.26305766</v>
      </c>
      <c r="F325" s="449">
        <f>IF(C325=0,0,E325/C325)</f>
        <v>-0.62127181986334445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760</v>
      </c>
      <c r="B327" s="530" t="s">
        <v>761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762</v>
      </c>
      <c r="C329" s="518">
        <v>7235166</v>
      </c>
      <c r="D329" s="518">
        <v>10378562</v>
      </c>
      <c r="E329" s="518">
        <f t="shared" ref="E329:E335" si="34">D329-C329</f>
        <v>3143396</v>
      </c>
      <c r="F329" s="542">
        <f t="shared" ref="F329:F335" si="35">IF(C329=0,0,E329/C329)</f>
        <v>0.43446079882617761</v>
      </c>
    </row>
    <row r="330" spans="1:22" s="420" customFormat="1" ht="15.75" customHeight="1" x14ac:dyDescent="0.2">
      <c r="A330" s="451">
        <v>2</v>
      </c>
      <c r="B330" s="447" t="s">
        <v>763</v>
      </c>
      <c r="C330" s="516">
        <v>11715009</v>
      </c>
      <c r="D330" s="516">
        <v>674692</v>
      </c>
      <c r="E330" s="518">
        <f t="shared" si="34"/>
        <v>-11040317</v>
      </c>
      <c r="F330" s="543">
        <f t="shared" si="35"/>
        <v>-0.94240789742457731</v>
      </c>
    </row>
    <row r="331" spans="1:22" s="420" customFormat="1" ht="15.75" customHeight="1" x14ac:dyDescent="0.2">
      <c r="A331" s="427">
        <v>3</v>
      </c>
      <c r="B331" s="447" t="s">
        <v>764</v>
      </c>
      <c r="C331" s="516">
        <v>230780700</v>
      </c>
      <c r="D331" s="516">
        <v>207698016</v>
      </c>
      <c r="E331" s="518">
        <f t="shared" si="34"/>
        <v>-23082684</v>
      </c>
      <c r="F331" s="542">
        <f t="shared" si="35"/>
        <v>-0.10001999300634759</v>
      </c>
    </row>
    <row r="332" spans="1:22" s="420" customFormat="1" ht="27" customHeight="1" x14ac:dyDescent="0.2">
      <c r="A332" s="451">
        <v>4</v>
      </c>
      <c r="B332" s="447" t="s">
        <v>765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766</v>
      </c>
      <c r="C333" s="516">
        <v>883168747</v>
      </c>
      <c r="D333" s="516">
        <v>857736451</v>
      </c>
      <c r="E333" s="518">
        <f t="shared" si="34"/>
        <v>-25432296</v>
      </c>
      <c r="F333" s="542">
        <f t="shared" si="35"/>
        <v>-2.8796644000809508E-2</v>
      </c>
    </row>
    <row r="334" spans="1:22" s="420" customFormat="1" ht="15.75" customHeight="1" x14ac:dyDescent="0.2">
      <c r="A334" s="427">
        <v>6</v>
      </c>
      <c r="B334" s="447" t="s">
        <v>767</v>
      </c>
      <c r="C334" s="516">
        <v>151848</v>
      </c>
      <c r="D334" s="516">
        <v>227753</v>
      </c>
      <c r="E334" s="516">
        <f t="shared" si="34"/>
        <v>75905</v>
      </c>
      <c r="F334" s="543">
        <f t="shared" si="35"/>
        <v>0.49987487487487486</v>
      </c>
    </row>
    <row r="335" spans="1:22" s="420" customFormat="1" ht="15.75" customHeight="1" x14ac:dyDescent="0.2">
      <c r="A335" s="451">
        <v>7</v>
      </c>
      <c r="B335" s="447" t="s">
        <v>768</v>
      </c>
      <c r="C335" s="516">
        <v>11976700</v>
      </c>
      <c r="D335" s="516">
        <v>12484112</v>
      </c>
      <c r="E335" s="516">
        <f t="shared" si="34"/>
        <v>507412</v>
      </c>
      <c r="F335" s="542">
        <f t="shared" si="35"/>
        <v>4.2366595138894687E-2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sqref="A1:F1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629</v>
      </c>
      <c r="B3" s="820"/>
      <c r="C3" s="820"/>
      <c r="D3" s="820"/>
      <c r="E3" s="820"/>
    </row>
    <row r="4" spans="1:5" s="428" customFormat="1" ht="15.75" customHeight="1" x14ac:dyDescent="0.25">
      <c r="A4" s="820" t="s">
        <v>769</v>
      </c>
      <c r="B4" s="820"/>
      <c r="C4" s="820"/>
      <c r="D4" s="820"/>
      <c r="E4" s="820"/>
    </row>
    <row r="5" spans="1:5" s="428" customFormat="1" ht="15.75" customHeight="1" x14ac:dyDescent="0.25">
      <c r="A5" s="820" t="s">
        <v>770</v>
      </c>
      <c r="B5" s="820"/>
      <c r="C5" s="820"/>
      <c r="D5" s="820"/>
      <c r="E5" s="820"/>
    </row>
    <row r="6" spans="1:5" s="428" customFormat="1" ht="15.75" customHeight="1" x14ac:dyDescent="0.25">
      <c r="A6" s="820" t="s">
        <v>771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772</v>
      </c>
      <c r="D9" s="573" t="s">
        <v>773</v>
      </c>
      <c r="E9" s="573" t="s">
        <v>774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775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776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656</v>
      </c>
      <c r="C14" s="589">
        <v>133641420</v>
      </c>
      <c r="D14" s="589">
        <v>123031545</v>
      </c>
      <c r="E14" s="590">
        <f t="shared" ref="E14:E22" si="0">D14-C14</f>
        <v>-10609875</v>
      </c>
    </row>
    <row r="15" spans="1:5" s="421" customFormat="1" x14ac:dyDescent="0.2">
      <c r="A15" s="588">
        <v>2</v>
      </c>
      <c r="B15" s="587" t="s">
        <v>635</v>
      </c>
      <c r="C15" s="589">
        <v>289311831</v>
      </c>
      <c r="D15" s="591">
        <v>260207823</v>
      </c>
      <c r="E15" s="590">
        <f t="shared" si="0"/>
        <v>-29104008</v>
      </c>
    </row>
    <row r="16" spans="1:5" s="421" customFormat="1" x14ac:dyDescent="0.2">
      <c r="A16" s="588">
        <v>3</v>
      </c>
      <c r="B16" s="587" t="s">
        <v>777</v>
      </c>
      <c r="C16" s="589">
        <v>94750947</v>
      </c>
      <c r="D16" s="591">
        <v>93439698</v>
      </c>
      <c r="E16" s="590">
        <f t="shared" si="0"/>
        <v>-1311249</v>
      </c>
    </row>
    <row r="17" spans="1:5" s="421" customFormat="1" x14ac:dyDescent="0.2">
      <c r="A17" s="588">
        <v>4</v>
      </c>
      <c r="B17" s="587" t="s">
        <v>115</v>
      </c>
      <c r="C17" s="589">
        <v>94750947</v>
      </c>
      <c r="D17" s="591">
        <v>93439698</v>
      </c>
      <c r="E17" s="590">
        <f t="shared" si="0"/>
        <v>-1311249</v>
      </c>
    </row>
    <row r="18" spans="1:5" s="421" customFormat="1" x14ac:dyDescent="0.2">
      <c r="A18" s="588">
        <v>5</v>
      </c>
      <c r="B18" s="587" t="s">
        <v>743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364207</v>
      </c>
      <c r="D19" s="591">
        <v>631575</v>
      </c>
      <c r="E19" s="590">
        <f t="shared" si="0"/>
        <v>267368</v>
      </c>
    </row>
    <row r="20" spans="1:5" s="421" customFormat="1" x14ac:dyDescent="0.2">
      <c r="A20" s="588">
        <v>7</v>
      </c>
      <c r="B20" s="587" t="s">
        <v>758</v>
      </c>
      <c r="C20" s="589">
        <v>4003438</v>
      </c>
      <c r="D20" s="591">
        <v>5215657</v>
      </c>
      <c r="E20" s="590">
        <f t="shared" si="0"/>
        <v>1212219</v>
      </c>
    </row>
    <row r="21" spans="1:5" s="421" customFormat="1" x14ac:dyDescent="0.2">
      <c r="A21" s="588"/>
      <c r="B21" s="592" t="s">
        <v>778</v>
      </c>
      <c r="C21" s="593">
        <f>SUM(C15+C16+C19)</f>
        <v>384426985</v>
      </c>
      <c r="D21" s="593">
        <f>SUM(D15+D16+D19)</f>
        <v>354279096</v>
      </c>
      <c r="E21" s="593">
        <f t="shared" si="0"/>
        <v>-30147889</v>
      </c>
    </row>
    <row r="22" spans="1:5" s="421" customFormat="1" x14ac:dyDescent="0.2">
      <c r="A22" s="588"/>
      <c r="B22" s="592" t="s">
        <v>465</v>
      </c>
      <c r="C22" s="593">
        <f>SUM(C14+C21)</f>
        <v>518068405</v>
      </c>
      <c r="D22" s="593">
        <f>SUM(D14+D21)</f>
        <v>477310641</v>
      </c>
      <c r="E22" s="593">
        <f t="shared" si="0"/>
        <v>-40757764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779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656</v>
      </c>
      <c r="C25" s="589">
        <v>161691254</v>
      </c>
      <c r="D25" s="589">
        <v>163225542</v>
      </c>
      <c r="E25" s="590">
        <f t="shared" ref="E25:E33" si="1">D25-C25</f>
        <v>1534288</v>
      </c>
    </row>
    <row r="26" spans="1:5" s="421" customFormat="1" x14ac:dyDescent="0.2">
      <c r="A26" s="588">
        <v>2</v>
      </c>
      <c r="B26" s="587" t="s">
        <v>635</v>
      </c>
      <c r="C26" s="589">
        <v>125437700</v>
      </c>
      <c r="D26" s="591">
        <v>138907689</v>
      </c>
      <c r="E26" s="590">
        <f t="shared" si="1"/>
        <v>13469989</v>
      </c>
    </row>
    <row r="27" spans="1:5" s="421" customFormat="1" x14ac:dyDescent="0.2">
      <c r="A27" s="588">
        <v>3</v>
      </c>
      <c r="B27" s="587" t="s">
        <v>777</v>
      </c>
      <c r="C27" s="589">
        <v>77273088</v>
      </c>
      <c r="D27" s="591">
        <v>77531079</v>
      </c>
      <c r="E27" s="590">
        <f t="shared" si="1"/>
        <v>257991</v>
      </c>
    </row>
    <row r="28" spans="1:5" s="421" customFormat="1" x14ac:dyDescent="0.2">
      <c r="A28" s="588">
        <v>4</v>
      </c>
      <c r="B28" s="587" t="s">
        <v>115</v>
      </c>
      <c r="C28" s="589">
        <v>77273088</v>
      </c>
      <c r="D28" s="591">
        <v>77531079</v>
      </c>
      <c r="E28" s="590">
        <f t="shared" si="1"/>
        <v>257991</v>
      </c>
    </row>
    <row r="29" spans="1:5" s="421" customFormat="1" x14ac:dyDescent="0.2">
      <c r="A29" s="588">
        <v>5</v>
      </c>
      <c r="B29" s="587" t="s">
        <v>743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698300</v>
      </c>
      <c r="D30" s="591">
        <v>761500</v>
      </c>
      <c r="E30" s="590">
        <f t="shared" si="1"/>
        <v>63200</v>
      </c>
    </row>
    <row r="31" spans="1:5" s="421" customFormat="1" x14ac:dyDescent="0.2">
      <c r="A31" s="588">
        <v>7</v>
      </c>
      <c r="B31" s="587" t="s">
        <v>758</v>
      </c>
      <c r="C31" s="590">
        <v>8063786</v>
      </c>
      <c r="D31" s="594">
        <v>8955982</v>
      </c>
      <c r="E31" s="590">
        <f t="shared" si="1"/>
        <v>892196</v>
      </c>
    </row>
    <row r="32" spans="1:5" s="421" customFormat="1" x14ac:dyDescent="0.2">
      <c r="A32" s="588"/>
      <c r="B32" s="592" t="s">
        <v>780</v>
      </c>
      <c r="C32" s="593">
        <f>SUM(C26+C27+C30)</f>
        <v>203409088</v>
      </c>
      <c r="D32" s="593">
        <f>SUM(D26+D27+D30)</f>
        <v>217200268</v>
      </c>
      <c r="E32" s="593">
        <f t="shared" si="1"/>
        <v>13791180</v>
      </c>
    </row>
    <row r="33" spans="1:5" s="421" customFormat="1" x14ac:dyDescent="0.2">
      <c r="A33" s="588"/>
      <c r="B33" s="592" t="s">
        <v>467</v>
      </c>
      <c r="C33" s="593">
        <f>SUM(C25+C32)</f>
        <v>365100342</v>
      </c>
      <c r="D33" s="593">
        <f>SUM(D25+D32)</f>
        <v>380425810</v>
      </c>
      <c r="E33" s="593">
        <f t="shared" si="1"/>
        <v>15325468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653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781</v>
      </c>
      <c r="C36" s="590">
        <f t="shared" ref="C36:D42" si="2">C14+C25</f>
        <v>295332674</v>
      </c>
      <c r="D36" s="590">
        <f t="shared" si="2"/>
        <v>286257087</v>
      </c>
      <c r="E36" s="590">
        <f t="shared" ref="E36:E44" si="3">D36-C36</f>
        <v>-9075587</v>
      </c>
    </row>
    <row r="37" spans="1:5" s="421" customFormat="1" x14ac:dyDescent="0.2">
      <c r="A37" s="588">
        <v>2</v>
      </c>
      <c r="B37" s="587" t="s">
        <v>782</v>
      </c>
      <c r="C37" s="590">
        <f t="shared" si="2"/>
        <v>414749531</v>
      </c>
      <c r="D37" s="590">
        <f t="shared" si="2"/>
        <v>399115512</v>
      </c>
      <c r="E37" s="590">
        <f t="shared" si="3"/>
        <v>-15634019</v>
      </c>
    </row>
    <row r="38" spans="1:5" s="421" customFormat="1" x14ac:dyDescent="0.2">
      <c r="A38" s="588">
        <v>3</v>
      </c>
      <c r="B38" s="587" t="s">
        <v>783</v>
      </c>
      <c r="C38" s="590">
        <f t="shared" si="2"/>
        <v>172024035</v>
      </c>
      <c r="D38" s="590">
        <f t="shared" si="2"/>
        <v>170970777</v>
      </c>
      <c r="E38" s="590">
        <f t="shared" si="3"/>
        <v>-1053258</v>
      </c>
    </row>
    <row r="39" spans="1:5" s="421" customFormat="1" x14ac:dyDescent="0.2">
      <c r="A39" s="588">
        <v>4</v>
      </c>
      <c r="B39" s="587" t="s">
        <v>784</v>
      </c>
      <c r="C39" s="590">
        <f t="shared" si="2"/>
        <v>172024035</v>
      </c>
      <c r="D39" s="590">
        <f t="shared" si="2"/>
        <v>170970777</v>
      </c>
      <c r="E39" s="590">
        <f t="shared" si="3"/>
        <v>-1053258</v>
      </c>
    </row>
    <row r="40" spans="1:5" s="421" customFormat="1" x14ac:dyDescent="0.2">
      <c r="A40" s="588">
        <v>5</v>
      </c>
      <c r="B40" s="587" t="s">
        <v>785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786</v>
      </c>
      <c r="C41" s="590">
        <f t="shared" si="2"/>
        <v>1062507</v>
      </c>
      <c r="D41" s="590">
        <f t="shared" si="2"/>
        <v>1393075</v>
      </c>
      <c r="E41" s="590">
        <f t="shared" si="3"/>
        <v>330568</v>
      </c>
    </row>
    <row r="42" spans="1:5" s="421" customFormat="1" x14ac:dyDescent="0.2">
      <c r="A42" s="588">
        <v>7</v>
      </c>
      <c r="B42" s="587" t="s">
        <v>787</v>
      </c>
      <c r="C42" s="590">
        <f t="shared" si="2"/>
        <v>12067224</v>
      </c>
      <c r="D42" s="590">
        <f t="shared" si="2"/>
        <v>14171639</v>
      </c>
      <c r="E42" s="590">
        <f t="shared" si="3"/>
        <v>2104415</v>
      </c>
    </row>
    <row r="43" spans="1:5" s="421" customFormat="1" x14ac:dyDescent="0.2">
      <c r="A43" s="588"/>
      <c r="B43" s="592" t="s">
        <v>788</v>
      </c>
      <c r="C43" s="593">
        <f>SUM(C37+C38+C41)</f>
        <v>587836073</v>
      </c>
      <c r="D43" s="593">
        <f>SUM(D37+D38+D41)</f>
        <v>571479364</v>
      </c>
      <c r="E43" s="593">
        <f t="shared" si="3"/>
        <v>-16356709</v>
      </c>
    </row>
    <row r="44" spans="1:5" s="421" customFormat="1" x14ac:dyDescent="0.2">
      <c r="A44" s="588"/>
      <c r="B44" s="592" t="s">
        <v>725</v>
      </c>
      <c r="C44" s="593">
        <f>SUM(C36+C43)</f>
        <v>883168747</v>
      </c>
      <c r="D44" s="593">
        <f>SUM(D36+D43)</f>
        <v>857736451</v>
      </c>
      <c r="E44" s="593">
        <f t="shared" si="3"/>
        <v>-25432296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789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656</v>
      </c>
      <c r="C47" s="589">
        <v>48451862</v>
      </c>
      <c r="D47" s="589">
        <v>47526120</v>
      </c>
      <c r="E47" s="590">
        <f t="shared" ref="E47:E55" si="4">D47-C47</f>
        <v>-925742</v>
      </c>
    </row>
    <row r="48" spans="1:5" s="421" customFormat="1" x14ac:dyDescent="0.2">
      <c r="A48" s="588">
        <v>2</v>
      </c>
      <c r="B48" s="587" t="s">
        <v>635</v>
      </c>
      <c r="C48" s="589">
        <v>77014129</v>
      </c>
      <c r="D48" s="591">
        <v>58554766</v>
      </c>
      <c r="E48" s="590">
        <f t="shared" si="4"/>
        <v>-18459363</v>
      </c>
    </row>
    <row r="49" spans="1:5" s="421" customFormat="1" x14ac:dyDescent="0.2">
      <c r="A49" s="588">
        <v>3</v>
      </c>
      <c r="B49" s="587" t="s">
        <v>777</v>
      </c>
      <c r="C49" s="589">
        <v>13376016</v>
      </c>
      <c r="D49" s="591">
        <v>20475986</v>
      </c>
      <c r="E49" s="590">
        <f t="shared" si="4"/>
        <v>7099970</v>
      </c>
    </row>
    <row r="50" spans="1:5" s="421" customFormat="1" x14ac:dyDescent="0.2">
      <c r="A50" s="588">
        <v>4</v>
      </c>
      <c r="B50" s="587" t="s">
        <v>115</v>
      </c>
      <c r="C50" s="589">
        <v>13376016</v>
      </c>
      <c r="D50" s="591">
        <v>20475986</v>
      </c>
      <c r="E50" s="590">
        <f t="shared" si="4"/>
        <v>7099970</v>
      </c>
    </row>
    <row r="51" spans="1:5" s="421" customFormat="1" x14ac:dyDescent="0.2">
      <c r="A51" s="588">
        <v>5</v>
      </c>
      <c r="B51" s="587" t="s">
        <v>743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72435</v>
      </c>
      <c r="D52" s="591">
        <v>117410</v>
      </c>
      <c r="E52" s="590">
        <f t="shared" si="4"/>
        <v>44975</v>
      </c>
    </row>
    <row r="53" spans="1:5" s="421" customFormat="1" x14ac:dyDescent="0.2">
      <c r="A53" s="588">
        <v>7</v>
      </c>
      <c r="B53" s="587" t="s">
        <v>758</v>
      </c>
      <c r="C53" s="589">
        <v>107871</v>
      </c>
      <c r="D53" s="591">
        <v>743233</v>
      </c>
      <c r="E53" s="590">
        <f t="shared" si="4"/>
        <v>635362</v>
      </c>
    </row>
    <row r="54" spans="1:5" s="421" customFormat="1" x14ac:dyDescent="0.2">
      <c r="A54" s="588"/>
      <c r="B54" s="592" t="s">
        <v>790</v>
      </c>
      <c r="C54" s="593">
        <f>SUM(C48+C49+C52)</f>
        <v>90462580</v>
      </c>
      <c r="D54" s="593">
        <f>SUM(D48+D49+D52)</f>
        <v>79148162</v>
      </c>
      <c r="E54" s="593">
        <f t="shared" si="4"/>
        <v>-11314418</v>
      </c>
    </row>
    <row r="55" spans="1:5" s="421" customFormat="1" x14ac:dyDescent="0.2">
      <c r="A55" s="588"/>
      <c r="B55" s="592" t="s">
        <v>466</v>
      </c>
      <c r="C55" s="593">
        <f>SUM(C47+C54)</f>
        <v>138914442</v>
      </c>
      <c r="D55" s="593">
        <f>SUM(D47+D54)</f>
        <v>126674282</v>
      </c>
      <c r="E55" s="593">
        <f t="shared" si="4"/>
        <v>-12240160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791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656</v>
      </c>
      <c r="C58" s="589">
        <v>43291731</v>
      </c>
      <c r="D58" s="589">
        <v>43128442</v>
      </c>
      <c r="E58" s="590">
        <f t="shared" ref="E58:E66" si="5">D58-C58</f>
        <v>-163289</v>
      </c>
    </row>
    <row r="59" spans="1:5" s="421" customFormat="1" x14ac:dyDescent="0.2">
      <c r="A59" s="588">
        <v>2</v>
      </c>
      <c r="B59" s="587" t="s">
        <v>635</v>
      </c>
      <c r="C59" s="589">
        <v>24866209</v>
      </c>
      <c r="D59" s="591">
        <v>21965286</v>
      </c>
      <c r="E59" s="590">
        <f t="shared" si="5"/>
        <v>-2900923</v>
      </c>
    </row>
    <row r="60" spans="1:5" s="421" customFormat="1" x14ac:dyDescent="0.2">
      <c r="A60" s="588">
        <v>3</v>
      </c>
      <c r="B60" s="587" t="s">
        <v>777</v>
      </c>
      <c r="C60" s="589">
        <f>C61+C62</f>
        <v>11862948</v>
      </c>
      <c r="D60" s="591">
        <f>D61+D62</f>
        <v>15109418</v>
      </c>
      <c r="E60" s="590">
        <f t="shared" si="5"/>
        <v>3246470</v>
      </c>
    </row>
    <row r="61" spans="1:5" s="421" customFormat="1" x14ac:dyDescent="0.2">
      <c r="A61" s="588">
        <v>4</v>
      </c>
      <c r="B61" s="587" t="s">
        <v>115</v>
      </c>
      <c r="C61" s="589">
        <v>11862948</v>
      </c>
      <c r="D61" s="591">
        <v>15109418</v>
      </c>
      <c r="E61" s="590">
        <f t="shared" si="5"/>
        <v>3246470</v>
      </c>
    </row>
    <row r="62" spans="1:5" s="421" customFormat="1" x14ac:dyDescent="0.2">
      <c r="A62" s="588">
        <v>5</v>
      </c>
      <c r="B62" s="587" t="s">
        <v>743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130360</v>
      </c>
      <c r="D63" s="591">
        <v>145903</v>
      </c>
      <c r="E63" s="590">
        <f t="shared" si="5"/>
        <v>15543</v>
      </c>
    </row>
    <row r="64" spans="1:5" s="421" customFormat="1" x14ac:dyDescent="0.2">
      <c r="A64" s="588">
        <v>7</v>
      </c>
      <c r="B64" s="587" t="s">
        <v>758</v>
      </c>
      <c r="C64" s="589">
        <v>496209</v>
      </c>
      <c r="D64" s="591">
        <v>1608517</v>
      </c>
      <c r="E64" s="590">
        <f t="shared" si="5"/>
        <v>1112308</v>
      </c>
    </row>
    <row r="65" spans="1:5" s="421" customFormat="1" x14ac:dyDescent="0.2">
      <c r="A65" s="588"/>
      <c r="B65" s="592" t="s">
        <v>792</v>
      </c>
      <c r="C65" s="593">
        <f>SUM(C59+C60+C63)</f>
        <v>36859517</v>
      </c>
      <c r="D65" s="593">
        <f>SUM(D59+D60+D63)</f>
        <v>37220607</v>
      </c>
      <c r="E65" s="593">
        <f t="shared" si="5"/>
        <v>361090</v>
      </c>
    </row>
    <row r="66" spans="1:5" s="421" customFormat="1" x14ac:dyDescent="0.2">
      <c r="A66" s="588"/>
      <c r="B66" s="592" t="s">
        <v>468</v>
      </c>
      <c r="C66" s="593">
        <f>SUM(C58+C65)</f>
        <v>80151248</v>
      </c>
      <c r="D66" s="593">
        <f>SUM(D58+D65)</f>
        <v>80349049</v>
      </c>
      <c r="E66" s="593">
        <f t="shared" si="5"/>
        <v>197801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654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781</v>
      </c>
      <c r="C69" s="590">
        <f t="shared" ref="C69:D75" si="6">C47+C58</f>
        <v>91743593</v>
      </c>
      <c r="D69" s="590">
        <f t="shared" si="6"/>
        <v>90654562</v>
      </c>
      <c r="E69" s="590">
        <f t="shared" ref="E69:E77" si="7">D69-C69</f>
        <v>-1089031</v>
      </c>
    </row>
    <row r="70" spans="1:5" s="421" customFormat="1" x14ac:dyDescent="0.2">
      <c r="A70" s="588">
        <v>2</v>
      </c>
      <c r="B70" s="587" t="s">
        <v>782</v>
      </c>
      <c r="C70" s="590">
        <f t="shared" si="6"/>
        <v>101880338</v>
      </c>
      <c r="D70" s="590">
        <f t="shared" si="6"/>
        <v>80520052</v>
      </c>
      <c r="E70" s="590">
        <f t="shared" si="7"/>
        <v>-21360286</v>
      </c>
    </row>
    <row r="71" spans="1:5" s="421" customFormat="1" x14ac:dyDescent="0.2">
      <c r="A71" s="588">
        <v>3</v>
      </c>
      <c r="B71" s="587" t="s">
        <v>783</v>
      </c>
      <c r="C71" s="590">
        <f t="shared" si="6"/>
        <v>25238964</v>
      </c>
      <c r="D71" s="590">
        <f t="shared" si="6"/>
        <v>35585404</v>
      </c>
      <c r="E71" s="590">
        <f t="shared" si="7"/>
        <v>10346440</v>
      </c>
    </row>
    <row r="72" spans="1:5" s="421" customFormat="1" x14ac:dyDescent="0.2">
      <c r="A72" s="588">
        <v>4</v>
      </c>
      <c r="B72" s="587" t="s">
        <v>784</v>
      </c>
      <c r="C72" s="590">
        <f t="shared" si="6"/>
        <v>25238964</v>
      </c>
      <c r="D72" s="590">
        <f t="shared" si="6"/>
        <v>35585404</v>
      </c>
      <c r="E72" s="590">
        <f t="shared" si="7"/>
        <v>10346440</v>
      </c>
    </row>
    <row r="73" spans="1:5" s="421" customFormat="1" x14ac:dyDescent="0.2">
      <c r="A73" s="588">
        <v>5</v>
      </c>
      <c r="B73" s="587" t="s">
        <v>785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786</v>
      </c>
      <c r="C74" s="590">
        <f t="shared" si="6"/>
        <v>202795</v>
      </c>
      <c r="D74" s="590">
        <f t="shared" si="6"/>
        <v>263313</v>
      </c>
      <c r="E74" s="590">
        <f t="shared" si="7"/>
        <v>60518</v>
      </c>
    </row>
    <row r="75" spans="1:5" s="421" customFormat="1" x14ac:dyDescent="0.2">
      <c r="A75" s="588">
        <v>7</v>
      </c>
      <c r="B75" s="587" t="s">
        <v>787</v>
      </c>
      <c r="C75" s="590">
        <f t="shared" si="6"/>
        <v>604080</v>
      </c>
      <c r="D75" s="590">
        <f t="shared" si="6"/>
        <v>2351750</v>
      </c>
      <c r="E75" s="590">
        <f t="shared" si="7"/>
        <v>1747670</v>
      </c>
    </row>
    <row r="76" spans="1:5" s="421" customFormat="1" x14ac:dyDescent="0.2">
      <c r="A76" s="588"/>
      <c r="B76" s="592" t="s">
        <v>793</v>
      </c>
      <c r="C76" s="593">
        <f>SUM(C70+C71+C74)</f>
        <v>127322097</v>
      </c>
      <c r="D76" s="593">
        <f>SUM(D70+D71+D74)</f>
        <v>116368769</v>
      </c>
      <c r="E76" s="593">
        <f t="shared" si="7"/>
        <v>-10953328</v>
      </c>
    </row>
    <row r="77" spans="1:5" s="421" customFormat="1" x14ac:dyDescent="0.2">
      <c r="A77" s="588"/>
      <c r="B77" s="592" t="s">
        <v>726</v>
      </c>
      <c r="C77" s="593">
        <f>SUM(C69+C76)</f>
        <v>219065690</v>
      </c>
      <c r="D77" s="593">
        <f>SUM(D69+D76)</f>
        <v>207023331</v>
      </c>
      <c r="E77" s="593">
        <f t="shared" si="7"/>
        <v>-12042359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794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795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656</v>
      </c>
      <c r="C83" s="599">
        <f t="shared" ref="C83:D89" si="8">IF(C$44=0,0,C14/C$44)</f>
        <v>0.15132036822403544</v>
      </c>
      <c r="D83" s="599">
        <f t="shared" si="8"/>
        <v>0.14343746829992188</v>
      </c>
      <c r="E83" s="599">
        <f t="shared" ref="E83:E91" si="9">D83-C83</f>
        <v>-7.8828999241135622E-3</v>
      </c>
    </row>
    <row r="84" spans="1:5" s="421" customFormat="1" x14ac:dyDescent="0.2">
      <c r="A84" s="588">
        <v>2</v>
      </c>
      <c r="B84" s="587" t="s">
        <v>635</v>
      </c>
      <c r="C84" s="599">
        <f t="shared" si="8"/>
        <v>0.32758386433255432</v>
      </c>
      <c r="D84" s="599">
        <f t="shared" si="8"/>
        <v>0.30336570481134889</v>
      </c>
      <c r="E84" s="599">
        <f t="shared" si="9"/>
        <v>-2.4218159521205429E-2</v>
      </c>
    </row>
    <row r="85" spans="1:5" s="421" customFormat="1" x14ac:dyDescent="0.2">
      <c r="A85" s="588">
        <v>3</v>
      </c>
      <c r="B85" s="587" t="s">
        <v>777</v>
      </c>
      <c r="C85" s="599">
        <f t="shared" si="8"/>
        <v>0.10728521284506007</v>
      </c>
      <c r="D85" s="599">
        <f t="shared" si="8"/>
        <v>0.10893753890377687</v>
      </c>
      <c r="E85" s="599">
        <f t="shared" si="9"/>
        <v>1.6523260587168048E-3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0.10728521284506007</v>
      </c>
      <c r="D86" s="599">
        <f t="shared" si="8"/>
        <v>0.10893753890377687</v>
      </c>
      <c r="E86" s="599">
        <f t="shared" si="9"/>
        <v>1.6523260587168048E-3</v>
      </c>
    </row>
    <row r="87" spans="1:5" s="421" customFormat="1" x14ac:dyDescent="0.2">
      <c r="A87" s="588">
        <v>5</v>
      </c>
      <c r="B87" s="587" t="s">
        <v>743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4.123866489129738E-4</v>
      </c>
      <c r="D88" s="599">
        <f t="shared" si="8"/>
        <v>7.3632757388784453E-4</v>
      </c>
      <c r="E88" s="599">
        <f t="shared" si="9"/>
        <v>3.2394092497487072E-4</v>
      </c>
    </row>
    <row r="89" spans="1:5" s="421" customFormat="1" x14ac:dyDescent="0.2">
      <c r="A89" s="588">
        <v>7</v>
      </c>
      <c r="B89" s="587" t="s">
        <v>758</v>
      </c>
      <c r="C89" s="599">
        <f t="shared" si="8"/>
        <v>4.5330385768281717E-3</v>
      </c>
      <c r="D89" s="599">
        <f t="shared" si="8"/>
        <v>6.0807221074949975E-3</v>
      </c>
      <c r="E89" s="599">
        <f t="shared" si="9"/>
        <v>1.5476835306668258E-3</v>
      </c>
    </row>
    <row r="90" spans="1:5" s="421" customFormat="1" x14ac:dyDescent="0.2">
      <c r="A90" s="588"/>
      <c r="B90" s="592" t="s">
        <v>796</v>
      </c>
      <c r="C90" s="600">
        <f>SUM(C84+C85+C88)</f>
        <v>0.43528146382652733</v>
      </c>
      <c r="D90" s="600">
        <f>SUM(D84+D85+D88)</f>
        <v>0.41303957128901364</v>
      </c>
      <c r="E90" s="601">
        <f t="shared" si="9"/>
        <v>-2.2241892537513686E-2</v>
      </c>
    </row>
    <row r="91" spans="1:5" s="421" customFormat="1" x14ac:dyDescent="0.2">
      <c r="A91" s="588"/>
      <c r="B91" s="592" t="s">
        <v>797</v>
      </c>
      <c r="C91" s="600">
        <f>SUM(C83+C90)</f>
        <v>0.58660183205056282</v>
      </c>
      <c r="D91" s="600">
        <f>SUM(D83+D90)</f>
        <v>0.55647703958893557</v>
      </c>
      <c r="E91" s="601">
        <f t="shared" si="9"/>
        <v>-3.0124792461627248E-2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798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656</v>
      </c>
      <c r="C95" s="599">
        <f t="shared" ref="C95:D101" si="10">IF(C$44=0,0,C25/C$44)</f>
        <v>0.18308081501892187</v>
      </c>
      <c r="D95" s="599">
        <f t="shared" si="10"/>
        <v>0.19029801264677745</v>
      </c>
      <c r="E95" s="599">
        <f t="shared" ref="E95:E103" si="11">D95-C95</f>
        <v>7.2171976278555816E-3</v>
      </c>
    </row>
    <row r="96" spans="1:5" s="421" customFormat="1" x14ac:dyDescent="0.2">
      <c r="A96" s="588">
        <v>2</v>
      </c>
      <c r="B96" s="587" t="s">
        <v>635</v>
      </c>
      <c r="C96" s="599">
        <f t="shared" si="10"/>
        <v>0.1420314072775947</v>
      </c>
      <c r="D96" s="599">
        <f t="shared" si="10"/>
        <v>0.16194681809086367</v>
      </c>
      <c r="E96" s="599">
        <f t="shared" si="11"/>
        <v>1.9915410813268974E-2</v>
      </c>
    </row>
    <row r="97" spans="1:5" s="421" customFormat="1" x14ac:dyDescent="0.2">
      <c r="A97" s="588">
        <v>3</v>
      </c>
      <c r="B97" s="587" t="s">
        <v>777</v>
      </c>
      <c r="C97" s="599">
        <f t="shared" si="10"/>
        <v>8.7495270029069538E-2</v>
      </c>
      <c r="D97" s="599">
        <f t="shared" si="10"/>
        <v>9.0390327832762241E-2</v>
      </c>
      <c r="E97" s="599">
        <f t="shared" si="11"/>
        <v>2.8950578036927022E-3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8.7495270029069538E-2</v>
      </c>
      <c r="D98" s="599">
        <f t="shared" si="10"/>
        <v>9.0390327832762241E-2</v>
      </c>
      <c r="E98" s="599">
        <f t="shared" si="11"/>
        <v>2.8950578036927022E-3</v>
      </c>
    </row>
    <row r="99" spans="1:5" s="421" customFormat="1" x14ac:dyDescent="0.2">
      <c r="A99" s="588">
        <v>5</v>
      </c>
      <c r="B99" s="587" t="s">
        <v>743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7.9067562385107812E-4</v>
      </c>
      <c r="D100" s="599">
        <f t="shared" si="10"/>
        <v>8.87801840661194E-4</v>
      </c>
      <c r="E100" s="599">
        <f t="shared" si="11"/>
        <v>9.7126216810115872E-5</v>
      </c>
    </row>
    <row r="101" spans="1:5" s="421" customFormat="1" x14ac:dyDescent="0.2">
      <c r="A101" s="588">
        <v>7</v>
      </c>
      <c r="B101" s="587" t="s">
        <v>758</v>
      </c>
      <c r="C101" s="599">
        <f t="shared" si="10"/>
        <v>9.1305155751848638E-3</v>
      </c>
      <c r="D101" s="599">
        <f t="shared" si="10"/>
        <v>1.044141471376037E-2</v>
      </c>
      <c r="E101" s="599">
        <f t="shared" si="11"/>
        <v>1.310899138575506E-3</v>
      </c>
    </row>
    <row r="102" spans="1:5" s="421" customFormat="1" x14ac:dyDescent="0.2">
      <c r="A102" s="588"/>
      <c r="B102" s="592" t="s">
        <v>799</v>
      </c>
      <c r="C102" s="600">
        <f>SUM(C96+C97+C100)</f>
        <v>0.23031735293051531</v>
      </c>
      <c r="D102" s="600">
        <f>SUM(D96+D97+D100)</f>
        <v>0.25322494776428706</v>
      </c>
      <c r="E102" s="601">
        <f t="shared" si="11"/>
        <v>2.2907594833771749E-2</v>
      </c>
    </row>
    <row r="103" spans="1:5" s="421" customFormat="1" x14ac:dyDescent="0.2">
      <c r="A103" s="588"/>
      <c r="B103" s="592" t="s">
        <v>800</v>
      </c>
      <c r="C103" s="600">
        <f>SUM(C95+C102)</f>
        <v>0.41339816794943718</v>
      </c>
      <c r="D103" s="600">
        <f>SUM(D95+D102)</f>
        <v>0.44352296041106454</v>
      </c>
      <c r="E103" s="601">
        <f t="shared" si="11"/>
        <v>3.0124792461627359E-2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801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802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656</v>
      </c>
      <c r="C109" s="599">
        <f t="shared" ref="C109:D115" si="12">IF(C$77=0,0,C47/C$77)</f>
        <v>0.22117503658377541</v>
      </c>
      <c r="D109" s="599">
        <f t="shared" si="12"/>
        <v>0.22956890786381948</v>
      </c>
      <c r="E109" s="599">
        <f t="shared" ref="E109:E117" si="13">D109-C109</f>
        <v>8.3938712800440685E-3</v>
      </c>
    </row>
    <row r="110" spans="1:5" s="421" customFormat="1" x14ac:dyDescent="0.2">
      <c r="A110" s="588">
        <v>2</v>
      </c>
      <c r="B110" s="587" t="s">
        <v>635</v>
      </c>
      <c r="C110" s="599">
        <f t="shared" si="12"/>
        <v>0.35155723837904512</v>
      </c>
      <c r="D110" s="599">
        <f t="shared" si="12"/>
        <v>0.28284138660680713</v>
      </c>
      <c r="E110" s="599">
        <f t="shared" si="13"/>
        <v>-6.871585177223799E-2</v>
      </c>
    </row>
    <row r="111" spans="1:5" s="421" customFormat="1" x14ac:dyDescent="0.2">
      <c r="A111" s="588">
        <v>3</v>
      </c>
      <c r="B111" s="587" t="s">
        <v>777</v>
      </c>
      <c r="C111" s="599">
        <f t="shared" si="12"/>
        <v>6.1059383603155749E-2</v>
      </c>
      <c r="D111" s="599">
        <f t="shared" si="12"/>
        <v>9.8906658979417153E-2</v>
      </c>
      <c r="E111" s="599">
        <f t="shared" si="13"/>
        <v>3.7847275376261404E-2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6.1059383603155749E-2</v>
      </c>
      <c r="D112" s="599">
        <f t="shared" si="12"/>
        <v>9.8906658979417153E-2</v>
      </c>
      <c r="E112" s="599">
        <f t="shared" si="13"/>
        <v>3.7847275376261404E-2</v>
      </c>
    </row>
    <row r="113" spans="1:5" s="421" customFormat="1" x14ac:dyDescent="0.2">
      <c r="A113" s="588">
        <v>5</v>
      </c>
      <c r="B113" s="587" t="s">
        <v>743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3.3065424348285665E-4</v>
      </c>
      <c r="D114" s="599">
        <f t="shared" si="12"/>
        <v>5.6713414586107686E-4</v>
      </c>
      <c r="E114" s="599">
        <f t="shared" si="13"/>
        <v>2.3647990237822021E-4</v>
      </c>
    </row>
    <row r="115" spans="1:5" s="421" customFormat="1" x14ac:dyDescent="0.2">
      <c r="A115" s="588">
        <v>7</v>
      </c>
      <c r="B115" s="587" t="s">
        <v>758</v>
      </c>
      <c r="C115" s="599">
        <f t="shared" si="12"/>
        <v>4.9241394213763009E-4</v>
      </c>
      <c r="D115" s="599">
        <f t="shared" si="12"/>
        <v>3.5900929446449686E-3</v>
      </c>
      <c r="E115" s="599">
        <f t="shared" si="13"/>
        <v>3.0976790025073384E-3</v>
      </c>
    </row>
    <row r="116" spans="1:5" s="421" customFormat="1" x14ac:dyDescent="0.2">
      <c r="A116" s="588"/>
      <c r="B116" s="592" t="s">
        <v>796</v>
      </c>
      <c r="C116" s="600">
        <f>SUM(C110+C111+C114)</f>
        <v>0.41294727622568372</v>
      </c>
      <c r="D116" s="600">
        <f>SUM(D110+D111+D114)</f>
        <v>0.38231517973208534</v>
      </c>
      <c r="E116" s="601">
        <f t="shared" si="13"/>
        <v>-3.0632096493598382E-2</v>
      </c>
    </row>
    <row r="117" spans="1:5" s="421" customFormat="1" x14ac:dyDescent="0.2">
      <c r="A117" s="588"/>
      <c r="B117" s="592" t="s">
        <v>797</v>
      </c>
      <c r="C117" s="600">
        <f>SUM(C109+C116)</f>
        <v>0.63412231280945908</v>
      </c>
      <c r="D117" s="600">
        <f>SUM(D109+D116)</f>
        <v>0.61188408759590485</v>
      </c>
      <c r="E117" s="601">
        <f t="shared" si="13"/>
        <v>-2.223822521355423E-2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803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656</v>
      </c>
      <c r="C121" s="599">
        <f t="shared" ref="C121:D127" si="14">IF(C$77=0,0,C58/C$77)</f>
        <v>0.19761986005202367</v>
      </c>
      <c r="D121" s="599">
        <f t="shared" si="14"/>
        <v>0.20832648084480873</v>
      </c>
      <c r="E121" s="599">
        <f t="shared" ref="E121:E129" si="15">D121-C121</f>
        <v>1.070662079278506E-2</v>
      </c>
    </row>
    <row r="122" spans="1:5" s="421" customFormat="1" x14ac:dyDescent="0.2">
      <c r="A122" s="588">
        <v>2</v>
      </c>
      <c r="B122" s="587" t="s">
        <v>635</v>
      </c>
      <c r="C122" s="599">
        <f t="shared" si="14"/>
        <v>0.11351028543082214</v>
      </c>
      <c r="D122" s="599">
        <f t="shared" si="14"/>
        <v>0.10610053414704258</v>
      </c>
      <c r="E122" s="599">
        <f t="shared" si="15"/>
        <v>-7.4097512837795615E-3</v>
      </c>
    </row>
    <row r="123" spans="1:5" s="421" customFormat="1" x14ac:dyDescent="0.2">
      <c r="A123" s="588">
        <v>3</v>
      </c>
      <c r="B123" s="587" t="s">
        <v>777</v>
      </c>
      <c r="C123" s="599">
        <f t="shared" si="14"/>
        <v>5.4152469060764374E-2</v>
      </c>
      <c r="D123" s="599">
        <f t="shared" si="14"/>
        <v>7.298413143589115E-2</v>
      </c>
      <c r="E123" s="599">
        <f t="shared" si="15"/>
        <v>1.8831662375126776E-2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5.4152469060764374E-2</v>
      </c>
      <c r="D124" s="599">
        <f t="shared" si="14"/>
        <v>7.298413143589115E-2</v>
      </c>
      <c r="E124" s="599">
        <f t="shared" si="15"/>
        <v>1.8831662375126776E-2</v>
      </c>
    </row>
    <row r="125" spans="1:5" s="421" customFormat="1" x14ac:dyDescent="0.2">
      <c r="A125" s="588">
        <v>5</v>
      </c>
      <c r="B125" s="587" t="s">
        <v>743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5.9507264693069921E-4</v>
      </c>
      <c r="D126" s="599">
        <f t="shared" si="14"/>
        <v>7.0476597635268457E-4</v>
      </c>
      <c r="E126" s="599">
        <f t="shared" si="15"/>
        <v>1.0969332942198536E-4</v>
      </c>
    </row>
    <row r="127" spans="1:5" s="421" customFormat="1" x14ac:dyDescent="0.2">
      <c r="A127" s="588">
        <v>7</v>
      </c>
      <c r="B127" s="587" t="s">
        <v>758</v>
      </c>
      <c r="C127" s="599">
        <f t="shared" si="14"/>
        <v>2.2651150894510228E-3</v>
      </c>
      <c r="D127" s="599">
        <f t="shared" si="14"/>
        <v>7.769737798296753E-3</v>
      </c>
      <c r="E127" s="599">
        <f t="shared" si="15"/>
        <v>5.5046227088457302E-3</v>
      </c>
    </row>
    <row r="128" spans="1:5" s="421" customFormat="1" x14ac:dyDescent="0.2">
      <c r="A128" s="588"/>
      <c r="B128" s="592" t="s">
        <v>799</v>
      </c>
      <c r="C128" s="600">
        <f>SUM(C122+C123+C126)</f>
        <v>0.16825782713851722</v>
      </c>
      <c r="D128" s="600">
        <f>SUM(D122+D123+D126)</f>
        <v>0.17978943155928642</v>
      </c>
      <c r="E128" s="601">
        <f t="shared" si="15"/>
        <v>1.1531604420769198E-2</v>
      </c>
    </row>
    <row r="129" spans="1:5" s="421" customFormat="1" x14ac:dyDescent="0.2">
      <c r="A129" s="588"/>
      <c r="B129" s="592" t="s">
        <v>800</v>
      </c>
      <c r="C129" s="600">
        <f>SUM(C121+C128)</f>
        <v>0.36587768719054092</v>
      </c>
      <c r="D129" s="600">
        <f>SUM(D121+D128)</f>
        <v>0.38811591240409515</v>
      </c>
      <c r="E129" s="601">
        <f t="shared" si="15"/>
        <v>2.223822521355423E-2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804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805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806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656</v>
      </c>
      <c r="C137" s="606">
        <v>3407</v>
      </c>
      <c r="D137" s="606">
        <v>3287</v>
      </c>
      <c r="E137" s="607">
        <f t="shared" ref="E137:E145" si="16">D137-C137</f>
        <v>-120</v>
      </c>
    </row>
    <row r="138" spans="1:5" s="421" customFormat="1" x14ac:dyDescent="0.2">
      <c r="A138" s="588">
        <v>2</v>
      </c>
      <c r="B138" s="587" t="s">
        <v>635</v>
      </c>
      <c r="C138" s="606">
        <v>5734</v>
      </c>
      <c r="D138" s="606">
        <v>5301</v>
      </c>
      <c r="E138" s="607">
        <f t="shared" si="16"/>
        <v>-433</v>
      </c>
    </row>
    <row r="139" spans="1:5" s="421" customFormat="1" x14ac:dyDescent="0.2">
      <c r="A139" s="588">
        <v>3</v>
      </c>
      <c r="B139" s="587" t="s">
        <v>777</v>
      </c>
      <c r="C139" s="606">
        <f>C140+C141</f>
        <v>3210</v>
      </c>
      <c r="D139" s="606">
        <f>D140+D141</f>
        <v>3234</v>
      </c>
      <c r="E139" s="607">
        <f t="shared" si="16"/>
        <v>24</v>
      </c>
    </row>
    <row r="140" spans="1:5" s="421" customFormat="1" x14ac:dyDescent="0.2">
      <c r="A140" s="588">
        <v>4</v>
      </c>
      <c r="B140" s="587" t="s">
        <v>115</v>
      </c>
      <c r="C140" s="606">
        <v>3210</v>
      </c>
      <c r="D140" s="606">
        <v>3234</v>
      </c>
      <c r="E140" s="607">
        <f t="shared" si="16"/>
        <v>24</v>
      </c>
    </row>
    <row r="141" spans="1:5" s="421" customFormat="1" x14ac:dyDescent="0.2">
      <c r="A141" s="588">
        <v>5</v>
      </c>
      <c r="B141" s="587" t="s">
        <v>743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13</v>
      </c>
      <c r="D142" s="606">
        <v>25</v>
      </c>
      <c r="E142" s="607">
        <f t="shared" si="16"/>
        <v>12</v>
      </c>
    </row>
    <row r="143" spans="1:5" s="421" customFormat="1" x14ac:dyDescent="0.2">
      <c r="A143" s="588">
        <v>7</v>
      </c>
      <c r="B143" s="587" t="s">
        <v>758</v>
      </c>
      <c r="C143" s="606">
        <v>116</v>
      </c>
      <c r="D143" s="606">
        <v>144</v>
      </c>
      <c r="E143" s="607">
        <f t="shared" si="16"/>
        <v>28</v>
      </c>
    </row>
    <row r="144" spans="1:5" s="421" customFormat="1" x14ac:dyDescent="0.2">
      <c r="A144" s="588"/>
      <c r="B144" s="592" t="s">
        <v>807</v>
      </c>
      <c r="C144" s="608">
        <f>SUM(C138+C139+C142)</f>
        <v>8957</v>
      </c>
      <c r="D144" s="608">
        <f>SUM(D138+D139+D142)</f>
        <v>8560</v>
      </c>
      <c r="E144" s="609">
        <f t="shared" si="16"/>
        <v>-397</v>
      </c>
    </row>
    <row r="145" spans="1:5" s="421" customFormat="1" x14ac:dyDescent="0.2">
      <c r="A145" s="588"/>
      <c r="B145" s="592" t="s">
        <v>138</v>
      </c>
      <c r="C145" s="608">
        <f>SUM(C137+C144)</f>
        <v>12364</v>
      </c>
      <c r="D145" s="608">
        <f>SUM(D137+D144)</f>
        <v>11847</v>
      </c>
      <c r="E145" s="609">
        <f t="shared" si="16"/>
        <v>-517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656</v>
      </c>
      <c r="C149" s="610">
        <v>12275</v>
      </c>
      <c r="D149" s="610">
        <v>12148</v>
      </c>
      <c r="E149" s="607">
        <f t="shared" ref="E149:E157" si="17">D149-C149</f>
        <v>-127</v>
      </c>
    </row>
    <row r="150" spans="1:5" s="421" customFormat="1" x14ac:dyDescent="0.2">
      <c r="A150" s="588">
        <v>2</v>
      </c>
      <c r="B150" s="587" t="s">
        <v>635</v>
      </c>
      <c r="C150" s="610">
        <v>31301</v>
      </c>
      <c r="D150" s="610">
        <v>29000</v>
      </c>
      <c r="E150" s="607">
        <f t="shared" si="17"/>
        <v>-2301</v>
      </c>
    </row>
    <row r="151" spans="1:5" s="421" customFormat="1" x14ac:dyDescent="0.2">
      <c r="A151" s="588">
        <v>3</v>
      </c>
      <c r="B151" s="587" t="s">
        <v>777</v>
      </c>
      <c r="C151" s="610">
        <f>C152+C153</f>
        <v>13938</v>
      </c>
      <c r="D151" s="610">
        <f>D152+D153</f>
        <v>13868</v>
      </c>
      <c r="E151" s="607">
        <f t="shared" si="17"/>
        <v>-70</v>
      </c>
    </row>
    <row r="152" spans="1:5" s="421" customFormat="1" x14ac:dyDescent="0.2">
      <c r="A152" s="588">
        <v>4</v>
      </c>
      <c r="B152" s="587" t="s">
        <v>115</v>
      </c>
      <c r="C152" s="610">
        <v>13938</v>
      </c>
      <c r="D152" s="610">
        <v>13868</v>
      </c>
      <c r="E152" s="607">
        <f t="shared" si="17"/>
        <v>-70</v>
      </c>
    </row>
    <row r="153" spans="1:5" s="421" customFormat="1" x14ac:dyDescent="0.2">
      <c r="A153" s="588">
        <v>5</v>
      </c>
      <c r="B153" s="587" t="s">
        <v>743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34</v>
      </c>
      <c r="D154" s="610">
        <v>83</v>
      </c>
      <c r="E154" s="607">
        <f t="shared" si="17"/>
        <v>49</v>
      </c>
    </row>
    <row r="155" spans="1:5" s="421" customFormat="1" x14ac:dyDescent="0.2">
      <c r="A155" s="588">
        <v>7</v>
      </c>
      <c r="B155" s="587" t="s">
        <v>758</v>
      </c>
      <c r="C155" s="610">
        <v>406</v>
      </c>
      <c r="D155" s="610">
        <v>607</v>
      </c>
      <c r="E155" s="607">
        <f t="shared" si="17"/>
        <v>201</v>
      </c>
    </row>
    <row r="156" spans="1:5" s="421" customFormat="1" x14ac:dyDescent="0.2">
      <c r="A156" s="588"/>
      <c r="B156" s="592" t="s">
        <v>808</v>
      </c>
      <c r="C156" s="608">
        <f>SUM(C150+C151+C154)</f>
        <v>45273</v>
      </c>
      <c r="D156" s="608">
        <f>SUM(D150+D151+D154)</f>
        <v>42951</v>
      </c>
      <c r="E156" s="609">
        <f t="shared" si="17"/>
        <v>-2322</v>
      </c>
    </row>
    <row r="157" spans="1:5" s="421" customFormat="1" x14ac:dyDescent="0.2">
      <c r="A157" s="588"/>
      <c r="B157" s="592" t="s">
        <v>140</v>
      </c>
      <c r="C157" s="608">
        <f>SUM(C149+C156)</f>
        <v>57548</v>
      </c>
      <c r="D157" s="608">
        <f>SUM(D149+D156)</f>
        <v>55099</v>
      </c>
      <c r="E157" s="609">
        <f t="shared" si="17"/>
        <v>-2449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809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656</v>
      </c>
      <c r="C161" s="612">
        <f t="shared" ref="C161:D169" si="18">IF(C137=0,0,C149/C137)</f>
        <v>3.6028764308776049</v>
      </c>
      <c r="D161" s="612">
        <f t="shared" si="18"/>
        <v>3.695771219957408</v>
      </c>
      <c r="E161" s="613">
        <f t="shared" ref="E161:E169" si="19">D161-C161</f>
        <v>9.2894789079803086E-2</v>
      </c>
    </row>
    <row r="162" spans="1:5" s="421" customFormat="1" x14ac:dyDescent="0.2">
      <c r="A162" s="588">
        <v>2</v>
      </c>
      <c r="B162" s="587" t="s">
        <v>635</v>
      </c>
      <c r="C162" s="612">
        <f t="shared" si="18"/>
        <v>5.4588419951168472</v>
      </c>
      <c r="D162" s="612">
        <f t="shared" si="18"/>
        <v>5.4706659120920582</v>
      </c>
      <c r="E162" s="613">
        <f t="shared" si="19"/>
        <v>1.1823916975211013E-2</v>
      </c>
    </row>
    <row r="163" spans="1:5" s="421" customFormat="1" x14ac:dyDescent="0.2">
      <c r="A163" s="588">
        <v>3</v>
      </c>
      <c r="B163" s="587" t="s">
        <v>777</v>
      </c>
      <c r="C163" s="612">
        <f t="shared" si="18"/>
        <v>4.3420560747663552</v>
      </c>
      <c r="D163" s="612">
        <f t="shared" si="18"/>
        <v>4.2881880024737171</v>
      </c>
      <c r="E163" s="613">
        <f t="shared" si="19"/>
        <v>-5.3868072292638125E-2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4.3420560747663552</v>
      </c>
      <c r="D164" s="612">
        <f t="shared" si="18"/>
        <v>4.2881880024737171</v>
      </c>
      <c r="E164" s="613">
        <f t="shared" si="19"/>
        <v>-5.3868072292638125E-2</v>
      </c>
    </row>
    <row r="165" spans="1:5" s="421" customFormat="1" x14ac:dyDescent="0.2">
      <c r="A165" s="588">
        <v>5</v>
      </c>
      <c r="B165" s="587" t="s">
        <v>743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2.6153846153846154</v>
      </c>
      <c r="D166" s="612">
        <f t="shared" si="18"/>
        <v>3.32</v>
      </c>
      <c r="E166" s="613">
        <f t="shared" si="19"/>
        <v>0.70461538461538442</v>
      </c>
    </row>
    <row r="167" spans="1:5" s="421" customFormat="1" x14ac:dyDescent="0.2">
      <c r="A167" s="588">
        <v>7</v>
      </c>
      <c r="B167" s="587" t="s">
        <v>758</v>
      </c>
      <c r="C167" s="612">
        <f t="shared" si="18"/>
        <v>3.5</v>
      </c>
      <c r="D167" s="612">
        <f t="shared" si="18"/>
        <v>4.2152777777777777</v>
      </c>
      <c r="E167" s="613">
        <f t="shared" si="19"/>
        <v>0.71527777777777768</v>
      </c>
    </row>
    <row r="168" spans="1:5" s="421" customFormat="1" x14ac:dyDescent="0.2">
      <c r="A168" s="588"/>
      <c r="B168" s="592" t="s">
        <v>810</v>
      </c>
      <c r="C168" s="614">
        <f t="shared" si="18"/>
        <v>5.05448252763202</v>
      </c>
      <c r="D168" s="614">
        <f t="shared" si="18"/>
        <v>5.0176401869158882</v>
      </c>
      <c r="E168" s="615">
        <f t="shared" si="19"/>
        <v>-3.6842340716131794E-2</v>
      </c>
    </row>
    <row r="169" spans="1:5" s="421" customFormat="1" x14ac:dyDescent="0.2">
      <c r="A169" s="588"/>
      <c r="B169" s="592" t="s">
        <v>744</v>
      </c>
      <c r="C169" s="614">
        <f t="shared" si="18"/>
        <v>4.6544807505661598</v>
      </c>
      <c r="D169" s="614">
        <f t="shared" si="18"/>
        <v>4.6508820798514394</v>
      </c>
      <c r="E169" s="615">
        <f t="shared" si="19"/>
        <v>-3.59867071472042E-3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811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656</v>
      </c>
      <c r="C173" s="617">
        <f t="shared" ref="C173:D181" si="20">IF(C137=0,0,C203/C137)</f>
        <v>1.2645</v>
      </c>
      <c r="D173" s="617">
        <f t="shared" si="20"/>
        <v>1.2594999999999998</v>
      </c>
      <c r="E173" s="618">
        <f t="shared" ref="E173:E181" si="21">D173-C173</f>
        <v>-5.0000000000001155E-3</v>
      </c>
    </row>
    <row r="174" spans="1:5" s="421" customFormat="1" x14ac:dyDescent="0.2">
      <c r="A174" s="588">
        <v>2</v>
      </c>
      <c r="B174" s="587" t="s">
        <v>635</v>
      </c>
      <c r="C174" s="617">
        <f t="shared" si="20"/>
        <v>1.5455000000000001</v>
      </c>
      <c r="D174" s="617">
        <f t="shared" si="20"/>
        <v>1.5698999999999999</v>
      </c>
      <c r="E174" s="618">
        <f t="shared" si="21"/>
        <v>2.4399999999999755E-2</v>
      </c>
    </row>
    <row r="175" spans="1:5" s="421" customFormat="1" x14ac:dyDescent="0.2">
      <c r="A175" s="588">
        <v>3</v>
      </c>
      <c r="B175" s="587" t="s">
        <v>777</v>
      </c>
      <c r="C175" s="617">
        <f t="shared" si="20"/>
        <v>0.95679999999999998</v>
      </c>
      <c r="D175" s="617">
        <f t="shared" si="20"/>
        <v>0.96430000000000005</v>
      </c>
      <c r="E175" s="618">
        <f t="shared" si="21"/>
        <v>7.5000000000000622E-3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0.95679999999999998</v>
      </c>
      <c r="D176" s="617">
        <f t="shared" si="20"/>
        <v>0.96430000000000005</v>
      </c>
      <c r="E176" s="618">
        <f t="shared" si="21"/>
        <v>7.5000000000000622E-3</v>
      </c>
    </row>
    <row r="177" spans="1:5" s="421" customFormat="1" x14ac:dyDescent="0.2">
      <c r="A177" s="588">
        <v>5</v>
      </c>
      <c r="B177" s="587" t="s">
        <v>743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0.90820000000000001</v>
      </c>
      <c r="D178" s="617">
        <f t="shared" si="20"/>
        <v>0.81669999999999998</v>
      </c>
      <c r="E178" s="618">
        <f t="shared" si="21"/>
        <v>-9.1500000000000026E-2</v>
      </c>
    </row>
    <row r="179" spans="1:5" s="421" customFormat="1" x14ac:dyDescent="0.2">
      <c r="A179" s="588">
        <v>7</v>
      </c>
      <c r="B179" s="587" t="s">
        <v>758</v>
      </c>
      <c r="C179" s="617">
        <f t="shared" si="20"/>
        <v>1.0808</v>
      </c>
      <c r="D179" s="617">
        <f t="shared" si="20"/>
        <v>1.1904999999999999</v>
      </c>
      <c r="E179" s="618">
        <f t="shared" si="21"/>
        <v>0.10969999999999991</v>
      </c>
    </row>
    <row r="180" spans="1:5" s="421" customFormat="1" x14ac:dyDescent="0.2">
      <c r="A180" s="588"/>
      <c r="B180" s="592" t="s">
        <v>812</v>
      </c>
      <c r="C180" s="619">
        <f t="shared" si="20"/>
        <v>1.3335973651892374</v>
      </c>
      <c r="D180" s="619">
        <f t="shared" si="20"/>
        <v>1.3389022897196261</v>
      </c>
      <c r="E180" s="620">
        <f t="shared" si="21"/>
        <v>5.3049245303886661E-3</v>
      </c>
    </row>
    <row r="181" spans="1:5" s="421" customFormat="1" x14ac:dyDescent="0.2">
      <c r="A181" s="588"/>
      <c r="B181" s="592" t="s">
        <v>723</v>
      </c>
      <c r="C181" s="619">
        <f t="shared" si="20"/>
        <v>1.314557028469751</v>
      </c>
      <c r="D181" s="619">
        <f t="shared" si="20"/>
        <v>1.3168717903266651</v>
      </c>
      <c r="E181" s="620">
        <f t="shared" si="21"/>
        <v>2.3147618569141493E-3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813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814</v>
      </c>
      <c r="C185" s="589">
        <v>295332674</v>
      </c>
      <c r="D185" s="589">
        <v>275878525</v>
      </c>
      <c r="E185" s="590">
        <f>D185-C185</f>
        <v>-19454149</v>
      </c>
    </row>
    <row r="186" spans="1:5" s="421" customFormat="1" ht="25.5" x14ac:dyDescent="0.2">
      <c r="A186" s="588">
        <v>2</v>
      </c>
      <c r="B186" s="587" t="s">
        <v>815</v>
      </c>
      <c r="C186" s="589">
        <v>91743593</v>
      </c>
      <c r="D186" s="589">
        <v>99992463</v>
      </c>
      <c r="E186" s="590">
        <f>D186-C186</f>
        <v>8248870</v>
      </c>
    </row>
    <row r="187" spans="1:5" s="421" customFormat="1" x14ac:dyDescent="0.2">
      <c r="A187" s="588"/>
      <c r="B187" s="587" t="s">
        <v>668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747</v>
      </c>
      <c r="C188" s="622">
        <f>+C185-C186</f>
        <v>203589081</v>
      </c>
      <c r="D188" s="622">
        <f>+D185-D186</f>
        <v>175886062</v>
      </c>
      <c r="E188" s="590">
        <f t="shared" ref="E188:E197" si="22">D188-C188</f>
        <v>-27703019</v>
      </c>
    </row>
    <row r="189" spans="1:5" s="421" customFormat="1" x14ac:dyDescent="0.2">
      <c r="A189" s="588">
        <v>4</v>
      </c>
      <c r="B189" s="587" t="s">
        <v>670</v>
      </c>
      <c r="C189" s="623">
        <f>IF(C185=0,0,+C188/C185)</f>
        <v>0.68935508639318388</v>
      </c>
      <c r="D189" s="623">
        <f>IF(D185=0,0,+D188/D185)</f>
        <v>0.63754894296321185</v>
      </c>
      <c r="E189" s="599">
        <f t="shared" si="22"/>
        <v>-5.1806143429972029E-2</v>
      </c>
    </row>
    <row r="190" spans="1:5" s="421" customFormat="1" x14ac:dyDescent="0.2">
      <c r="A190" s="588">
        <v>5</v>
      </c>
      <c r="B190" s="587" t="s">
        <v>762</v>
      </c>
      <c r="C190" s="589">
        <v>7235166</v>
      </c>
      <c r="D190" s="589">
        <v>10378562</v>
      </c>
      <c r="E190" s="622">
        <f t="shared" si="22"/>
        <v>3143396</v>
      </c>
    </row>
    <row r="191" spans="1:5" s="421" customFormat="1" x14ac:dyDescent="0.2">
      <c r="A191" s="588">
        <v>6</v>
      </c>
      <c r="B191" s="587" t="s">
        <v>748</v>
      </c>
      <c r="C191" s="589">
        <v>5467269</v>
      </c>
      <c r="D191" s="589">
        <v>7460110</v>
      </c>
      <c r="E191" s="622">
        <f t="shared" si="22"/>
        <v>1992841</v>
      </c>
    </row>
    <row r="192" spans="1:5" ht="29.25" x14ac:dyDescent="0.2">
      <c r="A192" s="588">
        <v>7</v>
      </c>
      <c r="B192" s="624" t="s">
        <v>816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817</v>
      </c>
      <c r="C193" s="589">
        <v>1389352</v>
      </c>
      <c r="D193" s="589">
        <v>1472594</v>
      </c>
      <c r="E193" s="622">
        <f t="shared" si="22"/>
        <v>83242</v>
      </c>
    </row>
    <row r="194" spans="1:5" s="421" customFormat="1" x14ac:dyDescent="0.2">
      <c r="A194" s="588">
        <v>9</v>
      </c>
      <c r="B194" s="587" t="s">
        <v>818</v>
      </c>
      <c r="C194" s="589">
        <v>10435502</v>
      </c>
      <c r="D194" s="589">
        <v>10783760</v>
      </c>
      <c r="E194" s="622">
        <f t="shared" si="22"/>
        <v>348258</v>
      </c>
    </row>
    <row r="195" spans="1:5" s="421" customFormat="1" x14ac:dyDescent="0.2">
      <c r="A195" s="588">
        <v>10</v>
      </c>
      <c r="B195" s="587" t="s">
        <v>819</v>
      </c>
      <c r="C195" s="589">
        <f>+C193+C194</f>
        <v>11824854</v>
      </c>
      <c r="D195" s="589">
        <f>+D193+D194</f>
        <v>12256354</v>
      </c>
      <c r="E195" s="625">
        <f t="shared" si="22"/>
        <v>431500</v>
      </c>
    </row>
    <row r="196" spans="1:5" s="421" customFormat="1" x14ac:dyDescent="0.2">
      <c r="A196" s="588">
        <v>11</v>
      </c>
      <c r="B196" s="587" t="s">
        <v>820</v>
      </c>
      <c r="C196" s="589">
        <v>10662189</v>
      </c>
      <c r="D196" s="589">
        <v>9034648</v>
      </c>
      <c r="E196" s="622">
        <f t="shared" si="22"/>
        <v>-1627541</v>
      </c>
    </row>
    <row r="197" spans="1:5" s="421" customFormat="1" x14ac:dyDescent="0.2">
      <c r="A197" s="588">
        <v>12</v>
      </c>
      <c r="B197" s="587" t="s">
        <v>710</v>
      </c>
      <c r="C197" s="589">
        <v>231658975</v>
      </c>
      <c r="D197" s="589">
        <v>213170829</v>
      </c>
      <c r="E197" s="622">
        <f t="shared" si="22"/>
        <v>-18488146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821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822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656</v>
      </c>
      <c r="C203" s="629">
        <v>4308.1514999999999</v>
      </c>
      <c r="D203" s="629">
        <v>4139.9764999999998</v>
      </c>
      <c r="E203" s="630">
        <f t="shared" ref="E203:E211" si="23">D203-C203</f>
        <v>-168.17500000000018</v>
      </c>
    </row>
    <row r="204" spans="1:5" s="421" customFormat="1" x14ac:dyDescent="0.2">
      <c r="A204" s="588">
        <v>2</v>
      </c>
      <c r="B204" s="587" t="s">
        <v>635</v>
      </c>
      <c r="C204" s="629">
        <v>8861.8970000000008</v>
      </c>
      <c r="D204" s="629">
        <v>8322.0398999999998</v>
      </c>
      <c r="E204" s="630">
        <f t="shared" si="23"/>
        <v>-539.85710000000108</v>
      </c>
    </row>
    <row r="205" spans="1:5" s="421" customFormat="1" x14ac:dyDescent="0.2">
      <c r="A205" s="588">
        <v>3</v>
      </c>
      <c r="B205" s="587" t="s">
        <v>777</v>
      </c>
      <c r="C205" s="629">
        <f>C206+C207</f>
        <v>3071.328</v>
      </c>
      <c r="D205" s="629">
        <f>D206+D207</f>
        <v>3118.5462000000002</v>
      </c>
      <c r="E205" s="630">
        <f t="shared" si="23"/>
        <v>47.218200000000252</v>
      </c>
    </row>
    <row r="206" spans="1:5" s="421" customFormat="1" x14ac:dyDescent="0.2">
      <c r="A206" s="588">
        <v>4</v>
      </c>
      <c r="B206" s="587" t="s">
        <v>115</v>
      </c>
      <c r="C206" s="629">
        <v>3071.328</v>
      </c>
      <c r="D206" s="629">
        <v>3118.5462000000002</v>
      </c>
      <c r="E206" s="630">
        <f t="shared" si="23"/>
        <v>47.218200000000252</v>
      </c>
    </row>
    <row r="207" spans="1:5" s="421" customFormat="1" x14ac:dyDescent="0.2">
      <c r="A207" s="588">
        <v>5</v>
      </c>
      <c r="B207" s="587" t="s">
        <v>743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11.8066</v>
      </c>
      <c r="D208" s="629">
        <v>20.4175</v>
      </c>
      <c r="E208" s="630">
        <f t="shared" si="23"/>
        <v>8.6109000000000009</v>
      </c>
    </row>
    <row r="209" spans="1:5" s="421" customFormat="1" x14ac:dyDescent="0.2">
      <c r="A209" s="588">
        <v>7</v>
      </c>
      <c r="B209" s="587" t="s">
        <v>758</v>
      </c>
      <c r="C209" s="629">
        <v>125.3728</v>
      </c>
      <c r="D209" s="629">
        <v>171.43199999999999</v>
      </c>
      <c r="E209" s="630">
        <f t="shared" si="23"/>
        <v>46.05919999999999</v>
      </c>
    </row>
    <row r="210" spans="1:5" s="421" customFormat="1" x14ac:dyDescent="0.2">
      <c r="A210" s="588"/>
      <c r="B210" s="592" t="s">
        <v>823</v>
      </c>
      <c r="C210" s="631">
        <f>C204+C205+C208</f>
        <v>11945.0316</v>
      </c>
      <c r="D210" s="631">
        <f>D204+D205+D208</f>
        <v>11461.0036</v>
      </c>
      <c r="E210" s="632">
        <f t="shared" si="23"/>
        <v>-484.02800000000025</v>
      </c>
    </row>
    <row r="211" spans="1:5" s="421" customFormat="1" x14ac:dyDescent="0.2">
      <c r="A211" s="588"/>
      <c r="B211" s="592" t="s">
        <v>724</v>
      </c>
      <c r="C211" s="631">
        <f>C210+C203</f>
        <v>16253.1831</v>
      </c>
      <c r="D211" s="631">
        <f>D210+D203</f>
        <v>15600.980100000001</v>
      </c>
      <c r="E211" s="632">
        <f t="shared" si="23"/>
        <v>-652.20299999999952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824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656</v>
      </c>
      <c r="C215" s="633">
        <f>IF(C14*C137=0,0,C25/C14*C137)</f>
        <v>4122.0910581315284</v>
      </c>
      <c r="D215" s="633">
        <f>IF(D14*D137=0,0,D25/D14*D137)</f>
        <v>4360.8519794984286</v>
      </c>
      <c r="E215" s="633">
        <f t="shared" ref="E215:E223" si="24">D215-C215</f>
        <v>238.76092136690022</v>
      </c>
    </row>
    <row r="216" spans="1:5" s="421" customFormat="1" x14ac:dyDescent="0.2">
      <c r="A216" s="588">
        <v>2</v>
      </c>
      <c r="B216" s="587" t="s">
        <v>635</v>
      </c>
      <c r="C216" s="633">
        <f>IF(C15*C138=0,0,C26/C15*C138)</f>
        <v>2486.1056297417713</v>
      </c>
      <c r="D216" s="633">
        <f>IF(D15*D138=0,0,D26/D15*D138)</f>
        <v>2829.8521193538445</v>
      </c>
      <c r="E216" s="633">
        <f t="shared" si="24"/>
        <v>343.74648961207322</v>
      </c>
    </row>
    <row r="217" spans="1:5" s="421" customFormat="1" x14ac:dyDescent="0.2">
      <c r="A217" s="588">
        <v>3</v>
      </c>
      <c r="B217" s="587" t="s">
        <v>777</v>
      </c>
      <c r="C217" s="633">
        <f>C218+C219</f>
        <v>2617.8800353309398</v>
      </c>
      <c r="D217" s="633">
        <f>D218+D219</f>
        <v>2683.3938342352089</v>
      </c>
      <c r="E217" s="633">
        <f t="shared" si="24"/>
        <v>65.513798904269152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2617.8800353309398</v>
      </c>
      <c r="D218" s="633">
        <f t="shared" si="25"/>
        <v>2683.3938342352089</v>
      </c>
      <c r="E218" s="633">
        <f t="shared" si="24"/>
        <v>65.513798904269152</v>
      </c>
    </row>
    <row r="219" spans="1:5" s="421" customFormat="1" x14ac:dyDescent="0.2">
      <c r="A219" s="588">
        <v>5</v>
      </c>
      <c r="B219" s="587" t="s">
        <v>743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24.925111269140899</v>
      </c>
      <c r="D220" s="633">
        <f t="shared" si="25"/>
        <v>30.142896726437872</v>
      </c>
      <c r="E220" s="633">
        <f t="shared" si="24"/>
        <v>5.2177854572969729</v>
      </c>
    </row>
    <row r="221" spans="1:5" s="421" customFormat="1" x14ac:dyDescent="0.2">
      <c r="A221" s="588">
        <v>7</v>
      </c>
      <c r="B221" s="587" t="s">
        <v>758</v>
      </c>
      <c r="C221" s="633">
        <f t="shared" si="25"/>
        <v>233.64897270795751</v>
      </c>
      <c r="D221" s="633">
        <f t="shared" si="25"/>
        <v>247.26729691005372</v>
      </c>
      <c r="E221" s="633">
        <f t="shared" si="24"/>
        <v>13.618324202096204</v>
      </c>
    </row>
    <row r="222" spans="1:5" s="421" customFormat="1" x14ac:dyDescent="0.2">
      <c r="A222" s="588"/>
      <c r="B222" s="592" t="s">
        <v>825</v>
      </c>
      <c r="C222" s="634">
        <f>C216+C218+C219+C220</f>
        <v>5128.9107763418515</v>
      </c>
      <c r="D222" s="634">
        <f>D216+D218+D219+D220</f>
        <v>5543.3888503154922</v>
      </c>
      <c r="E222" s="634">
        <f t="shared" si="24"/>
        <v>414.47807397364068</v>
      </c>
    </row>
    <row r="223" spans="1:5" s="421" customFormat="1" x14ac:dyDescent="0.2">
      <c r="A223" s="588"/>
      <c r="B223" s="592" t="s">
        <v>826</v>
      </c>
      <c r="C223" s="634">
        <f>C215+C222</f>
        <v>9251.0018344733799</v>
      </c>
      <c r="D223" s="634">
        <f>D215+D222</f>
        <v>9904.2408298139198</v>
      </c>
      <c r="E223" s="634">
        <f t="shared" si="24"/>
        <v>653.23899534053999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827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656</v>
      </c>
      <c r="C227" s="636">
        <f t="shared" ref="C227:D235" si="26">IF(C203=0,0,C47/C203)</f>
        <v>11246.554815911186</v>
      </c>
      <c r="D227" s="636">
        <f t="shared" si="26"/>
        <v>11479.804293575096</v>
      </c>
      <c r="E227" s="636">
        <f t="shared" ref="E227:E235" si="27">D227-C227</f>
        <v>233.24947766391051</v>
      </c>
    </row>
    <row r="228" spans="1:5" s="421" customFormat="1" x14ac:dyDescent="0.2">
      <c r="A228" s="588">
        <v>2</v>
      </c>
      <c r="B228" s="587" t="s">
        <v>635</v>
      </c>
      <c r="C228" s="636">
        <f t="shared" si="26"/>
        <v>8690.478912133598</v>
      </c>
      <c r="D228" s="636">
        <f t="shared" si="26"/>
        <v>7036.1073370965214</v>
      </c>
      <c r="E228" s="636">
        <f t="shared" si="27"/>
        <v>-1654.3715750370766</v>
      </c>
    </row>
    <row r="229" spans="1:5" s="421" customFormat="1" x14ac:dyDescent="0.2">
      <c r="A229" s="588">
        <v>3</v>
      </c>
      <c r="B229" s="587" t="s">
        <v>777</v>
      </c>
      <c r="C229" s="636">
        <f t="shared" si="26"/>
        <v>4355.1245584971712</v>
      </c>
      <c r="D229" s="636">
        <f t="shared" si="26"/>
        <v>6565.8754710768753</v>
      </c>
      <c r="E229" s="636">
        <f t="shared" si="27"/>
        <v>2210.7509125797042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4355.1245584971712</v>
      </c>
      <c r="D230" s="636">
        <f t="shared" si="26"/>
        <v>6565.8754710768753</v>
      </c>
      <c r="E230" s="636">
        <f t="shared" si="27"/>
        <v>2210.7509125797042</v>
      </c>
    </row>
    <row r="231" spans="1:5" s="421" customFormat="1" x14ac:dyDescent="0.2">
      <c r="A231" s="588">
        <v>5</v>
      </c>
      <c r="B231" s="587" t="s">
        <v>743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6135.1278098690564</v>
      </c>
      <c r="D232" s="636">
        <f t="shared" si="26"/>
        <v>5750.4591649320437</v>
      </c>
      <c r="E232" s="636">
        <f t="shared" si="27"/>
        <v>-384.66864493701269</v>
      </c>
    </row>
    <row r="233" spans="1:5" s="421" customFormat="1" x14ac:dyDescent="0.2">
      <c r="A233" s="588">
        <v>7</v>
      </c>
      <c r="B233" s="587" t="s">
        <v>758</v>
      </c>
      <c r="C233" s="636">
        <f t="shared" si="26"/>
        <v>860.40193726230893</v>
      </c>
      <c r="D233" s="636">
        <f t="shared" si="26"/>
        <v>4335.4391245508423</v>
      </c>
      <c r="E233" s="636">
        <f t="shared" si="27"/>
        <v>3475.0371872885335</v>
      </c>
    </row>
    <row r="234" spans="1:5" x14ac:dyDescent="0.2">
      <c r="A234" s="588"/>
      <c r="B234" s="592" t="s">
        <v>828</v>
      </c>
      <c r="C234" s="637">
        <f t="shared" si="26"/>
        <v>7573.2390695391714</v>
      </c>
      <c r="D234" s="637">
        <f t="shared" si="26"/>
        <v>6905.8666031655375</v>
      </c>
      <c r="E234" s="637">
        <f t="shared" si="27"/>
        <v>-667.37246637363387</v>
      </c>
    </row>
    <row r="235" spans="1:5" s="421" customFormat="1" x14ac:dyDescent="0.2">
      <c r="A235" s="588"/>
      <c r="B235" s="592" t="s">
        <v>829</v>
      </c>
      <c r="C235" s="637">
        <f t="shared" si="26"/>
        <v>8546.9068517415526</v>
      </c>
      <c r="D235" s="637">
        <f t="shared" si="26"/>
        <v>8119.6361502954542</v>
      </c>
      <c r="E235" s="637">
        <f t="shared" si="27"/>
        <v>-427.27070144609843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830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656</v>
      </c>
      <c r="C239" s="636">
        <f t="shared" ref="C239:D247" si="28">IF(C215=0,0,C58/C215)</f>
        <v>10502.371342476696</v>
      </c>
      <c r="D239" s="636">
        <f t="shared" si="28"/>
        <v>9889.9119261003889</v>
      </c>
      <c r="E239" s="638">
        <f t="shared" ref="E239:E247" si="29">D239-C239</f>
        <v>-612.45941637630676</v>
      </c>
    </row>
    <row r="240" spans="1:5" s="421" customFormat="1" x14ac:dyDescent="0.2">
      <c r="A240" s="588">
        <v>2</v>
      </c>
      <c r="B240" s="587" t="s">
        <v>635</v>
      </c>
      <c r="C240" s="636">
        <f t="shared" si="28"/>
        <v>10002.072600021755</v>
      </c>
      <c r="D240" s="636">
        <f t="shared" si="28"/>
        <v>7761.9907590844196</v>
      </c>
      <c r="E240" s="638">
        <f t="shared" si="29"/>
        <v>-2240.0818409373351</v>
      </c>
    </row>
    <row r="241" spans="1:5" x14ac:dyDescent="0.2">
      <c r="A241" s="588">
        <v>3</v>
      </c>
      <c r="B241" s="587" t="s">
        <v>777</v>
      </c>
      <c r="C241" s="636">
        <f t="shared" si="28"/>
        <v>4531.50940451721</v>
      </c>
      <c r="D241" s="636">
        <f t="shared" si="28"/>
        <v>5630.7120509972847</v>
      </c>
      <c r="E241" s="638">
        <f t="shared" si="29"/>
        <v>1099.2026464800747</v>
      </c>
    </row>
    <row r="242" spans="1:5" x14ac:dyDescent="0.2">
      <c r="A242" s="588">
        <v>4</v>
      </c>
      <c r="B242" s="587" t="s">
        <v>115</v>
      </c>
      <c r="C242" s="636">
        <f t="shared" si="28"/>
        <v>4531.50940451721</v>
      </c>
      <c r="D242" s="636">
        <f t="shared" si="28"/>
        <v>5630.7120509972847</v>
      </c>
      <c r="E242" s="638">
        <f t="shared" si="29"/>
        <v>1099.2026464800747</v>
      </c>
    </row>
    <row r="243" spans="1:5" x14ac:dyDescent="0.2">
      <c r="A243" s="588">
        <v>5</v>
      </c>
      <c r="B243" s="587" t="s">
        <v>743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5230.0669229667656</v>
      </c>
      <c r="D244" s="636">
        <f t="shared" si="28"/>
        <v>4840.3775298752462</v>
      </c>
      <c r="E244" s="638">
        <f t="shared" si="29"/>
        <v>-389.68939309151938</v>
      </c>
    </row>
    <row r="245" spans="1:5" x14ac:dyDescent="0.2">
      <c r="A245" s="588">
        <v>7</v>
      </c>
      <c r="B245" s="587" t="s">
        <v>758</v>
      </c>
      <c r="C245" s="636">
        <f t="shared" si="28"/>
        <v>2123.7371354515712</v>
      </c>
      <c r="D245" s="636">
        <f t="shared" si="28"/>
        <v>6505.1748456049017</v>
      </c>
      <c r="E245" s="638">
        <f t="shared" si="29"/>
        <v>4381.43771015333</v>
      </c>
    </row>
    <row r="246" spans="1:5" ht="25.5" x14ac:dyDescent="0.2">
      <c r="A246" s="588"/>
      <c r="B246" s="592" t="s">
        <v>831</v>
      </c>
      <c r="C246" s="637">
        <f t="shared" si="28"/>
        <v>7186.6169265455055</v>
      </c>
      <c r="D246" s="637">
        <f t="shared" si="28"/>
        <v>6714.4138730014683</v>
      </c>
      <c r="E246" s="639">
        <f t="shared" si="29"/>
        <v>-472.20305354403718</v>
      </c>
    </row>
    <row r="247" spans="1:5" x14ac:dyDescent="0.2">
      <c r="A247" s="588"/>
      <c r="B247" s="592" t="s">
        <v>832</v>
      </c>
      <c r="C247" s="637">
        <f t="shared" si="28"/>
        <v>8664.061410227001</v>
      </c>
      <c r="D247" s="637">
        <f t="shared" si="28"/>
        <v>8112.5903924036138</v>
      </c>
      <c r="E247" s="639">
        <f t="shared" si="29"/>
        <v>-551.47101782338723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760</v>
      </c>
      <c r="B249" s="626" t="s">
        <v>757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14321278.171527576</v>
      </c>
      <c r="D251" s="622">
        <f>((IF((IF(D15=0,0,D26/D15)*D138)=0,0,D59/(IF(D15=0,0,D26/D15)*D138)))-(IF((IF(D17=0,0,D28/D17)*D140)=0,0,D61/(IF(D17=0,0,D28/D17)*D140))))*(IF(D17=0,0,D28/D17)*D140)</f>
        <v>5719060.1443177992</v>
      </c>
      <c r="E251" s="622">
        <f>D251-C251</f>
        <v>-8602218.0272097774</v>
      </c>
    </row>
    <row r="252" spans="1:5" x14ac:dyDescent="0.2">
      <c r="A252" s="588">
        <v>2</v>
      </c>
      <c r="B252" s="587" t="s">
        <v>743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758</v>
      </c>
      <c r="C253" s="622">
        <f>IF(C233=0,0,(C228-C233)*C209+IF(C221=0,0,(C240-C245)*C221))</f>
        <v>2822443.6625006357</v>
      </c>
      <c r="D253" s="622">
        <f>IF(D233=0,0,(D228-D233)*D209+IF(D221=0,0,(D240-D245)*D221))</f>
        <v>773750.42665275116</v>
      </c>
      <c r="E253" s="622">
        <f>D253-C253</f>
        <v>-2048693.2358478846</v>
      </c>
    </row>
    <row r="254" spans="1:5" ht="15" customHeight="1" x14ac:dyDescent="0.2">
      <c r="A254" s="588"/>
      <c r="B254" s="592" t="s">
        <v>759</v>
      </c>
      <c r="C254" s="640">
        <f>+C251+C252+C253</f>
        <v>17143721.83402821</v>
      </c>
      <c r="D254" s="640">
        <f>+D251+D252+D253</f>
        <v>6492810.5709705502</v>
      </c>
      <c r="E254" s="640">
        <f>D254-C254</f>
        <v>-10650911.26305766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833</v>
      </c>
      <c r="B256" s="626" t="s">
        <v>834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725</v>
      </c>
      <c r="C258" s="622">
        <f>+C44</f>
        <v>883168747</v>
      </c>
      <c r="D258" s="625">
        <f>+D44</f>
        <v>857736451</v>
      </c>
      <c r="E258" s="622">
        <f t="shared" ref="E258:E271" si="30">D258-C258</f>
        <v>-25432296</v>
      </c>
    </row>
    <row r="259" spans="1:5" x14ac:dyDescent="0.2">
      <c r="A259" s="588">
        <v>2</v>
      </c>
      <c r="B259" s="587" t="s">
        <v>742</v>
      </c>
      <c r="C259" s="622">
        <f>+(C43-C76)</f>
        <v>460513976</v>
      </c>
      <c r="D259" s="625">
        <f>+(D43-D76)</f>
        <v>455110595</v>
      </c>
      <c r="E259" s="622">
        <f t="shared" si="30"/>
        <v>-5403381</v>
      </c>
    </row>
    <row r="260" spans="1:5" x14ac:dyDescent="0.2">
      <c r="A260" s="588">
        <v>3</v>
      </c>
      <c r="B260" s="587" t="s">
        <v>746</v>
      </c>
      <c r="C260" s="622">
        <f>C195</f>
        <v>11824854</v>
      </c>
      <c r="D260" s="622">
        <f>D195</f>
        <v>12256354</v>
      </c>
      <c r="E260" s="622">
        <f t="shared" si="30"/>
        <v>431500</v>
      </c>
    </row>
    <row r="261" spans="1:5" x14ac:dyDescent="0.2">
      <c r="A261" s="588">
        <v>4</v>
      </c>
      <c r="B261" s="587" t="s">
        <v>747</v>
      </c>
      <c r="C261" s="622">
        <f>C188</f>
        <v>203589081</v>
      </c>
      <c r="D261" s="622">
        <f>D188</f>
        <v>175886062</v>
      </c>
      <c r="E261" s="622">
        <f t="shared" si="30"/>
        <v>-27703019</v>
      </c>
    </row>
    <row r="262" spans="1:5" x14ac:dyDescent="0.2">
      <c r="A262" s="588">
        <v>5</v>
      </c>
      <c r="B262" s="587" t="s">
        <v>748</v>
      </c>
      <c r="C262" s="622">
        <f>C191</f>
        <v>5467269</v>
      </c>
      <c r="D262" s="622">
        <f>D191</f>
        <v>7460110</v>
      </c>
      <c r="E262" s="622">
        <f t="shared" si="30"/>
        <v>1992841</v>
      </c>
    </row>
    <row r="263" spans="1:5" x14ac:dyDescent="0.2">
      <c r="A263" s="588">
        <v>6</v>
      </c>
      <c r="B263" s="587" t="s">
        <v>749</v>
      </c>
      <c r="C263" s="622">
        <f>+C259+C260+C261+C262</f>
        <v>681395180</v>
      </c>
      <c r="D263" s="622">
        <f>+D259+D260+D261+D262</f>
        <v>650713121</v>
      </c>
      <c r="E263" s="622">
        <f t="shared" si="30"/>
        <v>-30682059</v>
      </c>
    </row>
    <row r="264" spans="1:5" x14ac:dyDescent="0.2">
      <c r="A264" s="588">
        <v>7</v>
      </c>
      <c r="B264" s="587" t="s">
        <v>654</v>
      </c>
      <c r="C264" s="622">
        <f>+C258-C263</f>
        <v>201773567</v>
      </c>
      <c r="D264" s="622">
        <f>+D258-D263</f>
        <v>207023330</v>
      </c>
      <c r="E264" s="622">
        <f t="shared" si="30"/>
        <v>5249763</v>
      </c>
    </row>
    <row r="265" spans="1:5" x14ac:dyDescent="0.2">
      <c r="A265" s="588">
        <v>8</v>
      </c>
      <c r="B265" s="587" t="s">
        <v>835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836</v>
      </c>
      <c r="C266" s="622">
        <f>+C264+C265</f>
        <v>201773567</v>
      </c>
      <c r="D266" s="622">
        <f>+D264+D265</f>
        <v>207023330</v>
      </c>
      <c r="E266" s="641">
        <f t="shared" si="30"/>
        <v>5249763</v>
      </c>
    </row>
    <row r="267" spans="1:5" x14ac:dyDescent="0.2">
      <c r="A267" s="588">
        <v>10</v>
      </c>
      <c r="B267" s="587" t="s">
        <v>837</v>
      </c>
      <c r="C267" s="642">
        <f>IF(C258=0,0,C266/C258)</f>
        <v>0.22846547467332423</v>
      </c>
      <c r="D267" s="642">
        <f>IF(D258=0,0,D266/D258)</f>
        <v>0.2413600701691527</v>
      </c>
      <c r="E267" s="643">
        <f t="shared" si="30"/>
        <v>1.289459549582847E-2</v>
      </c>
    </row>
    <row r="268" spans="1:5" x14ac:dyDescent="0.2">
      <c r="A268" s="588">
        <v>11</v>
      </c>
      <c r="B268" s="587" t="s">
        <v>716</v>
      </c>
      <c r="C268" s="622">
        <f>+C260*C267</f>
        <v>2701570.8820527568</v>
      </c>
      <c r="D268" s="644">
        <f>+D260*D267</f>
        <v>2958194.4614579752</v>
      </c>
      <c r="E268" s="622">
        <f t="shared" si="30"/>
        <v>256623.57940521836</v>
      </c>
    </row>
    <row r="269" spans="1:5" x14ac:dyDescent="0.2">
      <c r="A269" s="588">
        <v>12</v>
      </c>
      <c r="B269" s="587" t="s">
        <v>838</v>
      </c>
      <c r="C269" s="622">
        <f>((C17+C18+C28+C29)*C267)-(C50+C51+C61+C62)</f>
        <v>14062588.811495543</v>
      </c>
      <c r="D269" s="644">
        <f>((D17+D18+D28+D29)*D267)-(D50+D51+D61+D62)</f>
        <v>5680114.7335945591</v>
      </c>
      <c r="E269" s="622">
        <f t="shared" si="30"/>
        <v>-8382474.0779009834</v>
      </c>
    </row>
    <row r="270" spans="1:5" s="648" customFormat="1" x14ac:dyDescent="0.2">
      <c r="A270" s="645">
        <v>13</v>
      </c>
      <c r="B270" s="646" t="s">
        <v>839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840</v>
      </c>
      <c r="C271" s="622">
        <f>+C268+C269+C270</f>
        <v>16764159.693548299</v>
      </c>
      <c r="D271" s="622">
        <f>+D268+D269+D270</f>
        <v>8638309.1950525343</v>
      </c>
      <c r="E271" s="625">
        <f t="shared" si="30"/>
        <v>-8125850.498495765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841</v>
      </c>
      <c r="B273" s="626" t="s">
        <v>842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843</v>
      </c>
      <c r="C275" s="425"/>
      <c r="D275" s="425"/>
      <c r="E275" s="596"/>
    </row>
    <row r="276" spans="1:5" x14ac:dyDescent="0.2">
      <c r="A276" s="588">
        <v>1</v>
      </c>
      <c r="B276" s="587" t="s">
        <v>656</v>
      </c>
      <c r="C276" s="623">
        <f t="shared" ref="C276:D284" si="31">IF(C14=0,0,+C47/C14)</f>
        <v>0.36255123598656763</v>
      </c>
      <c r="D276" s="623">
        <f t="shared" si="31"/>
        <v>0.38629214970843451</v>
      </c>
      <c r="E276" s="650">
        <f t="shared" ref="E276:E284" si="32">D276-C276</f>
        <v>2.3740913721866874E-2</v>
      </c>
    </row>
    <row r="277" spans="1:5" x14ac:dyDescent="0.2">
      <c r="A277" s="588">
        <v>2</v>
      </c>
      <c r="B277" s="587" t="s">
        <v>635</v>
      </c>
      <c r="C277" s="623">
        <f t="shared" si="31"/>
        <v>0.26619764817015035</v>
      </c>
      <c r="D277" s="623">
        <f t="shared" si="31"/>
        <v>0.22503076704192709</v>
      </c>
      <c r="E277" s="650">
        <f t="shared" si="32"/>
        <v>-4.1166881128223254E-2</v>
      </c>
    </row>
    <row r="278" spans="1:5" x14ac:dyDescent="0.2">
      <c r="A278" s="588">
        <v>3</v>
      </c>
      <c r="B278" s="587" t="s">
        <v>777</v>
      </c>
      <c r="C278" s="623">
        <f t="shared" si="31"/>
        <v>0.14117026186556214</v>
      </c>
      <c r="D278" s="623">
        <f t="shared" si="31"/>
        <v>0.2191358323953487</v>
      </c>
      <c r="E278" s="650">
        <f t="shared" si="32"/>
        <v>7.796557052978656E-2</v>
      </c>
    </row>
    <row r="279" spans="1:5" x14ac:dyDescent="0.2">
      <c r="A279" s="588">
        <v>4</v>
      </c>
      <c r="B279" s="587" t="s">
        <v>115</v>
      </c>
      <c r="C279" s="623">
        <f t="shared" si="31"/>
        <v>0.14117026186556214</v>
      </c>
      <c r="D279" s="623">
        <f t="shared" si="31"/>
        <v>0.2191358323953487</v>
      </c>
      <c r="E279" s="650">
        <f t="shared" si="32"/>
        <v>7.796557052978656E-2</v>
      </c>
    </row>
    <row r="280" spans="1:5" x14ac:dyDescent="0.2">
      <c r="A280" s="588">
        <v>5</v>
      </c>
      <c r="B280" s="587" t="s">
        <v>743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0.1988841510459711</v>
      </c>
      <c r="D281" s="623">
        <f t="shared" si="31"/>
        <v>0.18590032854372007</v>
      </c>
      <c r="E281" s="650">
        <f t="shared" si="32"/>
        <v>-1.2983822502251025E-2</v>
      </c>
    </row>
    <row r="282" spans="1:5" x14ac:dyDescent="0.2">
      <c r="A282" s="588">
        <v>7</v>
      </c>
      <c r="B282" s="587" t="s">
        <v>758</v>
      </c>
      <c r="C282" s="623">
        <f t="shared" si="31"/>
        <v>2.6944591123928982E-2</v>
      </c>
      <c r="D282" s="623">
        <f t="shared" si="31"/>
        <v>0.14250035997382496</v>
      </c>
      <c r="E282" s="650">
        <f t="shared" si="32"/>
        <v>0.11555576884989598</v>
      </c>
    </row>
    <row r="283" spans="1:5" ht="29.25" customHeight="1" x14ac:dyDescent="0.2">
      <c r="A283" s="588"/>
      <c r="B283" s="592" t="s">
        <v>844</v>
      </c>
      <c r="C283" s="651">
        <f t="shared" si="31"/>
        <v>0.23531797592200765</v>
      </c>
      <c r="D283" s="651">
        <f t="shared" si="31"/>
        <v>0.22340624353405261</v>
      </c>
      <c r="E283" s="652">
        <f t="shared" si="32"/>
        <v>-1.1911732387955037E-2</v>
      </c>
    </row>
    <row r="284" spans="1:5" x14ac:dyDescent="0.2">
      <c r="A284" s="588"/>
      <c r="B284" s="592" t="s">
        <v>845</v>
      </c>
      <c r="C284" s="651">
        <f t="shared" si="31"/>
        <v>0.26813918907098766</v>
      </c>
      <c r="D284" s="651">
        <f t="shared" si="31"/>
        <v>0.26539169907171628</v>
      </c>
      <c r="E284" s="652">
        <f t="shared" si="32"/>
        <v>-2.7474899992713797E-3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846</v>
      </c>
      <c r="C286" s="596"/>
      <c r="D286" s="596"/>
      <c r="E286" s="596"/>
    </row>
    <row r="287" spans="1:5" x14ac:dyDescent="0.2">
      <c r="A287" s="588">
        <v>1</v>
      </c>
      <c r="B287" s="587" t="s">
        <v>656</v>
      </c>
      <c r="C287" s="623">
        <f t="shared" ref="C287:D295" si="33">IF(C25=0,0,+C58/C25)</f>
        <v>0.26774318294296856</v>
      </c>
      <c r="D287" s="623">
        <f t="shared" si="33"/>
        <v>0.2642260608943176</v>
      </c>
      <c r="E287" s="650">
        <f t="shared" ref="E287:E295" si="34">D287-C287</f>
        <v>-3.5171220486509558E-3</v>
      </c>
    </row>
    <row r="288" spans="1:5" x14ac:dyDescent="0.2">
      <c r="A288" s="588">
        <v>2</v>
      </c>
      <c r="B288" s="587" t="s">
        <v>635</v>
      </c>
      <c r="C288" s="623">
        <f t="shared" si="33"/>
        <v>0.19823553046651843</v>
      </c>
      <c r="D288" s="623">
        <f t="shared" si="33"/>
        <v>0.15812865477878621</v>
      </c>
      <c r="E288" s="650">
        <f t="shared" si="34"/>
        <v>-4.0106875687732219E-2</v>
      </c>
    </row>
    <row r="289" spans="1:5" x14ac:dyDescent="0.2">
      <c r="A289" s="588">
        <v>3</v>
      </c>
      <c r="B289" s="587" t="s">
        <v>777</v>
      </c>
      <c r="C289" s="623">
        <f t="shared" si="33"/>
        <v>0.15351978686292439</v>
      </c>
      <c r="D289" s="623">
        <f t="shared" si="33"/>
        <v>0.1948820807717638</v>
      </c>
      <c r="E289" s="650">
        <f t="shared" si="34"/>
        <v>4.1362293908839415E-2</v>
      </c>
    </row>
    <row r="290" spans="1:5" x14ac:dyDescent="0.2">
      <c r="A290" s="588">
        <v>4</v>
      </c>
      <c r="B290" s="587" t="s">
        <v>115</v>
      </c>
      <c r="C290" s="623">
        <f t="shared" si="33"/>
        <v>0.15351978686292439</v>
      </c>
      <c r="D290" s="623">
        <f t="shared" si="33"/>
        <v>0.1948820807717638</v>
      </c>
      <c r="E290" s="650">
        <f t="shared" si="34"/>
        <v>4.1362293908839415E-2</v>
      </c>
    </row>
    <row r="291" spans="1:5" x14ac:dyDescent="0.2">
      <c r="A291" s="588">
        <v>5</v>
      </c>
      <c r="B291" s="587" t="s">
        <v>743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0.18668194185879994</v>
      </c>
      <c r="D292" s="623">
        <f t="shared" si="33"/>
        <v>0.19159947472094549</v>
      </c>
      <c r="E292" s="650">
        <f t="shared" si="34"/>
        <v>4.9175328621455516E-3</v>
      </c>
    </row>
    <row r="293" spans="1:5" x14ac:dyDescent="0.2">
      <c r="A293" s="588">
        <v>7</v>
      </c>
      <c r="B293" s="587" t="s">
        <v>758</v>
      </c>
      <c r="C293" s="623">
        <f t="shared" si="33"/>
        <v>6.1535487176867042E-2</v>
      </c>
      <c r="D293" s="623">
        <f t="shared" si="33"/>
        <v>0.17960252711539618</v>
      </c>
      <c r="E293" s="650">
        <f t="shared" si="34"/>
        <v>0.11806703993852913</v>
      </c>
    </row>
    <row r="294" spans="1:5" ht="29.25" customHeight="1" x14ac:dyDescent="0.2">
      <c r="A294" s="588"/>
      <c r="B294" s="592" t="s">
        <v>847</v>
      </c>
      <c r="C294" s="651">
        <f t="shared" si="33"/>
        <v>0.18120880125080743</v>
      </c>
      <c r="D294" s="651">
        <f t="shared" si="33"/>
        <v>0.17136538247733654</v>
      </c>
      <c r="E294" s="652">
        <f t="shared" si="34"/>
        <v>-9.8434187734708911E-3</v>
      </c>
    </row>
    <row r="295" spans="1:5" x14ac:dyDescent="0.2">
      <c r="A295" s="588"/>
      <c r="B295" s="592" t="s">
        <v>848</v>
      </c>
      <c r="C295" s="651">
        <f t="shared" si="33"/>
        <v>0.21953210879216323</v>
      </c>
      <c r="D295" s="651">
        <f t="shared" si="33"/>
        <v>0.21120819588975837</v>
      </c>
      <c r="E295" s="652">
        <f t="shared" si="34"/>
        <v>-8.3239129024048619E-3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849</v>
      </c>
      <c r="B297" s="579" t="s">
        <v>850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851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654</v>
      </c>
      <c r="C301" s="590">
        <f>+C48+C47+C50+C51+C52+C59+C58+C61+C62+C63</f>
        <v>219065690</v>
      </c>
      <c r="D301" s="590">
        <f>+D48+D47+D50+D51+D52+D59+D58+D61+D62+D63</f>
        <v>207023331</v>
      </c>
      <c r="E301" s="590">
        <f>D301-C301</f>
        <v>-12042359</v>
      </c>
    </row>
    <row r="302" spans="1:5" ht="25.5" x14ac:dyDescent="0.2">
      <c r="A302" s="588">
        <v>2</v>
      </c>
      <c r="B302" s="587" t="s">
        <v>852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853</v>
      </c>
      <c r="C303" s="593">
        <f>+C301+C302</f>
        <v>219065690</v>
      </c>
      <c r="D303" s="593">
        <f>+D301+D302</f>
        <v>207023331</v>
      </c>
      <c r="E303" s="593">
        <f>D303-C303</f>
        <v>-12042359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854</v>
      </c>
      <c r="C305" s="589">
        <v>11715009</v>
      </c>
      <c r="D305" s="654">
        <v>674692</v>
      </c>
      <c r="E305" s="655">
        <f>D305-C305</f>
        <v>-11040317</v>
      </c>
    </row>
    <row r="306" spans="1:5" x14ac:dyDescent="0.2">
      <c r="A306" s="588">
        <v>4</v>
      </c>
      <c r="B306" s="592" t="s">
        <v>855</v>
      </c>
      <c r="C306" s="593">
        <f>+C303+C305+C194+C190-C191</f>
        <v>242984098</v>
      </c>
      <c r="D306" s="593">
        <f>+D303+D305</f>
        <v>207698023</v>
      </c>
      <c r="E306" s="656">
        <f>D306-C306</f>
        <v>-35286075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856</v>
      </c>
      <c r="C308" s="589">
        <v>230780700</v>
      </c>
      <c r="D308" s="589">
        <v>207698016</v>
      </c>
      <c r="E308" s="590">
        <f>D308-C308</f>
        <v>-23082684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857</v>
      </c>
      <c r="C310" s="657">
        <f>C306-C308</f>
        <v>12203398</v>
      </c>
      <c r="D310" s="658">
        <f>D306-D308</f>
        <v>7</v>
      </c>
      <c r="E310" s="656">
        <f>D310-C310</f>
        <v>-12203391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858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859</v>
      </c>
      <c r="C314" s="590">
        <f>+C14+C15+C16+C19+C25+C26+C27+C30</f>
        <v>883168747</v>
      </c>
      <c r="D314" s="590">
        <f>+D14+D15+D16+D19+D25+D26+D27+D30</f>
        <v>857736451</v>
      </c>
      <c r="E314" s="590">
        <f>D314-C314</f>
        <v>-25432296</v>
      </c>
    </row>
    <row r="315" spans="1:5" x14ac:dyDescent="0.2">
      <c r="A315" s="588">
        <v>2</v>
      </c>
      <c r="B315" s="659" t="s">
        <v>860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861</v>
      </c>
      <c r="C316" s="657">
        <f>C314+C315</f>
        <v>883168747</v>
      </c>
      <c r="D316" s="657">
        <f>D314+D315</f>
        <v>857736451</v>
      </c>
      <c r="E316" s="593">
        <f>D316-C316</f>
        <v>-25432296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862</v>
      </c>
      <c r="C318" s="589">
        <v>883168747</v>
      </c>
      <c r="D318" s="589">
        <v>857736451</v>
      </c>
      <c r="E318" s="590">
        <f>D318-C318</f>
        <v>-25432296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857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863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864</v>
      </c>
      <c r="C324" s="589">
        <f>+C193+C194</f>
        <v>11824854</v>
      </c>
      <c r="D324" s="589">
        <f>+D193+D194</f>
        <v>12256354</v>
      </c>
      <c r="E324" s="590">
        <f>D324-C324</f>
        <v>431500</v>
      </c>
    </row>
    <row r="325" spans="1:5" x14ac:dyDescent="0.2">
      <c r="A325" s="588">
        <v>2</v>
      </c>
      <c r="B325" s="587" t="s">
        <v>865</v>
      </c>
      <c r="C325" s="589">
        <v>151848</v>
      </c>
      <c r="D325" s="589">
        <v>227753</v>
      </c>
      <c r="E325" s="590">
        <f>D325-C325</f>
        <v>75905</v>
      </c>
    </row>
    <row r="326" spans="1:5" x14ac:dyDescent="0.2">
      <c r="A326" s="588"/>
      <c r="B326" s="592" t="s">
        <v>866</v>
      </c>
      <c r="C326" s="657">
        <f>C324+C325</f>
        <v>11976702</v>
      </c>
      <c r="D326" s="657">
        <f>D324+D325</f>
        <v>12484107</v>
      </c>
      <c r="E326" s="593">
        <f>D326-C326</f>
        <v>507405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867</v>
      </c>
      <c r="C328" s="589">
        <v>11976700</v>
      </c>
      <c r="D328" s="589">
        <v>12484112</v>
      </c>
      <c r="E328" s="590">
        <f>D328-C328</f>
        <v>507412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868</v>
      </c>
      <c r="C330" s="657">
        <f>C326-C328</f>
        <v>2</v>
      </c>
      <c r="D330" s="657">
        <f>D326-D328</f>
        <v>-5</v>
      </c>
      <c r="E330" s="593">
        <f>D330-C330</f>
        <v>-7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5" bottom="0.5" header="0.25" footer="0.25"/>
  <pageSetup scale="72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>
      <selection sqref="A1:F1"/>
    </sheetView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629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869</v>
      </c>
      <c r="B5" s="824"/>
      <c r="C5" s="825"/>
      <c r="D5" s="661"/>
    </row>
    <row r="6" spans="1:58" s="662" customFormat="1" ht="15.75" customHeight="1" x14ac:dyDescent="0.25">
      <c r="A6" s="823" t="s">
        <v>870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871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872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776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656</v>
      </c>
      <c r="C14" s="589">
        <v>123031545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635</v>
      </c>
      <c r="C15" s="591">
        <v>260207823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777</v>
      </c>
      <c r="C16" s="591">
        <v>93439698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93439698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743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631575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758</v>
      </c>
      <c r="C20" s="591">
        <v>5215657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778</v>
      </c>
      <c r="C21" s="593">
        <f>SUM(C15+C16+C19)</f>
        <v>354279096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477310641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779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656</v>
      </c>
      <c r="C25" s="589">
        <v>163225542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635</v>
      </c>
      <c r="C26" s="591">
        <v>138907689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777</v>
      </c>
      <c r="C27" s="591">
        <v>77531079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77531079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743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761500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758</v>
      </c>
      <c r="C31" s="594">
        <v>8955982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780</v>
      </c>
      <c r="C32" s="593">
        <f>SUM(C26+C27+C30)</f>
        <v>217200268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380425810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653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873</v>
      </c>
      <c r="C36" s="590">
        <f>SUM(C14+C25)</f>
        <v>286257087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874</v>
      </c>
      <c r="C37" s="594">
        <f>SUM(C21+C32)</f>
        <v>571479364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653</v>
      </c>
      <c r="C38" s="593">
        <f>SUM(+C36+C37)</f>
        <v>857736451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789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656</v>
      </c>
      <c r="C41" s="589">
        <v>47526120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635</v>
      </c>
      <c r="C42" s="591">
        <v>58554766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777</v>
      </c>
      <c r="C43" s="591">
        <v>20475986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20475986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743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117410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758</v>
      </c>
      <c r="C47" s="591">
        <v>743233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790</v>
      </c>
      <c r="C48" s="593">
        <f>SUM(C42+C43+C46)</f>
        <v>79148162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126674282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791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656</v>
      </c>
      <c r="C52" s="589">
        <v>43128442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635</v>
      </c>
      <c r="C53" s="591">
        <v>21965286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777</v>
      </c>
      <c r="C54" s="591">
        <v>15109418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15109418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743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145903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758</v>
      </c>
      <c r="C58" s="591">
        <v>1608517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792</v>
      </c>
      <c r="C59" s="593">
        <f>SUM(C53+C54+C57)</f>
        <v>37220607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80349049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654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875</v>
      </c>
      <c r="C63" s="590">
        <f>SUM(C41+C52)</f>
        <v>90654562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876</v>
      </c>
      <c r="C64" s="594">
        <f>SUM(C48+C59)</f>
        <v>116368769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654</v>
      </c>
      <c r="C65" s="593">
        <f>SUM(+C63+C64)</f>
        <v>207023331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877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878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656</v>
      </c>
      <c r="C70" s="606">
        <v>3287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635</v>
      </c>
      <c r="C71" s="606">
        <v>5301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777</v>
      </c>
      <c r="C72" s="606">
        <v>3234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3234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743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25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758</v>
      </c>
      <c r="C76" s="621">
        <v>144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807</v>
      </c>
      <c r="C77" s="608">
        <f>SUM(C71+C72+C75)</f>
        <v>8560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11847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811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656</v>
      </c>
      <c r="C81" s="617">
        <v>1.2595000000000001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635</v>
      </c>
      <c r="C82" s="617">
        <v>1.5699000000000001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777</v>
      </c>
      <c r="C83" s="617">
        <f>((C73*C84)+(C74*C85))/(C73+C74)</f>
        <v>0.96430000000000005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0.96430000000000005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743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0.81669999999999998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758</v>
      </c>
      <c r="C87" s="617">
        <v>1.1904999999999999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812</v>
      </c>
      <c r="C88" s="619">
        <f>((C71*C82)+(C73*C84)+(C74*C85)+(C75*C86))/(C71+C73+C74+C75)</f>
        <v>1.3389022897196261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723</v>
      </c>
      <c r="C89" s="619">
        <f>((C70*C81)+(C71*C82)+(C73*C84)+(C74*C85)+(C75*C86))/(C70+C71+C73+C74+C75)</f>
        <v>1.3168717903266651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813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814</v>
      </c>
      <c r="C92" s="589">
        <v>275878525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815</v>
      </c>
      <c r="C93" s="622">
        <v>99992463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668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747</v>
      </c>
      <c r="C95" s="589">
        <f>+C92-C93</f>
        <v>175886062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670</v>
      </c>
      <c r="C96" s="681">
        <f>(+C92-C93)/C92</f>
        <v>0.63754894296321185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762</v>
      </c>
      <c r="C98" s="589">
        <v>10378562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748</v>
      </c>
      <c r="C99" s="589">
        <v>7460110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879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817</v>
      </c>
      <c r="C103" s="589">
        <v>1472594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818</v>
      </c>
      <c r="C104" s="589">
        <v>10783760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819</v>
      </c>
      <c r="C105" s="654">
        <f>+C103+C104</f>
        <v>12256354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820</v>
      </c>
      <c r="C107" s="589">
        <v>9034648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710</v>
      </c>
      <c r="C108" s="589">
        <v>213170829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850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851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654</v>
      </c>
      <c r="C114" s="590">
        <f>+C65</f>
        <v>207023331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852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853</v>
      </c>
      <c r="C116" s="593">
        <f>+C114+C115</f>
        <v>207023331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854</v>
      </c>
      <c r="C118" s="654">
        <v>674692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855</v>
      </c>
      <c r="C119" s="656">
        <f>+C116+C118</f>
        <v>207698023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856</v>
      </c>
      <c r="C121" s="589">
        <v>207698016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857</v>
      </c>
      <c r="C123" s="658">
        <f>C119-C121</f>
        <v>7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858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859</v>
      </c>
      <c r="C127" s="590">
        <f>C38</f>
        <v>857736451</v>
      </c>
      <c r="D127" s="664"/>
      <c r="AR127" s="485"/>
    </row>
    <row r="128" spans="1:58" s="421" customFormat="1" ht="12.75" x14ac:dyDescent="0.2">
      <c r="A128" s="588">
        <v>2</v>
      </c>
      <c r="B128" s="659" t="s">
        <v>860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861</v>
      </c>
      <c r="C129" s="657">
        <f>C127+C128</f>
        <v>857736451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862</v>
      </c>
      <c r="C131" s="589">
        <v>857736451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857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863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864</v>
      </c>
      <c r="C137" s="589">
        <f>C105</f>
        <v>12256354</v>
      </c>
      <c r="D137" s="664"/>
      <c r="AR137" s="485"/>
    </row>
    <row r="138" spans="1:44" s="421" customFormat="1" ht="12.75" x14ac:dyDescent="0.2">
      <c r="A138" s="588">
        <v>2</v>
      </c>
      <c r="B138" s="669" t="s">
        <v>880</v>
      </c>
      <c r="C138" s="589">
        <v>227753</v>
      </c>
      <c r="D138" s="664"/>
      <c r="AR138" s="485"/>
    </row>
    <row r="139" spans="1:44" s="421" customFormat="1" ht="12.75" x14ac:dyDescent="0.2">
      <c r="A139" s="588"/>
      <c r="B139" s="671" t="s">
        <v>866</v>
      </c>
      <c r="C139" s="657">
        <f>C137+C138</f>
        <v>12484107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881</v>
      </c>
      <c r="C141" s="589">
        <v>12484112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868</v>
      </c>
      <c r="C143" s="657">
        <f>C139-C141</f>
        <v>-5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5" bottom="0.5" header="0.25" footer="0.25"/>
  <pageSetup scale="79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sqref="A1:F1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882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632</v>
      </c>
      <c r="D8" s="177" t="s">
        <v>632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883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884</v>
      </c>
      <c r="C12" s="185">
        <v>448</v>
      </c>
      <c r="D12" s="185">
        <v>585</v>
      </c>
      <c r="E12" s="185">
        <f>+D12-C12</f>
        <v>137</v>
      </c>
      <c r="F12" s="77">
        <f>IF(C12=0,0,+E12/C12)</f>
        <v>0.30580357142857145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885</v>
      </c>
      <c r="C13" s="185">
        <v>285</v>
      </c>
      <c r="D13" s="185">
        <v>496</v>
      </c>
      <c r="E13" s="185">
        <f>+D13-C13</f>
        <v>211</v>
      </c>
      <c r="F13" s="77">
        <f>IF(C13=0,0,+E13/C13)</f>
        <v>0.74035087719298243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886</v>
      </c>
      <c r="C15" s="76">
        <v>1389352</v>
      </c>
      <c r="D15" s="76">
        <v>1472594</v>
      </c>
      <c r="E15" s="76">
        <f>+D15-C15</f>
        <v>83242</v>
      </c>
      <c r="F15" s="77">
        <f>IF(C15=0,0,+E15/C15)</f>
        <v>5.9914262188415897E-2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887</v>
      </c>
      <c r="C16" s="79">
        <f>IF(C13=0,0,+C15/+C13)</f>
        <v>4874.9192982456143</v>
      </c>
      <c r="D16" s="79">
        <f>IF(D13=0,0,+D15/+D13)</f>
        <v>2968.9395161290322</v>
      </c>
      <c r="E16" s="79">
        <f>+D16-C16</f>
        <v>-1905.9797821165821</v>
      </c>
      <c r="F16" s="80">
        <f>IF(C16=0,0,+E16/C16)</f>
        <v>-0.3909766840248014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888</v>
      </c>
      <c r="C18" s="704">
        <v>0.28273700000000002</v>
      </c>
      <c r="D18" s="704">
        <v>0.25917499999999999</v>
      </c>
      <c r="E18" s="704">
        <f>+D18-C18</f>
        <v>-2.3562000000000027E-2</v>
      </c>
      <c r="F18" s="77">
        <f>IF(C18=0,0,+E18/C18)</f>
        <v>-8.3335396499220213E-2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889</v>
      </c>
      <c r="C19" s="79">
        <f>+C15*C18</f>
        <v>392821.21642400004</v>
      </c>
      <c r="D19" s="79">
        <f>+D15*D18</f>
        <v>381659.54994999996</v>
      </c>
      <c r="E19" s="79">
        <f>+D19-C19</f>
        <v>-11161.666474000085</v>
      </c>
      <c r="F19" s="80">
        <f>IF(C19=0,0,+E19/C19)</f>
        <v>-2.8414113106234314E-2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890</v>
      </c>
      <c r="C20" s="79">
        <f>IF(C13=0,0,+C19/C13)</f>
        <v>1378.3200576280703</v>
      </c>
      <c r="D20" s="79">
        <f>IF(D13=0,0,+D19/D13)</f>
        <v>769.47489909274179</v>
      </c>
      <c r="E20" s="79">
        <f>+D20-C20</f>
        <v>-608.84515853532855</v>
      </c>
      <c r="F20" s="80">
        <f>IF(C20=0,0,+E20/C20)</f>
        <v>-0.4417298835388645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891</v>
      </c>
      <c r="C22" s="76">
        <v>472147</v>
      </c>
      <c r="D22" s="76">
        <v>340093</v>
      </c>
      <c r="E22" s="76">
        <f>+D22-C22</f>
        <v>-132054</v>
      </c>
      <c r="F22" s="77">
        <f>IF(C22=0,0,+E22/C22)</f>
        <v>-0.2796883174096203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892</v>
      </c>
      <c r="C23" s="185">
        <v>726313</v>
      </c>
      <c r="D23" s="185">
        <v>993315</v>
      </c>
      <c r="E23" s="185">
        <f>+D23-C23</f>
        <v>267002</v>
      </c>
      <c r="F23" s="77">
        <f>IF(C23=0,0,+E23/C23)</f>
        <v>0.36761286112185793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893</v>
      </c>
      <c r="C24" s="185">
        <v>190892</v>
      </c>
      <c r="D24" s="185">
        <v>139186</v>
      </c>
      <c r="E24" s="185">
        <f>+D24-C24</f>
        <v>-51706</v>
      </c>
      <c r="F24" s="77">
        <f>IF(C24=0,0,+E24/C24)</f>
        <v>-0.27086520126563712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894</v>
      </c>
      <c r="C25" s="79">
        <f>+C22+C23+C24</f>
        <v>1389352</v>
      </c>
      <c r="D25" s="79">
        <f>+D22+D23+D24</f>
        <v>1472594</v>
      </c>
      <c r="E25" s="79">
        <f>+E22+E23+E24</f>
        <v>83242</v>
      </c>
      <c r="F25" s="80">
        <f>IF(C25=0,0,+E25/C25)</f>
        <v>5.9914262188415897E-2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895</v>
      </c>
      <c r="C27" s="185">
        <v>437</v>
      </c>
      <c r="D27" s="185">
        <v>743</v>
      </c>
      <c r="E27" s="185">
        <f>+D27-C27</f>
        <v>306</v>
      </c>
      <c r="F27" s="77">
        <f>IF(C27=0,0,+E27/C27)</f>
        <v>0.70022883295194505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896</v>
      </c>
      <c r="C28" s="185">
        <v>84</v>
      </c>
      <c r="D28" s="185">
        <v>48</v>
      </c>
      <c r="E28" s="185">
        <f>+D28-C28</f>
        <v>-36</v>
      </c>
      <c r="F28" s="77">
        <f>IF(C28=0,0,+E28/C28)</f>
        <v>-0.42857142857142855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897</v>
      </c>
      <c r="C29" s="185">
        <v>280</v>
      </c>
      <c r="D29" s="185">
        <v>77</v>
      </c>
      <c r="E29" s="185">
        <f>+D29-C29</f>
        <v>-203</v>
      </c>
      <c r="F29" s="77">
        <f>IF(C29=0,0,+E29/C29)</f>
        <v>-0.72499999999999998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898</v>
      </c>
      <c r="C30" s="185">
        <v>921</v>
      </c>
      <c r="D30" s="185">
        <v>606</v>
      </c>
      <c r="E30" s="185">
        <f>+D30-C30</f>
        <v>-315</v>
      </c>
      <c r="F30" s="77">
        <f>IF(C30=0,0,+E30/C30)</f>
        <v>-0.34201954397394135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899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900</v>
      </c>
      <c r="C33" s="76">
        <v>2553676</v>
      </c>
      <c r="D33" s="76">
        <v>2872502</v>
      </c>
      <c r="E33" s="76">
        <f>+D33-C33</f>
        <v>318826</v>
      </c>
      <c r="F33" s="77">
        <f>IF(C33=0,0,+E33/C33)</f>
        <v>0.12484982433166933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901</v>
      </c>
      <c r="C34" s="185">
        <v>2288463</v>
      </c>
      <c r="D34" s="185">
        <v>2522763</v>
      </c>
      <c r="E34" s="185">
        <f>+D34-C34</f>
        <v>234300</v>
      </c>
      <c r="F34" s="77">
        <f>IF(C34=0,0,+E34/C34)</f>
        <v>0.10238312788976706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902</v>
      </c>
      <c r="C35" s="185">
        <v>5593363</v>
      </c>
      <c r="D35" s="185">
        <v>5388495</v>
      </c>
      <c r="E35" s="185">
        <f>+D35-C35</f>
        <v>-204868</v>
      </c>
      <c r="F35" s="77">
        <f>IF(C35=0,0,+E35/C35)</f>
        <v>-3.6626980941519442E-2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903</v>
      </c>
      <c r="C36" s="79">
        <f>+C33+C34+C35</f>
        <v>10435502</v>
      </c>
      <c r="D36" s="79">
        <f>+D33+D34+D35</f>
        <v>10783760</v>
      </c>
      <c r="E36" s="79">
        <f>+E33+E34+E35</f>
        <v>348258</v>
      </c>
      <c r="F36" s="80">
        <f>IF(C36=0,0,+E36/C36)</f>
        <v>3.3372424249451534E-2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904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905</v>
      </c>
      <c r="C39" s="76">
        <f>+C25</f>
        <v>1389352</v>
      </c>
      <c r="D39" s="76">
        <f>+D25</f>
        <v>1472594</v>
      </c>
      <c r="E39" s="76">
        <f>+D39-C39</f>
        <v>83242</v>
      </c>
      <c r="F39" s="77">
        <f>IF(C39=0,0,+E39/C39)</f>
        <v>5.9914262188415897E-2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906</v>
      </c>
      <c r="C40" s="185">
        <f>+C36</f>
        <v>10435502</v>
      </c>
      <c r="D40" s="185">
        <f>+D36</f>
        <v>10783760</v>
      </c>
      <c r="E40" s="185">
        <f>+D40-C40</f>
        <v>348258</v>
      </c>
      <c r="F40" s="77">
        <f>IF(C40=0,0,+E40/C40)</f>
        <v>3.3372424249451534E-2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907</v>
      </c>
      <c r="C41" s="79">
        <f>+C39+C40</f>
        <v>11824854</v>
      </c>
      <c r="D41" s="79">
        <f>+D39+D40</f>
        <v>12256354</v>
      </c>
      <c r="E41" s="79">
        <f>+E39+E40</f>
        <v>431500</v>
      </c>
      <c r="F41" s="80">
        <f>IF(C41=0,0,+E41/C41)</f>
        <v>3.6490936801418433E-2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908</v>
      </c>
      <c r="C43" s="76">
        <f t="shared" ref="C43:D45" si="0">+C22+C33</f>
        <v>3025823</v>
      </c>
      <c r="D43" s="76">
        <f t="shared" si="0"/>
        <v>3212595</v>
      </c>
      <c r="E43" s="76">
        <f>+D43-C43</f>
        <v>186772</v>
      </c>
      <c r="F43" s="77">
        <f>IF(C43=0,0,+E43/C43)</f>
        <v>6.1726016359846564E-2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909</v>
      </c>
      <c r="C44" s="185">
        <f t="shared" si="0"/>
        <v>3014776</v>
      </c>
      <c r="D44" s="185">
        <f t="shared" si="0"/>
        <v>3516078</v>
      </c>
      <c r="E44" s="185">
        <f>+D44-C44</f>
        <v>501302</v>
      </c>
      <c r="F44" s="77">
        <f>IF(C44=0,0,+E44/C44)</f>
        <v>0.16628167399501653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910</v>
      </c>
      <c r="C45" s="185">
        <f t="shared" si="0"/>
        <v>5784255</v>
      </c>
      <c r="D45" s="185">
        <f t="shared" si="0"/>
        <v>5527681</v>
      </c>
      <c r="E45" s="185">
        <f>+D45-C45</f>
        <v>-256574</v>
      </c>
      <c r="F45" s="77">
        <f>IF(C45=0,0,+E45/C45)</f>
        <v>-4.4357311356432248E-2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907</v>
      </c>
      <c r="C46" s="79">
        <f>+C43+C44+C45</f>
        <v>11824854</v>
      </c>
      <c r="D46" s="79">
        <f>+D43+D44+D45</f>
        <v>12256354</v>
      </c>
      <c r="E46" s="79">
        <f>+E43+E44+E45</f>
        <v>431500</v>
      </c>
      <c r="F46" s="80">
        <f>IF(C46=0,0,+E46/C46)</f>
        <v>3.6490936801418433E-2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911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sqref="A1:F1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912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913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914</v>
      </c>
      <c r="D10" s="177" t="s">
        <v>914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915</v>
      </c>
      <c r="D11" s="693" t="s">
        <v>915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916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295332674</v>
      </c>
      <c r="D15" s="76">
        <v>275878525</v>
      </c>
      <c r="E15" s="76">
        <f>+D15-C15</f>
        <v>-19454149</v>
      </c>
      <c r="F15" s="77">
        <f>IF(C15=0,0,E15/C15)</f>
        <v>-6.5871983402689807E-2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917</v>
      </c>
      <c r="C17" s="76">
        <v>203589081</v>
      </c>
      <c r="D17" s="76">
        <v>175886062</v>
      </c>
      <c r="E17" s="76">
        <f>+D17-C17</f>
        <v>-27703019</v>
      </c>
      <c r="F17" s="77">
        <f>IF(C17=0,0,E17/C17)</f>
        <v>-0.13607320620500271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918</v>
      </c>
      <c r="C19" s="79">
        <f>+C15-C17</f>
        <v>91743593</v>
      </c>
      <c r="D19" s="79">
        <f>+D15-D17</f>
        <v>99992463</v>
      </c>
      <c r="E19" s="79">
        <f>+D19-C19</f>
        <v>8248870</v>
      </c>
      <c r="F19" s="80">
        <f>IF(C19=0,0,E19/C19)</f>
        <v>8.9912218720276188E-2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919</v>
      </c>
      <c r="C21" s="720">
        <f>IF(C15=0,0,C17/C15)</f>
        <v>0.68935508639318388</v>
      </c>
      <c r="D21" s="720">
        <f>IF(D15=0,0,D17/D15)</f>
        <v>0.63754894296321185</v>
      </c>
      <c r="E21" s="720">
        <f>+D21-C21</f>
        <v>-5.1806143429972029E-2</v>
      </c>
      <c r="F21" s="80">
        <f>IF(C21=0,0,E21/C21)</f>
        <v>-7.5151608296719852E-2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920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67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sqref="A1:F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921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922</v>
      </c>
      <c r="B6" s="734" t="s">
        <v>923</v>
      </c>
      <c r="C6" s="734" t="s">
        <v>924</v>
      </c>
      <c r="D6" s="734" t="s">
        <v>925</v>
      </c>
      <c r="E6" s="734" t="s">
        <v>926</v>
      </c>
    </row>
    <row r="7" spans="1:6" ht="37.5" customHeight="1" x14ac:dyDescent="0.25">
      <c r="A7" s="735" t="s">
        <v>8</v>
      </c>
      <c r="B7" s="736" t="s">
        <v>9</v>
      </c>
      <c r="C7" s="737" t="s">
        <v>927</v>
      </c>
      <c r="D7" s="737" t="s">
        <v>928</v>
      </c>
      <c r="E7" s="737" t="s">
        <v>929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930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931</v>
      </c>
      <c r="C10" s="744">
        <v>513441416</v>
      </c>
      <c r="D10" s="744">
        <v>518068405</v>
      </c>
      <c r="E10" s="744">
        <v>477310641</v>
      </c>
    </row>
    <row r="11" spans="1:6" ht="26.1" customHeight="1" x14ac:dyDescent="0.25">
      <c r="A11" s="742">
        <v>2</v>
      </c>
      <c r="B11" s="743" t="s">
        <v>932</v>
      </c>
      <c r="C11" s="744">
        <v>307787932</v>
      </c>
      <c r="D11" s="744">
        <v>365100342</v>
      </c>
      <c r="E11" s="744">
        <v>380425810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821229348</v>
      </c>
      <c r="D12" s="744">
        <f>+D11+D10</f>
        <v>883168747</v>
      </c>
      <c r="E12" s="744">
        <f>+E11+E10</f>
        <v>857736451</v>
      </c>
    </row>
    <row r="13" spans="1:6" ht="26.1" customHeight="1" x14ac:dyDescent="0.25">
      <c r="A13" s="742">
        <v>4</v>
      </c>
      <c r="B13" s="743" t="s">
        <v>507</v>
      </c>
      <c r="C13" s="744">
        <v>227759506</v>
      </c>
      <c r="D13" s="744">
        <v>230780700</v>
      </c>
      <c r="E13" s="744">
        <v>207698016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933</v>
      </c>
      <c r="C16" s="744">
        <v>237912997</v>
      </c>
      <c r="D16" s="744">
        <v>231658975</v>
      </c>
      <c r="E16" s="744">
        <v>213170829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934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58780</v>
      </c>
      <c r="D19" s="747">
        <v>57548</v>
      </c>
      <c r="E19" s="747">
        <v>55099</v>
      </c>
    </row>
    <row r="20" spans="1:5" ht="26.1" customHeight="1" x14ac:dyDescent="0.25">
      <c r="A20" s="742">
        <v>2</v>
      </c>
      <c r="B20" s="743" t="s">
        <v>381</v>
      </c>
      <c r="C20" s="748">
        <v>12758</v>
      </c>
      <c r="D20" s="748">
        <v>12364</v>
      </c>
      <c r="E20" s="748">
        <v>11847</v>
      </c>
    </row>
    <row r="21" spans="1:5" ht="26.1" customHeight="1" x14ac:dyDescent="0.25">
      <c r="A21" s="742">
        <v>3</v>
      </c>
      <c r="B21" s="743" t="s">
        <v>935</v>
      </c>
      <c r="C21" s="749">
        <f>IF(C20=0,0,+C19/C20)</f>
        <v>4.6073052202539584</v>
      </c>
      <c r="D21" s="749">
        <f>IF(D20=0,0,+D19/D20)</f>
        <v>4.6544807505661598</v>
      </c>
      <c r="E21" s="749">
        <f>IF(E20=0,0,+E19/E20)</f>
        <v>4.6508820798514394</v>
      </c>
    </row>
    <row r="22" spans="1:5" ht="26.1" customHeight="1" x14ac:dyDescent="0.25">
      <c r="A22" s="742">
        <v>4</v>
      </c>
      <c r="B22" s="743" t="s">
        <v>936</v>
      </c>
      <c r="C22" s="748">
        <f>IF(C10=0,0,C19*(C12/C10))</f>
        <v>94016.297811550132</v>
      </c>
      <c r="D22" s="748">
        <f>IF(D10=0,0,D19*(D12/D10))</f>
        <v>98104.023642121159</v>
      </c>
      <c r="E22" s="748">
        <f>IF(E10=0,0,E19*(E12/E10))</f>
        <v>99013.96837630737</v>
      </c>
    </row>
    <row r="23" spans="1:5" ht="26.1" customHeight="1" x14ac:dyDescent="0.25">
      <c r="A23" s="742">
        <v>0</v>
      </c>
      <c r="B23" s="743" t="s">
        <v>937</v>
      </c>
      <c r="C23" s="748">
        <f>IF(C10=0,0,C20*(C12/C10))</f>
        <v>20405.919147324879</v>
      </c>
      <c r="D23" s="748">
        <f>IF(D10=0,0,D20*(D12/D10))</f>
        <v>21077.329330492561</v>
      </c>
      <c r="E23" s="748">
        <f>IF(E10=0,0,E20*(E12/E10))</f>
        <v>21289.28806973109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938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1.3373213356325444</v>
      </c>
      <c r="D26" s="750">
        <v>1.314557028469751</v>
      </c>
      <c r="E26" s="750">
        <v>1.3168717903266651</v>
      </c>
    </row>
    <row r="27" spans="1:5" ht="26.1" customHeight="1" x14ac:dyDescent="0.25">
      <c r="A27" s="742">
        <v>2</v>
      </c>
      <c r="B27" s="743" t="s">
        <v>939</v>
      </c>
      <c r="C27" s="748">
        <f>C19*C26</f>
        <v>78607.748108480955</v>
      </c>
      <c r="D27" s="748">
        <f>D19*D26</f>
        <v>75650.127874377227</v>
      </c>
      <c r="E27" s="748">
        <f>E19*E26</f>
        <v>72558.318775208929</v>
      </c>
    </row>
    <row r="28" spans="1:5" ht="26.1" customHeight="1" x14ac:dyDescent="0.25">
      <c r="A28" s="742">
        <v>3</v>
      </c>
      <c r="B28" s="743" t="s">
        <v>940</v>
      </c>
      <c r="C28" s="748">
        <f>C20*C26</f>
        <v>17061.545600000001</v>
      </c>
      <c r="D28" s="748">
        <f>D20*D26</f>
        <v>16253.1831</v>
      </c>
      <c r="E28" s="748">
        <f>E20*E26</f>
        <v>15600.980100000002</v>
      </c>
    </row>
    <row r="29" spans="1:5" ht="26.1" customHeight="1" x14ac:dyDescent="0.25">
      <c r="A29" s="742">
        <v>4</v>
      </c>
      <c r="B29" s="743" t="s">
        <v>941</v>
      </c>
      <c r="C29" s="748">
        <f>C22*C26</f>
        <v>125730.00096056929</v>
      </c>
      <c r="D29" s="748">
        <f>D22*D26</f>
        <v>128963.33379991299</v>
      </c>
      <c r="E29" s="748">
        <f>E22*E26</f>
        <v>130388.70180305569</v>
      </c>
    </row>
    <row r="30" spans="1:5" ht="26.1" customHeight="1" x14ac:dyDescent="0.25">
      <c r="A30" s="742">
        <v>5</v>
      </c>
      <c r="B30" s="743" t="s">
        <v>942</v>
      </c>
      <c r="C30" s="748">
        <f>C23*C26</f>
        <v>27289.271048910221</v>
      </c>
      <c r="D30" s="748">
        <f>D23*D26</f>
        <v>27707.351412770626</v>
      </c>
      <c r="E30" s="748">
        <f>E23*E26</f>
        <v>28035.262895166892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943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944</v>
      </c>
      <c r="C33" s="744">
        <f>IF(C19=0,0,C12/C19)</f>
        <v>13971.237631847567</v>
      </c>
      <c r="D33" s="744">
        <f>IF(D19=0,0,D12/D19)</f>
        <v>15346.645356919442</v>
      </c>
      <c r="E33" s="744">
        <f>IF(E19=0,0,E12/E19)</f>
        <v>15567.187262926733</v>
      </c>
    </row>
    <row r="34" spans="1:5" ht="26.1" customHeight="1" x14ac:dyDescent="0.25">
      <c r="A34" s="742">
        <v>2</v>
      </c>
      <c r="B34" s="743" t="s">
        <v>945</v>
      </c>
      <c r="C34" s="744">
        <f>IF(C20=0,0,C12/C20)</f>
        <v>64369.756074619843</v>
      </c>
      <c r="D34" s="744">
        <f>IF(D20=0,0,D12/D20)</f>
        <v>71430.66539954707</v>
      </c>
      <c r="E34" s="744">
        <f>IF(E20=0,0,E12/E20)</f>
        <v>72401.152274837514</v>
      </c>
    </row>
    <row r="35" spans="1:5" ht="26.1" customHeight="1" x14ac:dyDescent="0.25">
      <c r="A35" s="742">
        <v>3</v>
      </c>
      <c r="B35" s="743" t="s">
        <v>946</v>
      </c>
      <c r="C35" s="744">
        <f>IF(C22=0,0,C12/C22)</f>
        <v>8734.9679482817282</v>
      </c>
      <c r="D35" s="744">
        <f>IF(D22=0,0,D12/D22)</f>
        <v>9002.3702821992083</v>
      </c>
      <c r="E35" s="744">
        <f>IF(E22=0,0,E12/E22)</f>
        <v>8662.7822828000517</v>
      </c>
    </row>
    <row r="36" spans="1:5" ht="26.1" customHeight="1" x14ac:dyDescent="0.25">
      <c r="A36" s="742">
        <v>4</v>
      </c>
      <c r="B36" s="743" t="s">
        <v>947</v>
      </c>
      <c r="C36" s="744">
        <f>IF(C23=0,0,C12/C23)</f>
        <v>40244.663426869418</v>
      </c>
      <c r="D36" s="744">
        <f>IF(D23=0,0,D12/D23)</f>
        <v>41901.359187965063</v>
      </c>
      <c r="E36" s="744">
        <f>IF(E23=0,0,E12/E23)</f>
        <v>40289.578880729299</v>
      </c>
    </row>
    <row r="37" spans="1:5" ht="26.1" customHeight="1" x14ac:dyDescent="0.25">
      <c r="A37" s="742">
        <v>5</v>
      </c>
      <c r="B37" s="743" t="s">
        <v>948</v>
      </c>
      <c r="C37" s="744">
        <f>IF(C29=0,0,C12/C29)</f>
        <v>6531.6896661565215</v>
      </c>
      <c r="D37" s="744">
        <f>IF(D29=0,0,D12/D29)</f>
        <v>6848.2158531217801</v>
      </c>
      <c r="E37" s="744">
        <f>IF(E29=0,0,E12/E29)</f>
        <v>6578.3034813519307</v>
      </c>
    </row>
    <row r="38" spans="1:5" ht="26.1" customHeight="1" x14ac:dyDescent="0.25">
      <c r="A38" s="742">
        <v>6</v>
      </c>
      <c r="B38" s="743" t="s">
        <v>949</v>
      </c>
      <c r="C38" s="744">
        <f>IF(C30=0,0,C12/C30)</f>
        <v>30093.487895961782</v>
      </c>
      <c r="D38" s="744">
        <f>IF(D30=0,0,D12/D30)</f>
        <v>31874.88886407734</v>
      </c>
      <c r="E38" s="744">
        <f>IF(E30=0,0,E12/E30)</f>
        <v>30594.913777244034</v>
      </c>
    </row>
    <row r="39" spans="1:5" ht="26.1" customHeight="1" x14ac:dyDescent="0.25">
      <c r="A39" s="742">
        <v>7</v>
      </c>
      <c r="B39" s="743" t="s">
        <v>950</v>
      </c>
      <c r="C39" s="744">
        <f>IF(C22=0,0,C10/C22)</f>
        <v>5461.1958559478871</v>
      </c>
      <c r="D39" s="744">
        <f>IF(D22=0,0,D10/D22)</f>
        <v>5280.8069003355977</v>
      </c>
      <c r="E39" s="744">
        <f>IF(E22=0,0,E10/E22)</f>
        <v>4820.6394393360524</v>
      </c>
    </row>
    <row r="40" spans="1:5" ht="26.1" customHeight="1" x14ac:dyDescent="0.25">
      <c r="A40" s="742">
        <v>8</v>
      </c>
      <c r="B40" s="743" t="s">
        <v>951</v>
      </c>
      <c r="C40" s="744">
        <f>IF(C23=0,0,C10/C23)</f>
        <v>25161.396175937989</v>
      </c>
      <c r="D40" s="744">
        <f>IF(D23=0,0,D10/D23)</f>
        <v>24579.414065068988</v>
      </c>
      <c r="E40" s="744">
        <f>IF(E23=0,0,E10/E23)</f>
        <v>22420.225581833136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952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953</v>
      </c>
      <c r="C43" s="744">
        <f>IF(C19=0,0,C13/C19)</f>
        <v>3874.7789384144266</v>
      </c>
      <c r="D43" s="744">
        <f>IF(D19=0,0,D13/D19)</f>
        <v>4010.2297212761523</v>
      </c>
      <c r="E43" s="744">
        <f>IF(E19=0,0,E13/E19)</f>
        <v>3769.5423873391533</v>
      </c>
    </row>
    <row r="44" spans="1:5" ht="26.1" customHeight="1" x14ac:dyDescent="0.25">
      <c r="A44" s="742">
        <v>2</v>
      </c>
      <c r="B44" s="743" t="s">
        <v>954</v>
      </c>
      <c r="C44" s="744">
        <f>IF(C20=0,0,C13/C20)</f>
        <v>17852.289230286879</v>
      </c>
      <c r="D44" s="744">
        <f>IF(D20=0,0,D13/D20)</f>
        <v>18665.537043028147</v>
      </c>
      <c r="E44" s="744">
        <f>IF(E20=0,0,E13/E20)</f>
        <v>17531.69713851608</v>
      </c>
    </row>
    <row r="45" spans="1:5" ht="26.1" customHeight="1" x14ac:dyDescent="0.25">
      <c r="A45" s="742">
        <v>3</v>
      </c>
      <c r="B45" s="743" t="s">
        <v>955</v>
      </c>
      <c r="C45" s="744">
        <f>IF(C22=0,0,C13/C22)</f>
        <v>2422.5534434096721</v>
      </c>
      <c r="D45" s="744">
        <f>IF(D22=0,0,D13/D22)</f>
        <v>2352.4081014442086</v>
      </c>
      <c r="E45" s="744">
        <f>IF(E22=0,0,E13/E22)</f>
        <v>2097.6637883115004</v>
      </c>
    </row>
    <row r="46" spans="1:5" ht="26.1" customHeight="1" x14ac:dyDescent="0.25">
      <c r="A46" s="742">
        <v>4</v>
      </c>
      <c r="B46" s="743" t="s">
        <v>956</v>
      </c>
      <c r="C46" s="744">
        <f>IF(C23=0,0,C13/C23)</f>
        <v>11161.443126165586</v>
      </c>
      <c r="D46" s="744">
        <f>IF(D23=0,0,D13/D23)</f>
        <v>10949.238225647956</v>
      </c>
      <c r="E46" s="744">
        <f>IF(E23=0,0,E13/E23)</f>
        <v>9755.9869226112405</v>
      </c>
    </row>
    <row r="47" spans="1:5" ht="26.1" customHeight="1" x14ac:dyDescent="0.25">
      <c r="A47" s="742">
        <v>5</v>
      </c>
      <c r="B47" s="743" t="s">
        <v>957</v>
      </c>
      <c r="C47" s="744">
        <f>IF(C29=0,0,C13/C29)</f>
        <v>1811.4968922288374</v>
      </c>
      <c r="D47" s="744">
        <f>IF(D29=0,0,D13/D29)</f>
        <v>1789.5063131514339</v>
      </c>
      <c r="E47" s="744">
        <f>IF(E29=0,0,E13/E29)</f>
        <v>1592.9142105710614</v>
      </c>
    </row>
    <row r="48" spans="1:5" ht="26.1" customHeight="1" x14ac:dyDescent="0.25">
      <c r="A48" s="742">
        <v>6</v>
      </c>
      <c r="B48" s="743" t="s">
        <v>958</v>
      </c>
      <c r="C48" s="744">
        <f>IF(C30=0,0,C13/C30)</f>
        <v>8346.1190880397462</v>
      </c>
      <c r="D48" s="744">
        <f>IF(D30=0,0,D13/D30)</f>
        <v>8329.2226875799697</v>
      </c>
      <c r="E48" s="744">
        <f>IF(E30=0,0,E13/E30)</f>
        <v>7408.4561566856528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959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960</v>
      </c>
      <c r="C51" s="744">
        <f>IF(C19=0,0,C16/C19)</f>
        <v>4047.5161109220821</v>
      </c>
      <c r="D51" s="744">
        <f>IF(D19=0,0,D16/D19)</f>
        <v>4025.4913289775491</v>
      </c>
      <c r="E51" s="744">
        <f>IF(E19=0,0,E16/E19)</f>
        <v>3868.8692898237719</v>
      </c>
    </row>
    <row r="52" spans="1:6" ht="26.1" customHeight="1" x14ac:dyDescent="0.25">
      <c r="A52" s="742">
        <v>2</v>
      </c>
      <c r="B52" s="743" t="s">
        <v>961</v>
      </c>
      <c r="C52" s="744">
        <f>IF(C20=0,0,C16/C20)</f>
        <v>18648.14210691331</v>
      </c>
      <c r="D52" s="744">
        <f>IF(D20=0,0,D16/D20)</f>
        <v>18736.57190229699</v>
      </c>
      <c r="E52" s="744">
        <f>IF(E20=0,0,E16/E20)</f>
        <v>17993.654849328945</v>
      </c>
    </row>
    <row r="53" spans="1:6" ht="26.1" customHeight="1" x14ac:dyDescent="0.25">
      <c r="A53" s="742">
        <v>3</v>
      </c>
      <c r="B53" s="743" t="s">
        <v>962</v>
      </c>
      <c r="C53" s="744">
        <f>IF(C22=0,0,C16/C22)</f>
        <v>2530.5505804629952</v>
      </c>
      <c r="D53" s="744">
        <f>IF(D22=0,0,D16/D22)</f>
        <v>2361.3605884818853</v>
      </c>
      <c r="E53" s="744">
        <f>IF(E22=0,0,E16/E22)</f>
        <v>2152.9369289576798</v>
      </c>
    </row>
    <row r="54" spans="1:6" ht="26.1" customHeight="1" x14ac:dyDescent="0.25">
      <c r="A54" s="742">
        <v>4</v>
      </c>
      <c r="B54" s="743" t="s">
        <v>963</v>
      </c>
      <c r="C54" s="744">
        <f>IF(C23=0,0,C16/C23)</f>
        <v>11659.018899483843</v>
      </c>
      <c r="D54" s="744">
        <f>IF(D23=0,0,D16/D23)</f>
        <v>10990.907404234515</v>
      </c>
      <c r="E54" s="744">
        <f>IF(E23=0,0,E16/E23)</f>
        <v>10013.055781939664</v>
      </c>
    </row>
    <row r="55" spans="1:6" ht="26.1" customHeight="1" x14ac:dyDescent="0.25">
      <c r="A55" s="742">
        <v>5</v>
      </c>
      <c r="B55" s="743" t="s">
        <v>964</v>
      </c>
      <c r="C55" s="744">
        <f>IF(C29=0,0,C16/C29)</f>
        <v>1892.2532027547895</v>
      </c>
      <c r="D55" s="744">
        <f>IF(D29=0,0,D16/D29)</f>
        <v>1796.3165821955224</v>
      </c>
      <c r="E55" s="744">
        <f>IF(E29=0,0,E16/E29)</f>
        <v>1634.8872720734787</v>
      </c>
    </row>
    <row r="56" spans="1:6" ht="26.1" customHeight="1" x14ac:dyDescent="0.25">
      <c r="A56" s="742">
        <v>6</v>
      </c>
      <c r="B56" s="743" t="s">
        <v>965</v>
      </c>
      <c r="C56" s="744">
        <f>IF(C30=0,0,C16/C30)</f>
        <v>8718.1880590944147</v>
      </c>
      <c r="D56" s="744">
        <f>IF(D30=0,0,D16/D30)</f>
        <v>8360.9209537518564</v>
      </c>
      <c r="E56" s="744">
        <f>IF(E30=0,0,E16/E30)</f>
        <v>7603.6679162637474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966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967</v>
      </c>
      <c r="C59" s="752">
        <v>32142636</v>
      </c>
      <c r="D59" s="752">
        <v>32281974</v>
      </c>
      <c r="E59" s="752">
        <v>31551418</v>
      </c>
    </row>
    <row r="60" spans="1:6" ht="26.1" customHeight="1" x14ac:dyDescent="0.25">
      <c r="A60" s="742">
        <v>2</v>
      </c>
      <c r="B60" s="743" t="s">
        <v>968</v>
      </c>
      <c r="C60" s="752">
        <v>9839673</v>
      </c>
      <c r="D60" s="752">
        <v>10625202</v>
      </c>
      <c r="E60" s="752">
        <v>9453373</v>
      </c>
    </row>
    <row r="61" spans="1:6" ht="26.1" customHeight="1" x14ac:dyDescent="0.25">
      <c r="A61" s="753">
        <v>3</v>
      </c>
      <c r="B61" s="754" t="s">
        <v>969</v>
      </c>
      <c r="C61" s="755">
        <f>C59+C60</f>
        <v>41982309</v>
      </c>
      <c r="D61" s="755">
        <f>D59+D60</f>
        <v>42907176</v>
      </c>
      <c r="E61" s="755">
        <f>E59+E60</f>
        <v>41004791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970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971</v>
      </c>
      <c r="C64" s="744">
        <v>6033313</v>
      </c>
      <c r="D64" s="744">
        <v>5970611</v>
      </c>
      <c r="E64" s="752">
        <v>5383409</v>
      </c>
      <c r="F64" s="756"/>
    </row>
    <row r="65" spans="1:6" ht="26.1" customHeight="1" x14ac:dyDescent="0.25">
      <c r="A65" s="742">
        <v>2</v>
      </c>
      <c r="B65" s="743" t="s">
        <v>972</v>
      </c>
      <c r="C65" s="752">
        <v>1846950</v>
      </c>
      <c r="D65" s="752">
        <v>1965151</v>
      </c>
      <c r="E65" s="752">
        <v>1612966</v>
      </c>
      <c r="F65" s="756"/>
    </row>
    <row r="66" spans="1:6" ht="26.1" customHeight="1" x14ac:dyDescent="0.25">
      <c r="A66" s="753">
        <v>3</v>
      </c>
      <c r="B66" s="754" t="s">
        <v>973</v>
      </c>
      <c r="C66" s="757">
        <f>C64+C65</f>
        <v>7880263</v>
      </c>
      <c r="D66" s="757">
        <f>D64+D65</f>
        <v>7935762</v>
      </c>
      <c r="E66" s="757">
        <f>E64+E65</f>
        <v>6996375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974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975</v>
      </c>
      <c r="C69" s="752">
        <v>60984362</v>
      </c>
      <c r="D69" s="752">
        <v>50408057</v>
      </c>
      <c r="E69" s="752">
        <v>47560322</v>
      </c>
    </row>
    <row r="70" spans="1:6" ht="26.1" customHeight="1" x14ac:dyDescent="0.25">
      <c r="A70" s="742">
        <v>2</v>
      </c>
      <c r="B70" s="743" t="s">
        <v>976</v>
      </c>
      <c r="C70" s="752">
        <v>18668855</v>
      </c>
      <c r="D70" s="752">
        <v>16591172</v>
      </c>
      <c r="E70" s="752">
        <v>14249929</v>
      </c>
    </row>
    <row r="71" spans="1:6" ht="26.1" customHeight="1" x14ac:dyDescent="0.25">
      <c r="A71" s="753">
        <v>3</v>
      </c>
      <c r="B71" s="754" t="s">
        <v>977</v>
      </c>
      <c r="C71" s="755">
        <f>C69+C70</f>
        <v>79653217</v>
      </c>
      <c r="D71" s="755">
        <f>D69+D70</f>
        <v>66999229</v>
      </c>
      <c r="E71" s="755">
        <f>E69+E70</f>
        <v>61810251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978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979</v>
      </c>
      <c r="C75" s="744">
        <f t="shared" ref="C75:E76" si="0">+C59+C64+C69</f>
        <v>99160311</v>
      </c>
      <c r="D75" s="744">
        <f t="shared" si="0"/>
        <v>88660642</v>
      </c>
      <c r="E75" s="744">
        <f t="shared" si="0"/>
        <v>84495149</v>
      </c>
    </row>
    <row r="76" spans="1:6" ht="26.1" customHeight="1" x14ac:dyDescent="0.25">
      <c r="A76" s="742">
        <v>2</v>
      </c>
      <c r="B76" s="743" t="s">
        <v>980</v>
      </c>
      <c r="C76" s="744">
        <f t="shared" si="0"/>
        <v>30355478</v>
      </c>
      <c r="D76" s="744">
        <f t="shared" si="0"/>
        <v>29181525</v>
      </c>
      <c r="E76" s="744">
        <f t="shared" si="0"/>
        <v>25316268</v>
      </c>
    </row>
    <row r="77" spans="1:6" ht="26.1" customHeight="1" x14ac:dyDescent="0.25">
      <c r="A77" s="753">
        <v>3</v>
      </c>
      <c r="B77" s="754" t="s">
        <v>978</v>
      </c>
      <c r="C77" s="757">
        <f>C75+C76</f>
        <v>129515789</v>
      </c>
      <c r="D77" s="757">
        <f>D75+D76</f>
        <v>117842167</v>
      </c>
      <c r="E77" s="757">
        <f>E75+E76</f>
        <v>109811417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981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359.2</v>
      </c>
      <c r="D80" s="749">
        <v>353</v>
      </c>
      <c r="E80" s="749">
        <v>335.5</v>
      </c>
    </row>
    <row r="81" spans="1:5" ht="26.1" customHeight="1" x14ac:dyDescent="0.25">
      <c r="A81" s="742">
        <v>2</v>
      </c>
      <c r="B81" s="743" t="s">
        <v>617</v>
      </c>
      <c r="C81" s="749">
        <v>79.599999999999994</v>
      </c>
      <c r="D81" s="749">
        <v>77.3</v>
      </c>
      <c r="E81" s="749">
        <v>62.9</v>
      </c>
    </row>
    <row r="82" spans="1:5" ht="26.1" customHeight="1" x14ac:dyDescent="0.25">
      <c r="A82" s="742">
        <v>3</v>
      </c>
      <c r="B82" s="743" t="s">
        <v>982</v>
      </c>
      <c r="C82" s="749">
        <v>1073.9000000000001</v>
      </c>
      <c r="D82" s="749">
        <v>869.6</v>
      </c>
      <c r="E82" s="749">
        <v>810.7</v>
      </c>
    </row>
    <row r="83" spans="1:5" ht="26.1" customHeight="1" x14ac:dyDescent="0.25">
      <c r="A83" s="753">
        <v>4</v>
      </c>
      <c r="B83" s="754" t="s">
        <v>981</v>
      </c>
      <c r="C83" s="759">
        <f>C80+C81+C82</f>
        <v>1512.7</v>
      </c>
      <c r="D83" s="759">
        <f>D80+D81+D82</f>
        <v>1299.9000000000001</v>
      </c>
      <c r="E83" s="759">
        <f>E80+E81+E82</f>
        <v>1209.0999999999999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983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984</v>
      </c>
      <c r="C86" s="752">
        <f>IF(C80=0,0,C59/C80)</f>
        <v>89483.95322939867</v>
      </c>
      <c r="D86" s="752">
        <f>IF(D80=0,0,D59/D80)</f>
        <v>91450.351274787536</v>
      </c>
      <c r="E86" s="752">
        <f>IF(E80=0,0,E59/E80)</f>
        <v>94042.974664679583</v>
      </c>
    </row>
    <row r="87" spans="1:5" ht="26.1" customHeight="1" x14ac:dyDescent="0.25">
      <c r="A87" s="742">
        <v>2</v>
      </c>
      <c r="B87" s="743" t="s">
        <v>985</v>
      </c>
      <c r="C87" s="752">
        <f>IF(C80=0,0,C60/C80)</f>
        <v>27393.298997772828</v>
      </c>
      <c r="D87" s="752">
        <f>IF(D80=0,0,D60/D80)</f>
        <v>30099.722379603398</v>
      </c>
      <c r="E87" s="752">
        <f>IF(E80=0,0,E60/E80)</f>
        <v>28176.968703427719</v>
      </c>
    </row>
    <row r="88" spans="1:5" ht="26.1" customHeight="1" x14ac:dyDescent="0.25">
      <c r="A88" s="753">
        <v>3</v>
      </c>
      <c r="B88" s="754" t="s">
        <v>986</v>
      </c>
      <c r="C88" s="755">
        <f>+C86+C87</f>
        <v>116877.2522271715</v>
      </c>
      <c r="D88" s="755">
        <f>+D86+D87</f>
        <v>121550.07365439093</v>
      </c>
      <c r="E88" s="755">
        <f>+E86+E87</f>
        <v>122219.9433681073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987</v>
      </c>
    </row>
    <row r="91" spans="1:5" ht="26.1" customHeight="1" x14ac:dyDescent="0.25">
      <c r="A91" s="742">
        <v>1</v>
      </c>
      <c r="B91" s="743" t="s">
        <v>988</v>
      </c>
      <c r="C91" s="744">
        <f>IF(C81=0,0,C64/C81)</f>
        <v>75795.389447236186</v>
      </c>
      <c r="D91" s="744">
        <f>IF(D81=0,0,D64/D81)</f>
        <v>77239.469598965079</v>
      </c>
      <c r="E91" s="744">
        <f>IF(E81=0,0,E64/E81)</f>
        <v>85586.788553259146</v>
      </c>
    </row>
    <row r="92" spans="1:5" ht="26.1" customHeight="1" x14ac:dyDescent="0.25">
      <c r="A92" s="742">
        <v>2</v>
      </c>
      <c r="B92" s="743" t="s">
        <v>989</v>
      </c>
      <c r="C92" s="744">
        <f>IF(C81=0,0,C65/C81)</f>
        <v>23202.889447236183</v>
      </c>
      <c r="D92" s="744">
        <f>IF(D81=0,0,D65/D81)</f>
        <v>25422.393272962483</v>
      </c>
      <c r="E92" s="744">
        <f>IF(E81=0,0,E65/E81)</f>
        <v>25643.338632750398</v>
      </c>
    </row>
    <row r="93" spans="1:5" ht="26.1" customHeight="1" x14ac:dyDescent="0.25">
      <c r="A93" s="753">
        <v>3</v>
      </c>
      <c r="B93" s="754" t="s">
        <v>990</v>
      </c>
      <c r="C93" s="757">
        <f>+C91+C92</f>
        <v>98998.278894472372</v>
      </c>
      <c r="D93" s="757">
        <f>+D91+D92</f>
        <v>102661.86287192756</v>
      </c>
      <c r="E93" s="757">
        <f>+E91+E92</f>
        <v>111230.12718600954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991</v>
      </c>
      <c r="B95" s="745" t="s">
        <v>992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993</v>
      </c>
      <c r="C96" s="752">
        <f>IF(C82=0,0,C69/C82)</f>
        <v>56787.747462519786</v>
      </c>
      <c r="D96" s="752">
        <f>IF(D82=0,0,D69/D82)</f>
        <v>57966.946872125111</v>
      </c>
      <c r="E96" s="752">
        <f>IF(E82=0,0,E69/E82)</f>
        <v>58665.748118909578</v>
      </c>
    </row>
    <row r="97" spans="1:5" ht="26.1" customHeight="1" x14ac:dyDescent="0.25">
      <c r="A97" s="742">
        <v>2</v>
      </c>
      <c r="B97" s="743" t="s">
        <v>994</v>
      </c>
      <c r="C97" s="752">
        <f>IF(C82=0,0,C70/C82)</f>
        <v>17384.165192289784</v>
      </c>
      <c r="D97" s="752">
        <f>IF(D82=0,0,D70/D82)</f>
        <v>19079.084636614534</v>
      </c>
      <c r="E97" s="752">
        <f>IF(E82=0,0,E70/E82)</f>
        <v>17577.31466633773</v>
      </c>
    </row>
    <row r="98" spans="1:5" ht="26.1" customHeight="1" x14ac:dyDescent="0.25">
      <c r="A98" s="753">
        <v>3</v>
      </c>
      <c r="B98" s="754" t="s">
        <v>995</v>
      </c>
      <c r="C98" s="757">
        <f>+C96+C97</f>
        <v>74171.912654809566</v>
      </c>
      <c r="D98" s="757">
        <f>+D96+D97</f>
        <v>77046.031508739645</v>
      </c>
      <c r="E98" s="757">
        <f>+E96+E97</f>
        <v>76243.062785247312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996</v>
      </c>
      <c r="B100" s="745" t="s">
        <v>997</v>
      </c>
    </row>
    <row r="101" spans="1:5" ht="26.1" customHeight="1" x14ac:dyDescent="0.25">
      <c r="A101" s="742">
        <v>1</v>
      </c>
      <c r="B101" s="743" t="s">
        <v>998</v>
      </c>
      <c r="C101" s="744">
        <f>IF(C83=0,0,C75/C83)</f>
        <v>65551.868182719641</v>
      </c>
      <c r="D101" s="744">
        <f>IF(D83=0,0,D75/D83)</f>
        <v>68205.74044157243</v>
      </c>
      <c r="E101" s="744">
        <f>IF(E83=0,0,E75/E83)</f>
        <v>69882.680506161618</v>
      </c>
    </row>
    <row r="102" spans="1:5" ht="26.1" customHeight="1" x14ac:dyDescent="0.25">
      <c r="A102" s="742">
        <v>2</v>
      </c>
      <c r="B102" s="743" t="s">
        <v>999</v>
      </c>
      <c r="C102" s="761">
        <f>IF(C83=0,0,C76/C83)</f>
        <v>20067.08402194751</v>
      </c>
      <c r="D102" s="761">
        <f>IF(D83=0,0,D76/D83)</f>
        <v>22449.053773367181</v>
      </c>
      <c r="E102" s="761">
        <f>IF(E83=0,0,E76/E83)</f>
        <v>20938.10933752378</v>
      </c>
    </row>
    <row r="103" spans="1:5" ht="26.1" customHeight="1" x14ac:dyDescent="0.25">
      <c r="A103" s="753">
        <v>3</v>
      </c>
      <c r="B103" s="754" t="s">
        <v>997</v>
      </c>
      <c r="C103" s="757">
        <f>+C101+C102</f>
        <v>85618.952204667148</v>
      </c>
      <c r="D103" s="757">
        <f>+D101+D102</f>
        <v>90654.794214939611</v>
      </c>
      <c r="E103" s="757">
        <f>+E101+E102</f>
        <v>90820.789843685401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1000</v>
      </c>
      <c r="B107" s="736" t="s">
        <v>1001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1002</v>
      </c>
      <c r="C108" s="744">
        <f>IF(C19=0,0,C77/C19)</f>
        <v>2203.3989282068733</v>
      </c>
      <c r="D108" s="744">
        <f>IF(D19=0,0,D77/D19)</f>
        <v>2047.7195906026275</v>
      </c>
      <c r="E108" s="744">
        <f>IF(E19=0,0,E77/E19)</f>
        <v>1992.983847256756</v>
      </c>
    </row>
    <row r="109" spans="1:5" ht="26.1" customHeight="1" x14ac:dyDescent="0.25">
      <c r="A109" s="742">
        <v>2</v>
      </c>
      <c r="B109" s="743" t="s">
        <v>1003</v>
      </c>
      <c r="C109" s="744">
        <f>IF(C20=0,0,C77/C20)</f>
        <v>10151.731384229503</v>
      </c>
      <c r="D109" s="744">
        <f>IF(D20=0,0,D77/D20)</f>
        <v>9531.0714170171468</v>
      </c>
      <c r="E109" s="744">
        <f>IF(E20=0,0,E77/E20)</f>
        <v>9269.1328606398238</v>
      </c>
    </row>
    <row r="110" spans="1:5" ht="26.1" customHeight="1" x14ac:dyDescent="0.25">
      <c r="A110" s="742">
        <v>3</v>
      </c>
      <c r="B110" s="743" t="s">
        <v>1004</v>
      </c>
      <c r="C110" s="744">
        <f>IF(C22=0,0,C77/C22)</f>
        <v>1377.5886948835871</v>
      </c>
      <c r="D110" s="744">
        <f>IF(D22=0,0,D77/D22)</f>
        <v>1201.1960633733297</v>
      </c>
      <c r="E110" s="744">
        <f>IF(E22=0,0,E77/E22)</f>
        <v>1109.0497512700067</v>
      </c>
    </row>
    <row r="111" spans="1:5" ht="26.1" customHeight="1" x14ac:dyDescent="0.25">
      <c r="A111" s="742">
        <v>4</v>
      </c>
      <c r="B111" s="743" t="s">
        <v>1005</v>
      </c>
      <c r="C111" s="744">
        <f>IF(C23=0,0,C77/C23)</f>
        <v>6346.9715852999898</v>
      </c>
      <c r="D111" s="744">
        <f>IF(D23=0,0,D77/D23)</f>
        <v>5590.9439546270123</v>
      </c>
      <c r="E111" s="744">
        <f>IF(E23=0,0,E77/E23)</f>
        <v>5158.0596138453702</v>
      </c>
    </row>
    <row r="112" spans="1:5" ht="26.1" customHeight="1" x14ac:dyDescent="0.25">
      <c r="A112" s="742">
        <v>5</v>
      </c>
      <c r="B112" s="743" t="s">
        <v>1006</v>
      </c>
      <c r="C112" s="744">
        <f>IF(C29=0,0,C77/C29)</f>
        <v>1030.1104590034799</v>
      </c>
      <c r="D112" s="744">
        <f>IF(D29=0,0,D77/D29)</f>
        <v>913.76489369321428</v>
      </c>
      <c r="E112" s="744">
        <f>IF(E29=0,0,E77/E29)</f>
        <v>842.18506267409236</v>
      </c>
    </row>
    <row r="113" spans="1:7" ht="25.5" customHeight="1" x14ac:dyDescent="0.25">
      <c r="A113" s="742">
        <v>6</v>
      </c>
      <c r="B113" s="743" t="s">
        <v>1007</v>
      </c>
      <c r="C113" s="744">
        <f>IF(C30=0,0,C77/C30)</f>
        <v>4746.0332952049348</v>
      </c>
      <c r="D113" s="744">
        <f>IF(D30=0,0,D77/D30)</f>
        <v>4253.1011082382001</v>
      </c>
      <c r="E113" s="744">
        <f>IF(E30=0,0,E77/E30)</f>
        <v>3916.9034159094981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883168747</v>
      </c>
      <c r="D12" s="76">
        <v>857736452</v>
      </c>
      <c r="E12" s="76">
        <f t="shared" ref="E12:E21" si="0">D12-C12</f>
        <v>-25432295</v>
      </c>
      <c r="F12" s="77">
        <f t="shared" ref="F12:F21" si="1">IF(C12=0,0,E12/C12)</f>
        <v>-2.8796642868523063E-2</v>
      </c>
    </row>
    <row r="13" spans="1:8" ht="23.1" customHeight="1" x14ac:dyDescent="0.2">
      <c r="A13" s="74">
        <v>2</v>
      </c>
      <c r="B13" s="75" t="s">
        <v>72</v>
      </c>
      <c r="C13" s="76">
        <v>642559111</v>
      </c>
      <c r="D13" s="76">
        <v>629266595</v>
      </c>
      <c r="E13" s="76">
        <f t="shared" si="0"/>
        <v>-13292516</v>
      </c>
      <c r="F13" s="77">
        <f t="shared" si="1"/>
        <v>-2.0686837634771318E-2</v>
      </c>
    </row>
    <row r="14" spans="1:8" ht="23.1" customHeight="1" x14ac:dyDescent="0.2">
      <c r="A14" s="74">
        <v>3</v>
      </c>
      <c r="B14" s="75" t="s">
        <v>73</v>
      </c>
      <c r="C14" s="76">
        <v>1541200</v>
      </c>
      <c r="D14" s="76">
        <v>1700345</v>
      </c>
      <c r="E14" s="76">
        <f t="shared" si="0"/>
        <v>159145</v>
      </c>
      <c r="F14" s="77">
        <f t="shared" si="1"/>
        <v>0.10326044640539839</v>
      </c>
    </row>
    <row r="15" spans="1:8" ht="23.1" customHeight="1" x14ac:dyDescent="0.2">
      <c r="A15" s="74">
        <v>4</v>
      </c>
      <c r="B15" s="75" t="s">
        <v>74</v>
      </c>
      <c r="C15" s="76">
        <v>8287736</v>
      </c>
      <c r="D15" s="76">
        <v>8287736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230780700</v>
      </c>
      <c r="D16" s="79">
        <f>D12-D13-D14-D15</f>
        <v>218481776</v>
      </c>
      <c r="E16" s="79">
        <f t="shared" si="0"/>
        <v>-12298924</v>
      </c>
      <c r="F16" s="80">
        <f t="shared" si="1"/>
        <v>-5.3292688686705607E-2</v>
      </c>
    </row>
    <row r="17" spans="1:7" ht="23.1" customHeight="1" x14ac:dyDescent="0.2">
      <c r="A17" s="74">
        <v>5</v>
      </c>
      <c r="B17" s="75" t="s">
        <v>76</v>
      </c>
      <c r="C17" s="76">
        <v>0</v>
      </c>
      <c r="D17" s="76">
        <v>10783760</v>
      </c>
      <c r="E17" s="76">
        <f t="shared" si="0"/>
        <v>10783760</v>
      </c>
      <c r="F17" s="77">
        <f t="shared" si="1"/>
        <v>0</v>
      </c>
      <c r="G17" s="65"/>
    </row>
    <row r="18" spans="1:7" ht="31.5" customHeight="1" x14ac:dyDescent="0.25">
      <c r="A18" s="71"/>
      <c r="B18" s="81" t="s">
        <v>77</v>
      </c>
      <c r="C18" s="79">
        <f>C16-C17</f>
        <v>230780700</v>
      </c>
      <c r="D18" s="79">
        <f>D16-D17</f>
        <v>207698016</v>
      </c>
      <c r="E18" s="79">
        <f t="shared" si="0"/>
        <v>-23082684</v>
      </c>
      <c r="F18" s="80">
        <f t="shared" si="1"/>
        <v>-0.10001999300634759</v>
      </c>
    </row>
    <row r="19" spans="1:7" ht="23.1" customHeight="1" x14ac:dyDescent="0.2">
      <c r="A19" s="74">
        <v>6</v>
      </c>
      <c r="B19" s="75" t="s">
        <v>78</v>
      </c>
      <c r="C19" s="76">
        <v>5053184</v>
      </c>
      <c r="D19" s="76">
        <v>3615057</v>
      </c>
      <c r="E19" s="76">
        <f t="shared" si="0"/>
        <v>-1438127</v>
      </c>
      <c r="F19" s="77">
        <f t="shared" si="1"/>
        <v>-0.2845981860149957</v>
      </c>
      <c r="G19" s="65"/>
    </row>
    <row r="20" spans="1:7" ht="33" customHeight="1" x14ac:dyDescent="0.2">
      <c r="A20" s="74">
        <v>7</v>
      </c>
      <c r="B20" s="82" t="s">
        <v>79</v>
      </c>
      <c r="C20" s="76">
        <v>5609005</v>
      </c>
      <c r="D20" s="76">
        <v>5419591</v>
      </c>
      <c r="E20" s="76">
        <f t="shared" si="0"/>
        <v>-189414</v>
      </c>
      <c r="F20" s="77">
        <f t="shared" si="1"/>
        <v>-3.3769625807072733E-2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241442889</v>
      </c>
      <c r="D21" s="79">
        <f>SUM(D18:D20)</f>
        <v>216732664</v>
      </c>
      <c r="E21" s="79">
        <f t="shared" si="0"/>
        <v>-24710225</v>
      </c>
      <c r="F21" s="80">
        <f t="shared" si="1"/>
        <v>-0.10234397501762829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88660642</v>
      </c>
      <c r="D24" s="76">
        <v>84495149</v>
      </c>
      <c r="E24" s="76">
        <f t="shared" ref="E24:E33" si="2">D24-C24</f>
        <v>-4165493</v>
      </c>
      <c r="F24" s="77">
        <f t="shared" ref="F24:F33" si="3">IF(C24=0,0,E24/C24)</f>
        <v>-4.6982436693837608E-2</v>
      </c>
    </row>
    <row r="25" spans="1:7" ht="23.1" customHeight="1" x14ac:dyDescent="0.2">
      <c r="A25" s="74">
        <v>2</v>
      </c>
      <c r="B25" s="75" t="s">
        <v>83</v>
      </c>
      <c r="C25" s="76">
        <v>29181525</v>
      </c>
      <c r="D25" s="76">
        <v>25316268</v>
      </c>
      <c r="E25" s="76">
        <f t="shared" si="2"/>
        <v>-3865257</v>
      </c>
      <c r="F25" s="77">
        <f t="shared" si="3"/>
        <v>-0.13245562046534579</v>
      </c>
    </row>
    <row r="26" spans="1:7" ht="23.1" customHeight="1" x14ac:dyDescent="0.2">
      <c r="A26" s="74">
        <v>3</v>
      </c>
      <c r="B26" s="75" t="s">
        <v>84</v>
      </c>
      <c r="C26" s="76">
        <v>13693336</v>
      </c>
      <c r="D26" s="76">
        <v>13811065</v>
      </c>
      <c r="E26" s="76">
        <f t="shared" si="2"/>
        <v>117729</v>
      </c>
      <c r="F26" s="77">
        <f t="shared" si="3"/>
        <v>8.5975397083661725E-3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30397886</v>
      </c>
      <c r="D27" s="76">
        <v>28927060</v>
      </c>
      <c r="E27" s="76">
        <f t="shared" si="2"/>
        <v>-1470826</v>
      </c>
      <c r="F27" s="77">
        <f t="shared" si="3"/>
        <v>-4.8385798933517944E-2</v>
      </c>
    </row>
    <row r="28" spans="1:7" ht="23.1" customHeight="1" x14ac:dyDescent="0.2">
      <c r="A28" s="74">
        <v>5</v>
      </c>
      <c r="B28" s="75" t="s">
        <v>86</v>
      </c>
      <c r="C28" s="76">
        <v>8136336</v>
      </c>
      <c r="D28" s="76">
        <v>7612970</v>
      </c>
      <c r="E28" s="76">
        <f t="shared" si="2"/>
        <v>-523366</v>
      </c>
      <c r="F28" s="77">
        <f t="shared" si="3"/>
        <v>-6.4324531336955607E-2</v>
      </c>
    </row>
    <row r="29" spans="1:7" ht="23.1" customHeight="1" x14ac:dyDescent="0.2">
      <c r="A29" s="74">
        <v>6</v>
      </c>
      <c r="B29" s="75" t="s">
        <v>87</v>
      </c>
      <c r="C29" s="76">
        <v>10435502</v>
      </c>
      <c r="D29" s="76">
        <v>0</v>
      </c>
      <c r="E29" s="76">
        <f t="shared" si="2"/>
        <v>-10435502</v>
      </c>
      <c r="F29" s="77">
        <f t="shared" si="3"/>
        <v>-1</v>
      </c>
    </row>
    <row r="30" spans="1:7" ht="23.1" customHeight="1" x14ac:dyDescent="0.2">
      <c r="A30" s="74">
        <v>7</v>
      </c>
      <c r="B30" s="75" t="s">
        <v>88</v>
      </c>
      <c r="C30" s="76">
        <v>993606</v>
      </c>
      <c r="D30" s="76">
        <v>1073353</v>
      </c>
      <c r="E30" s="76">
        <f t="shared" si="2"/>
        <v>79747</v>
      </c>
      <c r="F30" s="77">
        <f t="shared" si="3"/>
        <v>8.0260183614028091E-2</v>
      </c>
    </row>
    <row r="31" spans="1:7" ht="23.1" customHeight="1" x14ac:dyDescent="0.2">
      <c r="A31" s="74">
        <v>8</v>
      </c>
      <c r="B31" s="75" t="s">
        <v>89</v>
      </c>
      <c r="C31" s="76">
        <v>5798556</v>
      </c>
      <c r="D31" s="76">
        <v>6377401</v>
      </c>
      <c r="E31" s="76">
        <f t="shared" si="2"/>
        <v>578845</v>
      </c>
      <c r="F31" s="77">
        <f t="shared" si="3"/>
        <v>9.9825715229791695E-2</v>
      </c>
    </row>
    <row r="32" spans="1:7" ht="23.1" customHeight="1" x14ac:dyDescent="0.2">
      <c r="A32" s="74">
        <v>9</v>
      </c>
      <c r="B32" s="75" t="s">
        <v>90</v>
      </c>
      <c r="C32" s="76">
        <v>44361586</v>
      </c>
      <c r="D32" s="76">
        <v>45557563</v>
      </c>
      <c r="E32" s="76">
        <f t="shared" si="2"/>
        <v>1195977</v>
      </c>
      <c r="F32" s="77">
        <f t="shared" si="3"/>
        <v>2.6959743955051563E-2</v>
      </c>
    </row>
    <row r="33" spans="1:6" ht="23.1" customHeight="1" x14ac:dyDescent="0.25">
      <c r="A33" s="71"/>
      <c r="B33" s="78" t="s">
        <v>91</v>
      </c>
      <c r="C33" s="79">
        <f>SUM(C24:C32)</f>
        <v>231658975</v>
      </c>
      <c r="D33" s="79">
        <f>SUM(D24:D32)</f>
        <v>213170829</v>
      </c>
      <c r="E33" s="79">
        <f t="shared" si="2"/>
        <v>-18488146</v>
      </c>
      <c r="F33" s="80">
        <f t="shared" si="3"/>
        <v>-7.9807596489624461E-2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9783914</v>
      </c>
      <c r="D35" s="79">
        <f>+D21-D33</f>
        <v>3561835</v>
      </c>
      <c r="E35" s="79">
        <f>D35-C35</f>
        <v>-6222079</v>
      </c>
      <c r="F35" s="80">
        <f>IF(C35=0,0,E35/C35)</f>
        <v>-0.63594988672222585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1594603</v>
      </c>
      <c r="D38" s="76">
        <v>1722250</v>
      </c>
      <c r="E38" s="76">
        <f>D38-C38</f>
        <v>127647</v>
      </c>
      <c r="F38" s="77">
        <f>IF(C38=0,0,E38/C38)</f>
        <v>8.0049391604054429E-2</v>
      </c>
    </row>
    <row r="39" spans="1:6" ht="23.1" customHeight="1" x14ac:dyDescent="0.2">
      <c r="A39" s="85">
        <v>2</v>
      </c>
      <c r="B39" s="75" t="s">
        <v>95</v>
      </c>
      <c r="C39" s="76">
        <v>83577</v>
      </c>
      <c r="D39" s="76">
        <v>217275</v>
      </c>
      <c r="E39" s="76">
        <f>D39-C39</f>
        <v>133698</v>
      </c>
      <c r="F39" s="77">
        <f>IF(C39=0,0,E39/C39)</f>
        <v>1.5996984816396855</v>
      </c>
    </row>
    <row r="40" spans="1:6" ht="23.1" customHeight="1" x14ac:dyDescent="0.2">
      <c r="A40" s="85">
        <v>3</v>
      </c>
      <c r="B40" s="75" t="s">
        <v>96</v>
      </c>
      <c r="C40" s="76">
        <v>0</v>
      </c>
      <c r="D40" s="76">
        <v>0</v>
      </c>
      <c r="E40" s="76">
        <f>D40-C40</f>
        <v>0</v>
      </c>
      <c r="F40" s="77">
        <f>IF(C40=0,0,E40/C40)</f>
        <v>0</v>
      </c>
    </row>
    <row r="41" spans="1:6" ht="23.1" customHeight="1" x14ac:dyDescent="0.25">
      <c r="A41" s="83"/>
      <c r="B41" s="78" t="s">
        <v>97</v>
      </c>
      <c r="C41" s="79">
        <f>SUM(C38:C40)</f>
        <v>1678180</v>
      </c>
      <c r="D41" s="79">
        <f>SUM(D38:D40)</f>
        <v>1939525</v>
      </c>
      <c r="E41" s="79">
        <f>D41-C41</f>
        <v>261345</v>
      </c>
      <c r="F41" s="80">
        <f>IF(C41=0,0,E41/C41)</f>
        <v>0.15573120880954366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11462094</v>
      </c>
      <c r="D43" s="79">
        <f>D35+D41</f>
        <v>5501360</v>
      </c>
      <c r="E43" s="79">
        <f>D43-C43</f>
        <v>-5960734</v>
      </c>
      <c r="F43" s="80">
        <f>IF(C43=0,0,E43/C43)</f>
        <v>-0.52003883409087381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357661</v>
      </c>
      <c r="D46" s="76">
        <v>233353</v>
      </c>
      <c r="E46" s="76">
        <f>D46-C46</f>
        <v>-124308</v>
      </c>
      <c r="F46" s="77">
        <f>IF(C46=0,0,E46/C46)</f>
        <v>-0.3475581626176743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357661</v>
      </c>
      <c r="D48" s="79">
        <f>SUM(D46:D47)</f>
        <v>233353</v>
      </c>
      <c r="E48" s="79">
        <f>D48-C48</f>
        <v>-124308</v>
      </c>
      <c r="F48" s="80">
        <f>IF(C48=0,0,E48/C48)</f>
        <v>-0.3475581626176743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11819755</v>
      </c>
      <c r="D50" s="79">
        <f>D43+D48</f>
        <v>5734713</v>
      </c>
      <c r="E50" s="79">
        <f>D50-C50</f>
        <v>-6085042</v>
      </c>
      <c r="F50" s="80">
        <f>IF(C50=0,0,E50/C50)</f>
        <v>-0.51481963881654058</v>
      </c>
    </row>
    <row r="51" spans="1:6" ht="23.1" customHeight="1" x14ac:dyDescent="0.2">
      <c r="A51" s="85"/>
      <c r="B51" s="75" t="s">
        <v>104</v>
      </c>
      <c r="C51" s="76">
        <v>797275</v>
      </c>
      <c r="D51" s="76">
        <v>949860</v>
      </c>
      <c r="E51" s="76">
        <f>D51-C51</f>
        <v>152585</v>
      </c>
      <c r="F51" s="77">
        <f>IF(C51=0,0,E51/C51)</f>
        <v>0.19138314885077296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sqref="A1:F1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236607451</v>
      </c>
      <c r="D14" s="113">
        <v>207169501</v>
      </c>
      <c r="E14" s="113">
        <f t="shared" ref="E14:E25" si="0">D14-C14</f>
        <v>-29437950</v>
      </c>
      <c r="F14" s="114">
        <f t="shared" ref="F14:F25" si="1">IF(C14=0,0,E14/C14)</f>
        <v>-0.1244168341934422</v>
      </c>
    </row>
    <row r="15" spans="1:6" x14ac:dyDescent="0.2">
      <c r="A15" s="115">
        <v>2</v>
      </c>
      <c r="B15" s="116" t="s">
        <v>114</v>
      </c>
      <c r="C15" s="113">
        <v>52704380</v>
      </c>
      <c r="D15" s="113">
        <v>53038322</v>
      </c>
      <c r="E15" s="113">
        <f t="shared" si="0"/>
        <v>333942</v>
      </c>
      <c r="F15" s="114">
        <f t="shared" si="1"/>
        <v>6.3361337330977048E-3</v>
      </c>
    </row>
    <row r="16" spans="1:6" x14ac:dyDescent="0.2">
      <c r="A16" s="115">
        <v>3</v>
      </c>
      <c r="B16" s="116" t="s">
        <v>115</v>
      </c>
      <c r="C16" s="113">
        <v>88544254</v>
      </c>
      <c r="D16" s="113">
        <v>93439698</v>
      </c>
      <c r="E16" s="113">
        <f t="shared" si="0"/>
        <v>4895444</v>
      </c>
      <c r="F16" s="114">
        <f t="shared" si="1"/>
        <v>5.5288104861101431E-2</v>
      </c>
    </row>
    <row r="17" spans="1:6" x14ac:dyDescent="0.2">
      <c r="A17" s="115">
        <v>4</v>
      </c>
      <c r="B17" s="116" t="s">
        <v>116</v>
      </c>
      <c r="C17" s="113">
        <v>6206693</v>
      </c>
      <c r="D17" s="113">
        <v>0</v>
      </c>
      <c r="E17" s="113">
        <f t="shared" si="0"/>
        <v>-6206693</v>
      </c>
      <c r="F17" s="114">
        <f t="shared" si="1"/>
        <v>-1</v>
      </c>
    </row>
    <row r="18" spans="1:6" x14ac:dyDescent="0.2">
      <c r="A18" s="115">
        <v>5</v>
      </c>
      <c r="B18" s="116" t="s">
        <v>117</v>
      </c>
      <c r="C18" s="113">
        <v>364207</v>
      </c>
      <c r="D18" s="113">
        <v>631575</v>
      </c>
      <c r="E18" s="113">
        <f t="shared" si="0"/>
        <v>267368</v>
      </c>
      <c r="F18" s="114">
        <f t="shared" si="1"/>
        <v>0.73410999788581766</v>
      </c>
    </row>
    <row r="19" spans="1:6" x14ac:dyDescent="0.2">
      <c r="A19" s="115">
        <v>6</v>
      </c>
      <c r="B19" s="116" t="s">
        <v>118</v>
      </c>
      <c r="C19" s="113">
        <v>56908828</v>
      </c>
      <c r="D19" s="113">
        <v>51385867</v>
      </c>
      <c r="E19" s="113">
        <f t="shared" si="0"/>
        <v>-5522961</v>
      </c>
      <c r="F19" s="114">
        <f t="shared" si="1"/>
        <v>-9.7049283812346301E-2</v>
      </c>
    </row>
    <row r="20" spans="1:6" x14ac:dyDescent="0.2">
      <c r="A20" s="115">
        <v>7</v>
      </c>
      <c r="B20" s="116" t="s">
        <v>119</v>
      </c>
      <c r="C20" s="113">
        <v>66350114</v>
      </c>
      <c r="D20" s="113">
        <v>60227628</v>
      </c>
      <c r="E20" s="113">
        <f t="shared" si="0"/>
        <v>-6122486</v>
      </c>
      <c r="F20" s="114">
        <f t="shared" si="1"/>
        <v>-9.2275440551616836E-2</v>
      </c>
    </row>
    <row r="21" spans="1:6" x14ac:dyDescent="0.2">
      <c r="A21" s="115">
        <v>8</v>
      </c>
      <c r="B21" s="116" t="s">
        <v>120</v>
      </c>
      <c r="C21" s="113">
        <v>6379040</v>
      </c>
      <c r="D21" s="113">
        <v>6202393</v>
      </c>
      <c r="E21" s="113">
        <f t="shared" si="0"/>
        <v>-176647</v>
      </c>
      <c r="F21" s="114">
        <f t="shared" si="1"/>
        <v>-2.7691784343725701E-2</v>
      </c>
    </row>
    <row r="22" spans="1:6" x14ac:dyDescent="0.2">
      <c r="A22" s="115">
        <v>9</v>
      </c>
      <c r="B22" s="116" t="s">
        <v>121</v>
      </c>
      <c r="C22" s="113">
        <v>4003438</v>
      </c>
      <c r="D22" s="113">
        <v>5215657</v>
      </c>
      <c r="E22" s="113">
        <f t="shared" si="0"/>
        <v>1212219</v>
      </c>
      <c r="F22" s="114">
        <f t="shared" si="1"/>
        <v>0.30279449812885822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518068405</v>
      </c>
      <c r="D25" s="119">
        <f>SUM(D14:D24)</f>
        <v>477310641</v>
      </c>
      <c r="E25" s="119">
        <f t="shared" si="0"/>
        <v>-40757764</v>
      </c>
      <c r="F25" s="120">
        <f t="shared" si="1"/>
        <v>-7.8672552903510884E-2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99285445</v>
      </c>
      <c r="D27" s="113">
        <v>105954216</v>
      </c>
      <c r="E27" s="113">
        <f t="shared" ref="E27:E38" si="2">D27-C27</f>
        <v>6668771</v>
      </c>
      <c r="F27" s="114">
        <f t="shared" ref="F27:F38" si="3">IF(C27=0,0,E27/C27)</f>
        <v>6.7167659871998353E-2</v>
      </c>
    </row>
    <row r="28" spans="1:6" x14ac:dyDescent="0.2">
      <c r="A28" s="115">
        <v>2</v>
      </c>
      <c r="B28" s="116" t="s">
        <v>114</v>
      </c>
      <c r="C28" s="113">
        <v>26152255</v>
      </c>
      <c r="D28" s="113">
        <v>32953473</v>
      </c>
      <c r="E28" s="113">
        <f t="shared" si="2"/>
        <v>6801218</v>
      </c>
      <c r="F28" s="114">
        <f t="shared" si="3"/>
        <v>0.26006239232525075</v>
      </c>
    </row>
    <row r="29" spans="1:6" x14ac:dyDescent="0.2">
      <c r="A29" s="115">
        <v>3</v>
      </c>
      <c r="B29" s="116" t="s">
        <v>115</v>
      </c>
      <c r="C29" s="113">
        <v>68188765</v>
      </c>
      <c r="D29" s="113">
        <v>77531079</v>
      </c>
      <c r="E29" s="113">
        <f t="shared" si="2"/>
        <v>9342314</v>
      </c>
      <c r="F29" s="114">
        <f t="shared" si="3"/>
        <v>0.13700664618284258</v>
      </c>
    </row>
    <row r="30" spans="1:6" x14ac:dyDescent="0.2">
      <c r="A30" s="115">
        <v>4</v>
      </c>
      <c r="B30" s="116" t="s">
        <v>116</v>
      </c>
      <c r="C30" s="113">
        <v>9084323</v>
      </c>
      <c r="D30" s="113">
        <v>0</v>
      </c>
      <c r="E30" s="113">
        <f t="shared" si="2"/>
        <v>-9084323</v>
      </c>
      <c r="F30" s="114">
        <f t="shared" si="3"/>
        <v>-1</v>
      </c>
    </row>
    <row r="31" spans="1:6" x14ac:dyDescent="0.2">
      <c r="A31" s="115">
        <v>5</v>
      </c>
      <c r="B31" s="116" t="s">
        <v>117</v>
      </c>
      <c r="C31" s="113">
        <v>698300</v>
      </c>
      <c r="D31" s="113">
        <v>761500</v>
      </c>
      <c r="E31" s="113">
        <f t="shared" si="2"/>
        <v>63200</v>
      </c>
      <c r="F31" s="114">
        <f t="shared" si="3"/>
        <v>9.0505513389660605E-2</v>
      </c>
    </row>
    <row r="32" spans="1:6" x14ac:dyDescent="0.2">
      <c r="A32" s="115">
        <v>6</v>
      </c>
      <c r="B32" s="116" t="s">
        <v>118</v>
      </c>
      <c r="C32" s="113">
        <v>62304688</v>
      </c>
      <c r="D32" s="113">
        <v>60952717</v>
      </c>
      <c r="E32" s="113">
        <f t="shared" si="2"/>
        <v>-1351971</v>
      </c>
      <c r="F32" s="114">
        <f t="shared" si="3"/>
        <v>-2.1699346283541296E-2</v>
      </c>
    </row>
    <row r="33" spans="1:6" x14ac:dyDescent="0.2">
      <c r="A33" s="115">
        <v>7</v>
      </c>
      <c r="B33" s="116" t="s">
        <v>119</v>
      </c>
      <c r="C33" s="113">
        <v>82998782</v>
      </c>
      <c r="D33" s="113">
        <v>85065382</v>
      </c>
      <c r="E33" s="113">
        <f t="shared" si="2"/>
        <v>2066600</v>
      </c>
      <c r="F33" s="114">
        <f t="shared" si="3"/>
        <v>2.4899160568404487E-2</v>
      </c>
    </row>
    <row r="34" spans="1:6" x14ac:dyDescent="0.2">
      <c r="A34" s="115">
        <v>8</v>
      </c>
      <c r="B34" s="116" t="s">
        <v>120</v>
      </c>
      <c r="C34" s="113">
        <v>8323998</v>
      </c>
      <c r="D34" s="113">
        <v>8251461</v>
      </c>
      <c r="E34" s="113">
        <f t="shared" si="2"/>
        <v>-72537</v>
      </c>
      <c r="F34" s="114">
        <f t="shared" si="3"/>
        <v>-8.7142019976458422E-3</v>
      </c>
    </row>
    <row r="35" spans="1:6" x14ac:dyDescent="0.2">
      <c r="A35" s="115">
        <v>9</v>
      </c>
      <c r="B35" s="116" t="s">
        <v>121</v>
      </c>
      <c r="C35" s="113">
        <v>8063786</v>
      </c>
      <c r="D35" s="113">
        <v>8955982</v>
      </c>
      <c r="E35" s="113">
        <f t="shared" si="2"/>
        <v>892196</v>
      </c>
      <c r="F35" s="114">
        <f t="shared" si="3"/>
        <v>0.1106423211131843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365100342</v>
      </c>
      <c r="D38" s="119">
        <f>SUM(D27:D37)</f>
        <v>380425810</v>
      </c>
      <c r="E38" s="119">
        <f t="shared" si="2"/>
        <v>15325468</v>
      </c>
      <c r="F38" s="120">
        <f t="shared" si="3"/>
        <v>4.1976043944653443E-2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335892896</v>
      </c>
      <c r="D41" s="119">
        <f t="shared" si="4"/>
        <v>313123717</v>
      </c>
      <c r="E41" s="123">
        <f t="shared" ref="E41:E52" si="5">D41-C41</f>
        <v>-22769179</v>
      </c>
      <c r="F41" s="124">
        <f t="shared" ref="F41:F52" si="6">IF(C41=0,0,E41/C41)</f>
        <v>-6.7787021610602918E-2</v>
      </c>
    </row>
    <row r="42" spans="1:6" ht="15.75" x14ac:dyDescent="0.25">
      <c r="A42" s="121">
        <v>2</v>
      </c>
      <c r="B42" s="122" t="s">
        <v>114</v>
      </c>
      <c r="C42" s="119">
        <f t="shared" si="4"/>
        <v>78856635</v>
      </c>
      <c r="D42" s="119">
        <f t="shared" si="4"/>
        <v>85991795</v>
      </c>
      <c r="E42" s="123">
        <f t="shared" si="5"/>
        <v>7135160</v>
      </c>
      <c r="F42" s="124">
        <f t="shared" si="6"/>
        <v>9.0482684177431619E-2</v>
      </c>
    </row>
    <row r="43" spans="1:6" ht="15.75" x14ac:dyDescent="0.25">
      <c r="A43" s="121">
        <v>3</v>
      </c>
      <c r="B43" s="122" t="s">
        <v>115</v>
      </c>
      <c r="C43" s="119">
        <f t="shared" si="4"/>
        <v>156733019</v>
      </c>
      <c r="D43" s="119">
        <f t="shared" si="4"/>
        <v>170970777</v>
      </c>
      <c r="E43" s="123">
        <f t="shared" si="5"/>
        <v>14237758</v>
      </c>
      <c r="F43" s="124">
        <f t="shared" si="6"/>
        <v>9.0840832970875141E-2</v>
      </c>
    </row>
    <row r="44" spans="1:6" ht="15.75" x14ac:dyDescent="0.25">
      <c r="A44" s="121">
        <v>4</v>
      </c>
      <c r="B44" s="122" t="s">
        <v>116</v>
      </c>
      <c r="C44" s="119">
        <f t="shared" si="4"/>
        <v>15291016</v>
      </c>
      <c r="D44" s="119">
        <f t="shared" si="4"/>
        <v>0</v>
      </c>
      <c r="E44" s="123">
        <f t="shared" si="5"/>
        <v>-15291016</v>
      </c>
      <c r="F44" s="124">
        <f t="shared" si="6"/>
        <v>-1</v>
      </c>
    </row>
    <row r="45" spans="1:6" ht="15.75" x14ac:dyDescent="0.25">
      <c r="A45" s="121">
        <v>5</v>
      </c>
      <c r="B45" s="122" t="s">
        <v>117</v>
      </c>
      <c r="C45" s="119">
        <f t="shared" si="4"/>
        <v>1062507</v>
      </c>
      <c r="D45" s="119">
        <f t="shared" si="4"/>
        <v>1393075</v>
      </c>
      <c r="E45" s="123">
        <f t="shared" si="5"/>
        <v>330568</v>
      </c>
      <c r="F45" s="124">
        <f t="shared" si="6"/>
        <v>0.31112077379254915</v>
      </c>
    </row>
    <row r="46" spans="1:6" ht="15.75" x14ac:dyDescent="0.25">
      <c r="A46" s="121">
        <v>6</v>
      </c>
      <c r="B46" s="122" t="s">
        <v>118</v>
      </c>
      <c r="C46" s="119">
        <f t="shared" si="4"/>
        <v>119213516</v>
      </c>
      <c r="D46" s="119">
        <f t="shared" si="4"/>
        <v>112338584</v>
      </c>
      <c r="E46" s="123">
        <f t="shared" si="5"/>
        <v>-6874932</v>
      </c>
      <c r="F46" s="124">
        <f t="shared" si="6"/>
        <v>-5.7669064974142696E-2</v>
      </c>
    </row>
    <row r="47" spans="1:6" ht="15.75" x14ac:dyDescent="0.25">
      <c r="A47" s="121">
        <v>7</v>
      </c>
      <c r="B47" s="122" t="s">
        <v>119</v>
      </c>
      <c r="C47" s="119">
        <f t="shared" si="4"/>
        <v>149348896</v>
      </c>
      <c r="D47" s="119">
        <f t="shared" si="4"/>
        <v>145293010</v>
      </c>
      <c r="E47" s="123">
        <f t="shared" si="5"/>
        <v>-4055886</v>
      </c>
      <c r="F47" s="124">
        <f t="shared" si="6"/>
        <v>-2.7157120732917907E-2</v>
      </c>
    </row>
    <row r="48" spans="1:6" ht="15.75" x14ac:dyDescent="0.25">
      <c r="A48" s="121">
        <v>8</v>
      </c>
      <c r="B48" s="122" t="s">
        <v>120</v>
      </c>
      <c r="C48" s="119">
        <f t="shared" si="4"/>
        <v>14703038</v>
      </c>
      <c r="D48" s="119">
        <f t="shared" si="4"/>
        <v>14453854</v>
      </c>
      <c r="E48" s="123">
        <f t="shared" si="5"/>
        <v>-249184</v>
      </c>
      <c r="F48" s="124">
        <f t="shared" si="6"/>
        <v>-1.6947789973745561E-2</v>
      </c>
    </row>
    <row r="49" spans="1:6" ht="15.75" x14ac:dyDescent="0.25">
      <c r="A49" s="121">
        <v>9</v>
      </c>
      <c r="B49" s="122" t="s">
        <v>121</v>
      </c>
      <c r="C49" s="119">
        <f t="shared" si="4"/>
        <v>12067224</v>
      </c>
      <c r="D49" s="119">
        <f t="shared" si="4"/>
        <v>14171639</v>
      </c>
      <c r="E49" s="123">
        <f t="shared" si="5"/>
        <v>2104415</v>
      </c>
      <c r="F49" s="124">
        <f t="shared" si="6"/>
        <v>0.17439097840563828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883168747</v>
      </c>
      <c r="D52" s="128">
        <f>SUM(D41:D51)</f>
        <v>857736451</v>
      </c>
      <c r="E52" s="127">
        <f t="shared" si="5"/>
        <v>-25432296</v>
      </c>
      <c r="F52" s="129">
        <f t="shared" si="6"/>
        <v>-2.8796644000809508E-2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62428316</v>
      </c>
      <c r="D57" s="113">
        <v>47512963</v>
      </c>
      <c r="E57" s="113">
        <f t="shared" ref="E57:E68" si="7">D57-C57</f>
        <v>-14915353</v>
      </c>
      <c r="F57" s="114">
        <f t="shared" ref="F57:F68" si="8">IF(C57=0,0,E57/C57)</f>
        <v>-0.23891967548828325</v>
      </c>
    </row>
    <row r="58" spans="1:6" x14ac:dyDescent="0.2">
      <c r="A58" s="115">
        <v>2</v>
      </c>
      <c r="B58" s="116" t="s">
        <v>114</v>
      </c>
      <c r="C58" s="113">
        <v>14585813</v>
      </c>
      <c r="D58" s="113">
        <v>11041803</v>
      </c>
      <c r="E58" s="113">
        <f t="shared" si="7"/>
        <v>-3544010</v>
      </c>
      <c r="F58" s="114">
        <f t="shared" si="8"/>
        <v>-0.24297651423338554</v>
      </c>
    </row>
    <row r="59" spans="1:6" x14ac:dyDescent="0.2">
      <c r="A59" s="115">
        <v>3</v>
      </c>
      <c r="B59" s="116" t="s">
        <v>115</v>
      </c>
      <c r="C59" s="113">
        <v>12385764</v>
      </c>
      <c r="D59" s="113">
        <v>20475986</v>
      </c>
      <c r="E59" s="113">
        <f t="shared" si="7"/>
        <v>8090222</v>
      </c>
      <c r="F59" s="114">
        <f t="shared" si="8"/>
        <v>0.65318715906422886</v>
      </c>
    </row>
    <row r="60" spans="1:6" x14ac:dyDescent="0.2">
      <c r="A60" s="115">
        <v>4</v>
      </c>
      <c r="B60" s="116" t="s">
        <v>116</v>
      </c>
      <c r="C60" s="113">
        <v>990252</v>
      </c>
      <c r="D60" s="113">
        <v>0</v>
      </c>
      <c r="E60" s="113">
        <f t="shared" si="7"/>
        <v>-990252</v>
      </c>
      <c r="F60" s="114">
        <f t="shared" si="8"/>
        <v>-1</v>
      </c>
    </row>
    <row r="61" spans="1:6" x14ac:dyDescent="0.2">
      <c r="A61" s="115">
        <v>5</v>
      </c>
      <c r="B61" s="116" t="s">
        <v>117</v>
      </c>
      <c r="C61" s="113">
        <v>72435</v>
      </c>
      <c r="D61" s="113">
        <v>117410</v>
      </c>
      <c r="E61" s="113">
        <f t="shared" si="7"/>
        <v>44975</v>
      </c>
      <c r="F61" s="114">
        <f t="shared" si="8"/>
        <v>0.6209014978946642</v>
      </c>
    </row>
    <row r="62" spans="1:6" x14ac:dyDescent="0.2">
      <c r="A62" s="115">
        <v>6</v>
      </c>
      <c r="B62" s="116" t="s">
        <v>118</v>
      </c>
      <c r="C62" s="113">
        <v>20714014</v>
      </c>
      <c r="D62" s="113">
        <v>22061812</v>
      </c>
      <c r="E62" s="113">
        <f t="shared" si="7"/>
        <v>1347798</v>
      </c>
      <c r="F62" s="114">
        <f t="shared" si="8"/>
        <v>6.5066963843898151E-2</v>
      </c>
    </row>
    <row r="63" spans="1:6" x14ac:dyDescent="0.2">
      <c r="A63" s="115">
        <v>7</v>
      </c>
      <c r="B63" s="116" t="s">
        <v>119</v>
      </c>
      <c r="C63" s="113">
        <v>23053511</v>
      </c>
      <c r="D63" s="113">
        <v>20531335</v>
      </c>
      <c r="E63" s="113">
        <f t="shared" si="7"/>
        <v>-2522176</v>
      </c>
      <c r="F63" s="114">
        <f t="shared" si="8"/>
        <v>-0.10940528755034321</v>
      </c>
    </row>
    <row r="64" spans="1:6" x14ac:dyDescent="0.2">
      <c r="A64" s="115">
        <v>8</v>
      </c>
      <c r="B64" s="116" t="s">
        <v>120</v>
      </c>
      <c r="C64" s="113">
        <v>4576466</v>
      </c>
      <c r="D64" s="113">
        <v>4189740</v>
      </c>
      <c r="E64" s="113">
        <f t="shared" si="7"/>
        <v>-386726</v>
      </c>
      <c r="F64" s="114">
        <f t="shared" si="8"/>
        <v>-8.450319526027289E-2</v>
      </c>
    </row>
    <row r="65" spans="1:6" x14ac:dyDescent="0.2">
      <c r="A65" s="115">
        <v>9</v>
      </c>
      <c r="B65" s="116" t="s">
        <v>121</v>
      </c>
      <c r="C65" s="113">
        <v>107871</v>
      </c>
      <c r="D65" s="113">
        <v>743233</v>
      </c>
      <c r="E65" s="113">
        <f t="shared" si="7"/>
        <v>635362</v>
      </c>
      <c r="F65" s="114">
        <f t="shared" si="8"/>
        <v>5.8900167793012024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138914442</v>
      </c>
      <c r="D68" s="119">
        <f>SUM(D57:D67)</f>
        <v>126674282</v>
      </c>
      <c r="E68" s="119">
        <f t="shared" si="7"/>
        <v>-12240160</v>
      </c>
      <c r="F68" s="120">
        <f t="shared" si="8"/>
        <v>-8.8112940769686135E-2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20266750</v>
      </c>
      <c r="D70" s="113">
        <v>16828547</v>
      </c>
      <c r="E70" s="113">
        <f t="shared" ref="E70:E81" si="9">D70-C70</f>
        <v>-3438203</v>
      </c>
      <c r="F70" s="114">
        <f t="shared" ref="F70:F81" si="10">IF(C70=0,0,E70/C70)</f>
        <v>-0.1696474767784672</v>
      </c>
    </row>
    <row r="71" spans="1:6" x14ac:dyDescent="0.2">
      <c r="A71" s="115">
        <v>2</v>
      </c>
      <c r="B71" s="116" t="s">
        <v>114</v>
      </c>
      <c r="C71" s="113">
        <v>4599459</v>
      </c>
      <c r="D71" s="113">
        <v>5136739</v>
      </c>
      <c r="E71" s="113">
        <f t="shared" si="9"/>
        <v>537280</v>
      </c>
      <c r="F71" s="114">
        <f t="shared" si="10"/>
        <v>0.11681373831139706</v>
      </c>
    </row>
    <row r="72" spans="1:6" x14ac:dyDescent="0.2">
      <c r="A72" s="115">
        <v>3</v>
      </c>
      <c r="B72" s="116" t="s">
        <v>115</v>
      </c>
      <c r="C72" s="113">
        <v>10336576</v>
      </c>
      <c r="D72" s="113">
        <v>15109418</v>
      </c>
      <c r="E72" s="113">
        <f t="shared" si="9"/>
        <v>4772842</v>
      </c>
      <c r="F72" s="114">
        <f t="shared" si="10"/>
        <v>0.46174303753970369</v>
      </c>
    </row>
    <row r="73" spans="1:6" x14ac:dyDescent="0.2">
      <c r="A73" s="115">
        <v>4</v>
      </c>
      <c r="B73" s="116" t="s">
        <v>116</v>
      </c>
      <c r="C73" s="113">
        <v>1526372</v>
      </c>
      <c r="D73" s="113">
        <v>0</v>
      </c>
      <c r="E73" s="113">
        <f t="shared" si="9"/>
        <v>-1526372</v>
      </c>
      <c r="F73" s="114">
        <f t="shared" si="10"/>
        <v>-1</v>
      </c>
    </row>
    <row r="74" spans="1:6" x14ac:dyDescent="0.2">
      <c r="A74" s="115">
        <v>5</v>
      </c>
      <c r="B74" s="116" t="s">
        <v>117</v>
      </c>
      <c r="C74" s="113">
        <v>130360</v>
      </c>
      <c r="D74" s="113">
        <v>145903</v>
      </c>
      <c r="E74" s="113">
        <f t="shared" si="9"/>
        <v>15543</v>
      </c>
      <c r="F74" s="114">
        <f t="shared" si="10"/>
        <v>0.11923135931267261</v>
      </c>
    </row>
    <row r="75" spans="1:6" x14ac:dyDescent="0.2">
      <c r="A75" s="115">
        <v>6</v>
      </c>
      <c r="B75" s="116" t="s">
        <v>118</v>
      </c>
      <c r="C75" s="113">
        <v>18170193</v>
      </c>
      <c r="D75" s="113">
        <v>18206431</v>
      </c>
      <c r="E75" s="113">
        <f t="shared" si="9"/>
        <v>36238</v>
      </c>
      <c r="F75" s="114">
        <f t="shared" si="10"/>
        <v>1.9943651671724127E-3</v>
      </c>
    </row>
    <row r="76" spans="1:6" x14ac:dyDescent="0.2">
      <c r="A76" s="115">
        <v>7</v>
      </c>
      <c r="B76" s="116" t="s">
        <v>119</v>
      </c>
      <c r="C76" s="113">
        <v>18198942</v>
      </c>
      <c r="D76" s="113">
        <v>17399673</v>
      </c>
      <c r="E76" s="113">
        <f t="shared" si="9"/>
        <v>-799269</v>
      </c>
      <c r="F76" s="114">
        <f t="shared" si="10"/>
        <v>-4.3918432181387246E-2</v>
      </c>
    </row>
    <row r="77" spans="1:6" x14ac:dyDescent="0.2">
      <c r="A77" s="115">
        <v>8</v>
      </c>
      <c r="B77" s="116" t="s">
        <v>120</v>
      </c>
      <c r="C77" s="113">
        <v>6426387</v>
      </c>
      <c r="D77" s="113">
        <v>5913821</v>
      </c>
      <c r="E77" s="113">
        <f t="shared" si="9"/>
        <v>-512566</v>
      </c>
      <c r="F77" s="114">
        <f t="shared" si="10"/>
        <v>-7.9759591197977958E-2</v>
      </c>
    </row>
    <row r="78" spans="1:6" x14ac:dyDescent="0.2">
      <c r="A78" s="115">
        <v>9</v>
      </c>
      <c r="B78" s="116" t="s">
        <v>121</v>
      </c>
      <c r="C78" s="113">
        <v>496209</v>
      </c>
      <c r="D78" s="113">
        <v>1608517</v>
      </c>
      <c r="E78" s="113">
        <f t="shared" si="9"/>
        <v>1112308</v>
      </c>
      <c r="F78" s="114">
        <f t="shared" si="10"/>
        <v>2.2416119014366931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80151248</v>
      </c>
      <c r="D81" s="119">
        <f>SUM(D70:D80)</f>
        <v>80349049</v>
      </c>
      <c r="E81" s="119">
        <f t="shared" si="9"/>
        <v>197801</v>
      </c>
      <c r="F81" s="120">
        <f t="shared" si="10"/>
        <v>2.4678467888609792E-3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82695066</v>
      </c>
      <c r="D84" s="119">
        <f t="shared" si="11"/>
        <v>64341510</v>
      </c>
      <c r="E84" s="119">
        <f t="shared" ref="E84:E95" si="12">D84-C84</f>
        <v>-18353556</v>
      </c>
      <c r="F84" s="120">
        <f t="shared" ref="F84:F95" si="13">IF(C84=0,0,E84/C84)</f>
        <v>-0.22194257635636933</v>
      </c>
    </row>
    <row r="85" spans="1:6" ht="15.75" x14ac:dyDescent="0.25">
      <c r="A85" s="130">
        <v>2</v>
      </c>
      <c r="B85" s="122" t="s">
        <v>114</v>
      </c>
      <c r="C85" s="119">
        <f t="shared" si="11"/>
        <v>19185272</v>
      </c>
      <c r="D85" s="119">
        <f t="shared" si="11"/>
        <v>16178542</v>
      </c>
      <c r="E85" s="119">
        <f t="shared" si="12"/>
        <v>-3006730</v>
      </c>
      <c r="F85" s="120">
        <f t="shared" si="13"/>
        <v>-0.15672073869997777</v>
      </c>
    </row>
    <row r="86" spans="1:6" ht="15.75" x14ac:dyDescent="0.25">
      <c r="A86" s="130">
        <v>3</v>
      </c>
      <c r="B86" s="122" t="s">
        <v>115</v>
      </c>
      <c r="C86" s="119">
        <f t="shared" si="11"/>
        <v>22722340</v>
      </c>
      <c r="D86" s="119">
        <f t="shared" si="11"/>
        <v>35585404</v>
      </c>
      <c r="E86" s="119">
        <f t="shared" si="12"/>
        <v>12863064</v>
      </c>
      <c r="F86" s="120">
        <f t="shared" si="13"/>
        <v>0.56609768184086673</v>
      </c>
    </row>
    <row r="87" spans="1:6" ht="15.75" x14ac:dyDescent="0.25">
      <c r="A87" s="130">
        <v>4</v>
      </c>
      <c r="B87" s="122" t="s">
        <v>116</v>
      </c>
      <c r="C87" s="119">
        <f t="shared" si="11"/>
        <v>2516624</v>
      </c>
      <c r="D87" s="119">
        <f t="shared" si="11"/>
        <v>0</v>
      </c>
      <c r="E87" s="119">
        <f t="shared" si="12"/>
        <v>-2516624</v>
      </c>
      <c r="F87" s="120">
        <f t="shared" si="13"/>
        <v>-1</v>
      </c>
    </row>
    <row r="88" spans="1:6" ht="15.75" x14ac:dyDescent="0.25">
      <c r="A88" s="130">
        <v>5</v>
      </c>
      <c r="B88" s="122" t="s">
        <v>117</v>
      </c>
      <c r="C88" s="119">
        <f t="shared" si="11"/>
        <v>202795</v>
      </c>
      <c r="D88" s="119">
        <f t="shared" si="11"/>
        <v>263313</v>
      </c>
      <c r="E88" s="119">
        <f t="shared" si="12"/>
        <v>60518</v>
      </c>
      <c r="F88" s="120">
        <f t="shared" si="13"/>
        <v>0.29841958628171306</v>
      </c>
    </row>
    <row r="89" spans="1:6" ht="15.75" x14ac:dyDescent="0.25">
      <c r="A89" s="130">
        <v>6</v>
      </c>
      <c r="B89" s="122" t="s">
        <v>118</v>
      </c>
      <c r="C89" s="119">
        <f t="shared" si="11"/>
        <v>38884207</v>
      </c>
      <c r="D89" s="119">
        <f t="shared" si="11"/>
        <v>40268243</v>
      </c>
      <c r="E89" s="119">
        <f t="shared" si="12"/>
        <v>1384036</v>
      </c>
      <c r="F89" s="120">
        <f t="shared" si="13"/>
        <v>3.5593782329160009E-2</v>
      </c>
    </row>
    <row r="90" spans="1:6" ht="15.75" x14ac:dyDescent="0.25">
      <c r="A90" s="130">
        <v>7</v>
      </c>
      <c r="B90" s="122" t="s">
        <v>119</v>
      </c>
      <c r="C90" s="119">
        <f t="shared" si="11"/>
        <v>41252453</v>
      </c>
      <c r="D90" s="119">
        <f t="shared" si="11"/>
        <v>37931008</v>
      </c>
      <c r="E90" s="119">
        <f t="shared" si="12"/>
        <v>-3321445</v>
      </c>
      <c r="F90" s="120">
        <f t="shared" si="13"/>
        <v>-8.0515090823811128E-2</v>
      </c>
    </row>
    <row r="91" spans="1:6" ht="15.75" x14ac:dyDescent="0.25">
      <c r="A91" s="130">
        <v>8</v>
      </c>
      <c r="B91" s="122" t="s">
        <v>120</v>
      </c>
      <c r="C91" s="119">
        <f t="shared" si="11"/>
        <v>11002853</v>
      </c>
      <c r="D91" s="119">
        <f t="shared" si="11"/>
        <v>10103561</v>
      </c>
      <c r="E91" s="119">
        <f t="shared" si="12"/>
        <v>-899292</v>
      </c>
      <c r="F91" s="120">
        <f t="shared" si="13"/>
        <v>-8.1732619712360052E-2</v>
      </c>
    </row>
    <row r="92" spans="1:6" ht="15.75" x14ac:dyDescent="0.25">
      <c r="A92" s="130">
        <v>9</v>
      </c>
      <c r="B92" s="122" t="s">
        <v>121</v>
      </c>
      <c r="C92" s="119">
        <f t="shared" si="11"/>
        <v>604080</v>
      </c>
      <c r="D92" s="119">
        <f t="shared" si="11"/>
        <v>2351750</v>
      </c>
      <c r="E92" s="119">
        <f t="shared" si="12"/>
        <v>1747670</v>
      </c>
      <c r="F92" s="120">
        <f t="shared" si="13"/>
        <v>2.8931101840815785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219065690</v>
      </c>
      <c r="D95" s="128">
        <f>SUM(D84:D94)</f>
        <v>207023331</v>
      </c>
      <c r="E95" s="128">
        <f t="shared" si="12"/>
        <v>-12042359</v>
      </c>
      <c r="F95" s="129">
        <f t="shared" si="13"/>
        <v>-5.4971451713867199E-2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4785</v>
      </c>
      <c r="D100" s="133">
        <v>4249</v>
      </c>
      <c r="E100" s="133">
        <f t="shared" ref="E100:E111" si="14">D100-C100</f>
        <v>-536</v>
      </c>
      <c r="F100" s="114">
        <f t="shared" ref="F100:F111" si="15">IF(C100=0,0,E100/C100)</f>
        <v>-0.11201671891327064</v>
      </c>
    </row>
    <row r="101" spans="1:6" x14ac:dyDescent="0.2">
      <c r="A101" s="115">
        <v>2</v>
      </c>
      <c r="B101" s="116" t="s">
        <v>114</v>
      </c>
      <c r="C101" s="133">
        <v>949</v>
      </c>
      <c r="D101" s="133">
        <v>1052</v>
      </c>
      <c r="E101" s="133">
        <f t="shared" si="14"/>
        <v>103</v>
      </c>
      <c r="F101" s="114">
        <f t="shared" si="15"/>
        <v>0.10853530031612224</v>
      </c>
    </row>
    <row r="102" spans="1:6" x14ac:dyDescent="0.2">
      <c r="A102" s="115">
        <v>3</v>
      </c>
      <c r="B102" s="116" t="s">
        <v>115</v>
      </c>
      <c r="C102" s="133">
        <v>2910</v>
      </c>
      <c r="D102" s="133">
        <v>3234</v>
      </c>
      <c r="E102" s="133">
        <f t="shared" si="14"/>
        <v>324</v>
      </c>
      <c r="F102" s="114">
        <f t="shared" si="15"/>
        <v>0.11134020618556702</v>
      </c>
    </row>
    <row r="103" spans="1:6" x14ac:dyDescent="0.2">
      <c r="A103" s="115">
        <v>4</v>
      </c>
      <c r="B103" s="116" t="s">
        <v>116</v>
      </c>
      <c r="C103" s="133">
        <v>300</v>
      </c>
      <c r="D103" s="133">
        <v>0</v>
      </c>
      <c r="E103" s="133">
        <f t="shared" si="14"/>
        <v>-300</v>
      </c>
      <c r="F103" s="114">
        <f t="shared" si="15"/>
        <v>-1</v>
      </c>
    </row>
    <row r="104" spans="1:6" x14ac:dyDescent="0.2">
      <c r="A104" s="115">
        <v>5</v>
      </c>
      <c r="B104" s="116" t="s">
        <v>117</v>
      </c>
      <c r="C104" s="133">
        <v>13</v>
      </c>
      <c r="D104" s="133">
        <v>25</v>
      </c>
      <c r="E104" s="133">
        <f t="shared" si="14"/>
        <v>12</v>
      </c>
      <c r="F104" s="114">
        <f t="shared" si="15"/>
        <v>0.92307692307692313</v>
      </c>
    </row>
    <row r="105" spans="1:6" x14ac:dyDescent="0.2">
      <c r="A105" s="115">
        <v>6</v>
      </c>
      <c r="B105" s="116" t="s">
        <v>118</v>
      </c>
      <c r="C105" s="133">
        <v>1454</v>
      </c>
      <c r="D105" s="133">
        <v>1423</v>
      </c>
      <c r="E105" s="133">
        <f t="shared" si="14"/>
        <v>-31</v>
      </c>
      <c r="F105" s="114">
        <f t="shared" si="15"/>
        <v>-2.1320495185694635E-2</v>
      </c>
    </row>
    <row r="106" spans="1:6" x14ac:dyDescent="0.2">
      <c r="A106" s="115">
        <v>7</v>
      </c>
      <c r="B106" s="116" t="s">
        <v>119</v>
      </c>
      <c r="C106" s="133">
        <v>1749</v>
      </c>
      <c r="D106" s="133">
        <v>1640</v>
      </c>
      <c r="E106" s="133">
        <f t="shared" si="14"/>
        <v>-109</v>
      </c>
      <c r="F106" s="114">
        <f t="shared" si="15"/>
        <v>-6.2321326472269865E-2</v>
      </c>
    </row>
    <row r="107" spans="1:6" x14ac:dyDescent="0.2">
      <c r="A107" s="115">
        <v>8</v>
      </c>
      <c r="B107" s="116" t="s">
        <v>120</v>
      </c>
      <c r="C107" s="133">
        <v>88</v>
      </c>
      <c r="D107" s="133">
        <v>80</v>
      </c>
      <c r="E107" s="133">
        <f t="shared" si="14"/>
        <v>-8</v>
      </c>
      <c r="F107" s="114">
        <f t="shared" si="15"/>
        <v>-9.0909090909090912E-2</v>
      </c>
    </row>
    <row r="108" spans="1:6" x14ac:dyDescent="0.2">
      <c r="A108" s="115">
        <v>9</v>
      </c>
      <c r="B108" s="116" t="s">
        <v>121</v>
      </c>
      <c r="C108" s="133">
        <v>116</v>
      </c>
      <c r="D108" s="133">
        <v>144</v>
      </c>
      <c r="E108" s="133">
        <f t="shared" si="14"/>
        <v>28</v>
      </c>
      <c r="F108" s="114">
        <f t="shared" si="15"/>
        <v>0.2413793103448276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12364</v>
      </c>
      <c r="D111" s="134">
        <f>SUM(D100:D110)</f>
        <v>11847</v>
      </c>
      <c r="E111" s="134">
        <f t="shared" si="14"/>
        <v>-517</v>
      </c>
      <c r="F111" s="120">
        <f t="shared" si="15"/>
        <v>-4.1814946619217079E-2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26219</v>
      </c>
      <c r="D113" s="133">
        <v>23497</v>
      </c>
      <c r="E113" s="133">
        <f t="shared" ref="E113:E124" si="16">D113-C113</f>
        <v>-2722</v>
      </c>
      <c r="F113" s="114">
        <f t="shared" ref="F113:F124" si="17">IF(C113=0,0,E113/C113)</f>
        <v>-0.10381784202296045</v>
      </c>
    </row>
    <row r="114" spans="1:6" x14ac:dyDescent="0.2">
      <c r="A114" s="115">
        <v>2</v>
      </c>
      <c r="B114" s="116" t="s">
        <v>114</v>
      </c>
      <c r="C114" s="133">
        <v>5082</v>
      </c>
      <c r="D114" s="133">
        <v>5503</v>
      </c>
      <c r="E114" s="133">
        <f t="shared" si="16"/>
        <v>421</v>
      </c>
      <c r="F114" s="114">
        <f t="shared" si="17"/>
        <v>8.2841401023219199E-2</v>
      </c>
    </row>
    <row r="115" spans="1:6" x14ac:dyDescent="0.2">
      <c r="A115" s="115">
        <v>3</v>
      </c>
      <c r="B115" s="116" t="s">
        <v>115</v>
      </c>
      <c r="C115" s="133">
        <v>12961</v>
      </c>
      <c r="D115" s="133">
        <v>13868</v>
      </c>
      <c r="E115" s="133">
        <f t="shared" si="16"/>
        <v>907</v>
      </c>
      <c r="F115" s="114">
        <f t="shared" si="17"/>
        <v>6.9979168274052928E-2</v>
      </c>
    </row>
    <row r="116" spans="1:6" x14ac:dyDescent="0.2">
      <c r="A116" s="115">
        <v>4</v>
      </c>
      <c r="B116" s="116" t="s">
        <v>116</v>
      </c>
      <c r="C116" s="133">
        <v>977</v>
      </c>
      <c r="D116" s="133">
        <v>0</v>
      </c>
      <c r="E116" s="133">
        <f t="shared" si="16"/>
        <v>-977</v>
      </c>
      <c r="F116" s="114">
        <f t="shared" si="17"/>
        <v>-1</v>
      </c>
    </row>
    <row r="117" spans="1:6" x14ac:dyDescent="0.2">
      <c r="A117" s="115">
        <v>5</v>
      </c>
      <c r="B117" s="116" t="s">
        <v>117</v>
      </c>
      <c r="C117" s="133">
        <v>34</v>
      </c>
      <c r="D117" s="133">
        <v>83</v>
      </c>
      <c r="E117" s="133">
        <f t="shared" si="16"/>
        <v>49</v>
      </c>
      <c r="F117" s="114">
        <f t="shared" si="17"/>
        <v>1.4411764705882353</v>
      </c>
    </row>
    <row r="118" spans="1:6" x14ac:dyDescent="0.2">
      <c r="A118" s="115">
        <v>6</v>
      </c>
      <c r="B118" s="116" t="s">
        <v>118</v>
      </c>
      <c r="C118" s="133">
        <v>5519</v>
      </c>
      <c r="D118" s="133">
        <v>5566</v>
      </c>
      <c r="E118" s="133">
        <f t="shared" si="16"/>
        <v>47</v>
      </c>
      <c r="F118" s="114">
        <f t="shared" si="17"/>
        <v>8.5160355136800151E-3</v>
      </c>
    </row>
    <row r="119" spans="1:6" x14ac:dyDescent="0.2">
      <c r="A119" s="115">
        <v>7</v>
      </c>
      <c r="B119" s="116" t="s">
        <v>119</v>
      </c>
      <c r="C119" s="133">
        <v>6092</v>
      </c>
      <c r="D119" s="133">
        <v>5773</v>
      </c>
      <c r="E119" s="133">
        <f t="shared" si="16"/>
        <v>-319</v>
      </c>
      <c r="F119" s="114">
        <f t="shared" si="17"/>
        <v>-5.236375574523966E-2</v>
      </c>
    </row>
    <row r="120" spans="1:6" x14ac:dyDescent="0.2">
      <c r="A120" s="115">
        <v>8</v>
      </c>
      <c r="B120" s="116" t="s">
        <v>120</v>
      </c>
      <c r="C120" s="133">
        <v>258</v>
      </c>
      <c r="D120" s="133">
        <v>202</v>
      </c>
      <c r="E120" s="133">
        <f t="shared" si="16"/>
        <v>-56</v>
      </c>
      <c r="F120" s="114">
        <f t="shared" si="17"/>
        <v>-0.21705426356589147</v>
      </c>
    </row>
    <row r="121" spans="1:6" x14ac:dyDescent="0.2">
      <c r="A121" s="115">
        <v>9</v>
      </c>
      <c r="B121" s="116" t="s">
        <v>121</v>
      </c>
      <c r="C121" s="133">
        <v>406</v>
      </c>
      <c r="D121" s="133">
        <v>607</v>
      </c>
      <c r="E121" s="133">
        <f t="shared" si="16"/>
        <v>201</v>
      </c>
      <c r="F121" s="114">
        <f t="shared" si="17"/>
        <v>0.49507389162561577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57548</v>
      </c>
      <c r="D124" s="134">
        <f>SUM(D113:D123)</f>
        <v>55099</v>
      </c>
      <c r="E124" s="134">
        <f t="shared" si="16"/>
        <v>-2449</v>
      </c>
      <c r="F124" s="120">
        <f t="shared" si="17"/>
        <v>-4.2555779523180647E-2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64490</v>
      </c>
      <c r="D126" s="133">
        <v>63395</v>
      </c>
      <c r="E126" s="133">
        <f t="shared" ref="E126:E137" si="18">D126-C126</f>
        <v>-1095</v>
      </c>
      <c r="F126" s="114">
        <f t="shared" ref="F126:F137" si="19">IF(C126=0,0,E126/C126)</f>
        <v>-1.6979376647542253E-2</v>
      </c>
    </row>
    <row r="127" spans="1:6" x14ac:dyDescent="0.2">
      <c r="A127" s="115">
        <v>2</v>
      </c>
      <c r="B127" s="116" t="s">
        <v>114</v>
      </c>
      <c r="C127" s="133">
        <v>14692</v>
      </c>
      <c r="D127" s="133">
        <v>16655</v>
      </c>
      <c r="E127" s="133">
        <f t="shared" si="18"/>
        <v>1963</v>
      </c>
      <c r="F127" s="114">
        <f t="shared" si="19"/>
        <v>0.13361012796079499</v>
      </c>
    </row>
    <row r="128" spans="1:6" x14ac:dyDescent="0.2">
      <c r="A128" s="115">
        <v>3</v>
      </c>
      <c r="B128" s="116" t="s">
        <v>115</v>
      </c>
      <c r="C128" s="133">
        <v>46644</v>
      </c>
      <c r="D128" s="133">
        <v>51616</v>
      </c>
      <c r="E128" s="133">
        <f t="shared" si="18"/>
        <v>4972</v>
      </c>
      <c r="F128" s="114">
        <f t="shared" si="19"/>
        <v>0.10659463167824372</v>
      </c>
    </row>
    <row r="129" spans="1:6" x14ac:dyDescent="0.2">
      <c r="A129" s="115">
        <v>4</v>
      </c>
      <c r="B129" s="116" t="s">
        <v>116</v>
      </c>
      <c r="C129" s="133">
        <v>6483</v>
      </c>
      <c r="D129" s="133">
        <v>0</v>
      </c>
      <c r="E129" s="133">
        <f t="shared" si="18"/>
        <v>-6483</v>
      </c>
      <c r="F129" s="114">
        <f t="shared" si="19"/>
        <v>-1</v>
      </c>
    </row>
    <row r="130" spans="1:6" x14ac:dyDescent="0.2">
      <c r="A130" s="115">
        <v>5</v>
      </c>
      <c r="B130" s="116" t="s">
        <v>117</v>
      </c>
      <c r="C130" s="133">
        <v>384</v>
      </c>
      <c r="D130" s="133">
        <v>309</v>
      </c>
      <c r="E130" s="133">
        <f t="shared" si="18"/>
        <v>-75</v>
      </c>
      <c r="F130" s="114">
        <f t="shared" si="19"/>
        <v>-0.1953125</v>
      </c>
    </row>
    <row r="131" spans="1:6" x14ac:dyDescent="0.2">
      <c r="A131" s="115">
        <v>6</v>
      </c>
      <c r="B131" s="116" t="s">
        <v>118</v>
      </c>
      <c r="C131" s="133">
        <v>33053</v>
      </c>
      <c r="D131" s="133">
        <v>30189</v>
      </c>
      <c r="E131" s="133">
        <f t="shared" si="18"/>
        <v>-2864</v>
      </c>
      <c r="F131" s="114">
        <f t="shared" si="19"/>
        <v>-8.6648715699028836E-2</v>
      </c>
    </row>
    <row r="132" spans="1:6" x14ac:dyDescent="0.2">
      <c r="A132" s="115">
        <v>7</v>
      </c>
      <c r="B132" s="116" t="s">
        <v>119</v>
      </c>
      <c r="C132" s="133">
        <v>38388</v>
      </c>
      <c r="D132" s="133">
        <v>36779</v>
      </c>
      <c r="E132" s="133">
        <f t="shared" si="18"/>
        <v>-1609</v>
      </c>
      <c r="F132" s="114">
        <f t="shared" si="19"/>
        <v>-4.1914139835365218E-2</v>
      </c>
    </row>
    <row r="133" spans="1:6" x14ac:dyDescent="0.2">
      <c r="A133" s="115">
        <v>8</v>
      </c>
      <c r="B133" s="116" t="s">
        <v>120</v>
      </c>
      <c r="C133" s="133">
        <v>1607</v>
      </c>
      <c r="D133" s="133">
        <v>1522</v>
      </c>
      <c r="E133" s="133">
        <f t="shared" si="18"/>
        <v>-85</v>
      </c>
      <c r="F133" s="114">
        <f t="shared" si="19"/>
        <v>-5.2893590541381458E-2</v>
      </c>
    </row>
    <row r="134" spans="1:6" x14ac:dyDescent="0.2">
      <c r="A134" s="115">
        <v>9</v>
      </c>
      <c r="B134" s="116" t="s">
        <v>121</v>
      </c>
      <c r="C134" s="133">
        <v>7109</v>
      </c>
      <c r="D134" s="133">
        <v>7541</v>
      </c>
      <c r="E134" s="133">
        <f t="shared" si="18"/>
        <v>432</v>
      </c>
      <c r="F134" s="114">
        <f t="shared" si="19"/>
        <v>6.0768040512027006E-2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212850</v>
      </c>
      <c r="D137" s="134">
        <f>SUM(D126:D136)</f>
        <v>208006</v>
      </c>
      <c r="E137" s="134">
        <f t="shared" si="18"/>
        <v>-4844</v>
      </c>
      <c r="F137" s="120">
        <f t="shared" si="19"/>
        <v>-2.2757810664787409E-2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16960043</v>
      </c>
      <c r="D142" s="113">
        <v>22513007</v>
      </c>
      <c r="E142" s="113">
        <f t="shared" ref="E142:E153" si="20">D142-C142</f>
        <v>5552964</v>
      </c>
      <c r="F142" s="114">
        <f t="shared" ref="F142:F153" si="21">IF(C142=0,0,E142/C142)</f>
        <v>0.32741450006936895</v>
      </c>
    </row>
    <row r="143" spans="1:6" x14ac:dyDescent="0.2">
      <c r="A143" s="115">
        <v>2</v>
      </c>
      <c r="B143" s="116" t="s">
        <v>114</v>
      </c>
      <c r="C143" s="113">
        <v>3854859</v>
      </c>
      <c r="D143" s="113">
        <v>5682021</v>
      </c>
      <c r="E143" s="113">
        <f t="shared" si="20"/>
        <v>1827162</v>
      </c>
      <c r="F143" s="114">
        <f t="shared" si="21"/>
        <v>0.47398932101018482</v>
      </c>
    </row>
    <row r="144" spans="1:6" x14ac:dyDescent="0.2">
      <c r="A144" s="115">
        <v>3</v>
      </c>
      <c r="B144" s="116" t="s">
        <v>115</v>
      </c>
      <c r="C144" s="113">
        <v>29287475</v>
      </c>
      <c r="D144" s="113">
        <v>35426680</v>
      </c>
      <c r="E144" s="113">
        <f t="shared" si="20"/>
        <v>6139205</v>
      </c>
      <c r="F144" s="114">
        <f t="shared" si="21"/>
        <v>0.20961878755338245</v>
      </c>
    </row>
    <row r="145" spans="1:6" x14ac:dyDescent="0.2">
      <c r="A145" s="115">
        <v>4</v>
      </c>
      <c r="B145" s="116" t="s">
        <v>116</v>
      </c>
      <c r="C145" s="113">
        <v>4023462</v>
      </c>
      <c r="D145" s="113">
        <v>0</v>
      </c>
      <c r="E145" s="113">
        <f t="shared" si="20"/>
        <v>-4023462</v>
      </c>
      <c r="F145" s="114">
        <f t="shared" si="21"/>
        <v>-1</v>
      </c>
    </row>
    <row r="146" spans="1:6" x14ac:dyDescent="0.2">
      <c r="A146" s="115">
        <v>5</v>
      </c>
      <c r="B146" s="116" t="s">
        <v>117</v>
      </c>
      <c r="C146" s="113">
        <v>0</v>
      </c>
      <c r="D146" s="113">
        <v>0</v>
      </c>
      <c r="E146" s="113">
        <f t="shared" si="20"/>
        <v>0</v>
      </c>
      <c r="F146" s="114">
        <f t="shared" si="21"/>
        <v>0</v>
      </c>
    </row>
    <row r="147" spans="1:6" x14ac:dyDescent="0.2">
      <c r="A147" s="115">
        <v>6</v>
      </c>
      <c r="B147" s="116" t="s">
        <v>118</v>
      </c>
      <c r="C147" s="113">
        <v>9988402</v>
      </c>
      <c r="D147" s="113">
        <v>11317062</v>
      </c>
      <c r="E147" s="113">
        <f t="shared" si="20"/>
        <v>1328660</v>
      </c>
      <c r="F147" s="114">
        <f t="shared" si="21"/>
        <v>0.13302027691716853</v>
      </c>
    </row>
    <row r="148" spans="1:6" x14ac:dyDescent="0.2">
      <c r="A148" s="115">
        <v>7</v>
      </c>
      <c r="B148" s="116" t="s">
        <v>119</v>
      </c>
      <c r="C148" s="113">
        <v>12059968</v>
      </c>
      <c r="D148" s="113">
        <v>13615761</v>
      </c>
      <c r="E148" s="113">
        <f t="shared" si="20"/>
        <v>1555793</v>
      </c>
      <c r="F148" s="114">
        <f t="shared" si="21"/>
        <v>0.12900473699432702</v>
      </c>
    </row>
    <row r="149" spans="1:6" x14ac:dyDescent="0.2">
      <c r="A149" s="115">
        <v>8</v>
      </c>
      <c r="B149" s="116" t="s">
        <v>120</v>
      </c>
      <c r="C149" s="113">
        <v>928119</v>
      </c>
      <c r="D149" s="113">
        <v>994824</v>
      </c>
      <c r="E149" s="113">
        <f t="shared" si="20"/>
        <v>66705</v>
      </c>
      <c r="F149" s="114">
        <f t="shared" si="21"/>
        <v>7.1871171692423061E-2</v>
      </c>
    </row>
    <row r="150" spans="1:6" x14ac:dyDescent="0.2">
      <c r="A150" s="115">
        <v>9</v>
      </c>
      <c r="B150" s="116" t="s">
        <v>121</v>
      </c>
      <c r="C150" s="113">
        <v>5220212</v>
      </c>
      <c r="D150" s="113">
        <v>6174786</v>
      </c>
      <c r="E150" s="113">
        <f t="shared" si="20"/>
        <v>954574</v>
      </c>
      <c r="F150" s="114">
        <f t="shared" si="21"/>
        <v>0.18286115583045287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82322540</v>
      </c>
      <c r="D153" s="119">
        <f>SUM(D142:D152)</f>
        <v>95724141</v>
      </c>
      <c r="E153" s="119">
        <f t="shared" si="20"/>
        <v>13401601</v>
      </c>
      <c r="F153" s="120">
        <f t="shared" si="21"/>
        <v>0.16279382293111946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3468258</v>
      </c>
      <c r="D155" s="113">
        <v>4129265</v>
      </c>
      <c r="E155" s="113">
        <f t="shared" ref="E155:E166" si="22">D155-C155</f>
        <v>661007</v>
      </c>
      <c r="F155" s="114">
        <f t="shared" ref="F155:F166" si="23">IF(C155=0,0,E155/C155)</f>
        <v>0.19058760911097156</v>
      </c>
    </row>
    <row r="156" spans="1:6" x14ac:dyDescent="0.2">
      <c r="A156" s="115">
        <v>2</v>
      </c>
      <c r="B156" s="116" t="s">
        <v>114</v>
      </c>
      <c r="C156" s="113">
        <v>772246</v>
      </c>
      <c r="D156" s="113">
        <v>1036118</v>
      </c>
      <c r="E156" s="113">
        <f t="shared" si="22"/>
        <v>263872</v>
      </c>
      <c r="F156" s="114">
        <f t="shared" si="23"/>
        <v>0.34169422696912644</v>
      </c>
    </row>
    <row r="157" spans="1:6" x14ac:dyDescent="0.2">
      <c r="A157" s="115">
        <v>3</v>
      </c>
      <c r="B157" s="116" t="s">
        <v>115</v>
      </c>
      <c r="C157" s="113">
        <v>5836521</v>
      </c>
      <c r="D157" s="113">
        <v>7063905</v>
      </c>
      <c r="E157" s="113">
        <f t="shared" si="22"/>
        <v>1227384</v>
      </c>
      <c r="F157" s="114">
        <f t="shared" si="23"/>
        <v>0.21029376918201784</v>
      </c>
    </row>
    <row r="158" spans="1:6" x14ac:dyDescent="0.2">
      <c r="A158" s="115">
        <v>4</v>
      </c>
      <c r="B158" s="116" t="s">
        <v>116</v>
      </c>
      <c r="C158" s="113">
        <v>823846</v>
      </c>
      <c r="D158" s="113">
        <v>0</v>
      </c>
      <c r="E158" s="113">
        <f t="shared" si="22"/>
        <v>-823846</v>
      </c>
      <c r="F158" s="114">
        <f t="shared" si="23"/>
        <v>-1</v>
      </c>
    </row>
    <row r="159" spans="1:6" x14ac:dyDescent="0.2">
      <c r="A159" s="115">
        <v>5</v>
      </c>
      <c r="B159" s="116" t="s">
        <v>117</v>
      </c>
      <c r="C159" s="113">
        <v>0</v>
      </c>
      <c r="D159" s="113">
        <v>0</v>
      </c>
      <c r="E159" s="113">
        <f t="shared" si="22"/>
        <v>0</v>
      </c>
      <c r="F159" s="114">
        <f t="shared" si="23"/>
        <v>0</v>
      </c>
    </row>
    <row r="160" spans="1:6" x14ac:dyDescent="0.2">
      <c r="A160" s="115">
        <v>6</v>
      </c>
      <c r="B160" s="116" t="s">
        <v>118</v>
      </c>
      <c r="C160" s="113">
        <v>3719442</v>
      </c>
      <c r="D160" s="113">
        <v>3812845</v>
      </c>
      <c r="E160" s="113">
        <f t="shared" si="22"/>
        <v>93403</v>
      </c>
      <c r="F160" s="114">
        <f t="shared" si="23"/>
        <v>2.5112100148355587E-2</v>
      </c>
    </row>
    <row r="161" spans="1:6" x14ac:dyDescent="0.2">
      <c r="A161" s="115">
        <v>7</v>
      </c>
      <c r="B161" s="116" t="s">
        <v>119</v>
      </c>
      <c r="C161" s="113">
        <v>4099351</v>
      </c>
      <c r="D161" s="113">
        <v>4261042</v>
      </c>
      <c r="E161" s="113">
        <f t="shared" si="22"/>
        <v>161691</v>
      </c>
      <c r="F161" s="114">
        <f t="shared" si="23"/>
        <v>3.9443072818111942E-2</v>
      </c>
    </row>
    <row r="162" spans="1:6" x14ac:dyDescent="0.2">
      <c r="A162" s="115">
        <v>8</v>
      </c>
      <c r="B162" s="116" t="s">
        <v>120</v>
      </c>
      <c r="C162" s="113">
        <v>613353</v>
      </c>
      <c r="D162" s="113">
        <v>596616</v>
      </c>
      <c r="E162" s="113">
        <f t="shared" si="22"/>
        <v>-16737</v>
      </c>
      <c r="F162" s="114">
        <f t="shared" si="23"/>
        <v>-2.7287711970105308E-2</v>
      </c>
    </row>
    <row r="163" spans="1:6" x14ac:dyDescent="0.2">
      <c r="A163" s="115">
        <v>9</v>
      </c>
      <c r="B163" s="116" t="s">
        <v>121</v>
      </c>
      <c r="C163" s="113">
        <v>221125</v>
      </c>
      <c r="D163" s="113">
        <v>222102</v>
      </c>
      <c r="E163" s="113">
        <f t="shared" si="22"/>
        <v>977</v>
      </c>
      <c r="F163" s="114">
        <f t="shared" si="23"/>
        <v>4.4183154324477104E-3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19554142</v>
      </c>
      <c r="D166" s="119">
        <f>SUM(D155:D165)</f>
        <v>21121893</v>
      </c>
      <c r="E166" s="119">
        <f t="shared" si="22"/>
        <v>1567751</v>
      </c>
      <c r="F166" s="120">
        <f t="shared" si="23"/>
        <v>8.0174880595630327E-2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7745</v>
      </c>
      <c r="D168" s="133">
        <v>7377</v>
      </c>
      <c r="E168" s="133">
        <f t="shared" ref="E168:E179" si="24">D168-C168</f>
        <v>-368</v>
      </c>
      <c r="F168" s="114">
        <f t="shared" ref="F168:F179" si="25">IF(C168=0,0,E168/C168)</f>
        <v>-4.7514525500322792E-2</v>
      </c>
    </row>
    <row r="169" spans="1:6" x14ac:dyDescent="0.2">
      <c r="A169" s="115">
        <v>2</v>
      </c>
      <c r="B169" s="116" t="s">
        <v>114</v>
      </c>
      <c r="C169" s="133">
        <v>1512</v>
      </c>
      <c r="D169" s="133">
        <v>1743</v>
      </c>
      <c r="E169" s="133">
        <f t="shared" si="24"/>
        <v>231</v>
      </c>
      <c r="F169" s="114">
        <f t="shared" si="25"/>
        <v>0.15277777777777779</v>
      </c>
    </row>
    <row r="170" spans="1:6" x14ac:dyDescent="0.2">
      <c r="A170" s="115">
        <v>3</v>
      </c>
      <c r="B170" s="116" t="s">
        <v>115</v>
      </c>
      <c r="C170" s="133">
        <v>17990</v>
      </c>
      <c r="D170" s="133">
        <v>20594</v>
      </c>
      <c r="E170" s="133">
        <f t="shared" si="24"/>
        <v>2604</v>
      </c>
      <c r="F170" s="114">
        <f t="shared" si="25"/>
        <v>0.14474708171206227</v>
      </c>
    </row>
    <row r="171" spans="1:6" x14ac:dyDescent="0.2">
      <c r="A171" s="115">
        <v>4</v>
      </c>
      <c r="B171" s="116" t="s">
        <v>116</v>
      </c>
      <c r="C171" s="133">
        <v>2784</v>
      </c>
      <c r="D171" s="133">
        <v>0</v>
      </c>
      <c r="E171" s="133">
        <f t="shared" si="24"/>
        <v>-2784</v>
      </c>
      <c r="F171" s="114">
        <f t="shared" si="25"/>
        <v>-1</v>
      </c>
    </row>
    <row r="172" spans="1:6" x14ac:dyDescent="0.2">
      <c r="A172" s="115">
        <v>5</v>
      </c>
      <c r="B172" s="116" t="s">
        <v>117</v>
      </c>
      <c r="C172" s="133">
        <v>0</v>
      </c>
      <c r="D172" s="133">
        <v>0</v>
      </c>
      <c r="E172" s="133">
        <f t="shared" si="24"/>
        <v>0</v>
      </c>
      <c r="F172" s="114">
        <f t="shared" si="25"/>
        <v>0</v>
      </c>
    </row>
    <row r="173" spans="1:6" x14ac:dyDescent="0.2">
      <c r="A173" s="115">
        <v>6</v>
      </c>
      <c r="B173" s="116" t="s">
        <v>118</v>
      </c>
      <c r="C173" s="133">
        <v>5690</v>
      </c>
      <c r="D173" s="133">
        <v>6105</v>
      </c>
      <c r="E173" s="133">
        <f t="shared" si="24"/>
        <v>415</v>
      </c>
      <c r="F173" s="114">
        <f t="shared" si="25"/>
        <v>7.2934973637961337E-2</v>
      </c>
    </row>
    <row r="174" spans="1:6" x14ac:dyDescent="0.2">
      <c r="A174" s="115">
        <v>7</v>
      </c>
      <c r="B174" s="116" t="s">
        <v>119</v>
      </c>
      <c r="C174" s="133">
        <v>6633</v>
      </c>
      <c r="D174" s="133">
        <v>5212</v>
      </c>
      <c r="E174" s="133">
        <f t="shared" si="24"/>
        <v>-1421</v>
      </c>
      <c r="F174" s="114">
        <f t="shared" si="25"/>
        <v>-0.21423187094828886</v>
      </c>
    </row>
    <row r="175" spans="1:6" x14ac:dyDescent="0.2">
      <c r="A175" s="115">
        <v>8</v>
      </c>
      <c r="B175" s="116" t="s">
        <v>120</v>
      </c>
      <c r="C175" s="133">
        <v>849</v>
      </c>
      <c r="D175" s="133">
        <v>719</v>
      </c>
      <c r="E175" s="133">
        <f t="shared" si="24"/>
        <v>-130</v>
      </c>
      <c r="F175" s="114">
        <f t="shared" si="25"/>
        <v>-0.15312131919905772</v>
      </c>
    </row>
    <row r="176" spans="1:6" x14ac:dyDescent="0.2">
      <c r="A176" s="115">
        <v>9</v>
      </c>
      <c r="B176" s="116" t="s">
        <v>121</v>
      </c>
      <c r="C176" s="133">
        <v>4474</v>
      </c>
      <c r="D176" s="133">
        <v>4770</v>
      </c>
      <c r="E176" s="133">
        <f t="shared" si="24"/>
        <v>296</v>
      </c>
      <c r="F176" s="114">
        <f t="shared" si="25"/>
        <v>6.6160035762181491E-2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47677</v>
      </c>
      <c r="D179" s="134">
        <f>SUM(D168:D178)</f>
        <v>46520</v>
      </c>
      <c r="E179" s="134">
        <f t="shared" si="24"/>
        <v>-1157</v>
      </c>
      <c r="F179" s="120">
        <f t="shared" si="25"/>
        <v>-2.4267466493277681E-2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zoomScale="75" workbookViewId="0">
      <selection sqref="A1:F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32281974</v>
      </c>
      <c r="D15" s="157">
        <v>31551418</v>
      </c>
      <c r="E15" s="157">
        <f>+D15-C15</f>
        <v>-730556</v>
      </c>
      <c r="F15" s="161">
        <f>IF(C15=0,0,E15/C15)</f>
        <v>-2.2630462437024452E-2</v>
      </c>
    </row>
    <row r="16" spans="1:6" ht="15" customHeight="1" x14ac:dyDescent="0.2">
      <c r="A16" s="147">
        <v>2</v>
      </c>
      <c r="B16" s="160" t="s">
        <v>157</v>
      </c>
      <c r="C16" s="157">
        <v>5970611</v>
      </c>
      <c r="D16" s="157">
        <v>5383409</v>
      </c>
      <c r="E16" s="157">
        <f>+D16-C16</f>
        <v>-587202</v>
      </c>
      <c r="F16" s="161">
        <f>IF(C16=0,0,E16/C16)</f>
        <v>-9.8348728463468815E-2</v>
      </c>
    </row>
    <row r="17" spans="1:6" ht="15" customHeight="1" x14ac:dyDescent="0.2">
      <c r="A17" s="147">
        <v>3</v>
      </c>
      <c r="B17" s="160" t="s">
        <v>158</v>
      </c>
      <c r="C17" s="157">
        <v>50408057</v>
      </c>
      <c r="D17" s="157">
        <v>47560322</v>
      </c>
      <c r="E17" s="157">
        <f>+D17-C17</f>
        <v>-2847735</v>
      </c>
      <c r="F17" s="161">
        <f>IF(C17=0,0,E17/C17)</f>
        <v>-5.6493647434179027E-2</v>
      </c>
    </row>
    <row r="18" spans="1:6" ht="15.75" customHeight="1" x14ac:dyDescent="0.25">
      <c r="A18" s="147"/>
      <c r="B18" s="162" t="s">
        <v>159</v>
      </c>
      <c r="C18" s="158">
        <f>SUM(C15:C17)</f>
        <v>88660642</v>
      </c>
      <c r="D18" s="158">
        <f>SUM(D15:D17)</f>
        <v>84495149</v>
      </c>
      <c r="E18" s="158">
        <f>+D18-C18</f>
        <v>-4165493</v>
      </c>
      <c r="F18" s="159">
        <f>IF(C18=0,0,E18/C18)</f>
        <v>-4.6982436693837608E-2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10625202</v>
      </c>
      <c r="D21" s="157">
        <v>9453373</v>
      </c>
      <c r="E21" s="157">
        <f>+D21-C21</f>
        <v>-1171829</v>
      </c>
      <c r="F21" s="161">
        <f>IF(C21=0,0,E21/C21)</f>
        <v>-0.1102876914716539</v>
      </c>
    </row>
    <row r="22" spans="1:6" ht="15" customHeight="1" x14ac:dyDescent="0.2">
      <c r="A22" s="147">
        <v>2</v>
      </c>
      <c r="B22" s="160" t="s">
        <v>162</v>
      </c>
      <c r="C22" s="157">
        <v>1965151</v>
      </c>
      <c r="D22" s="157">
        <v>1612966</v>
      </c>
      <c r="E22" s="157">
        <f>+D22-C22</f>
        <v>-352185</v>
      </c>
      <c r="F22" s="161">
        <f>IF(C22=0,0,E22/C22)</f>
        <v>-0.17921523587754834</v>
      </c>
    </row>
    <row r="23" spans="1:6" ht="15" customHeight="1" x14ac:dyDescent="0.2">
      <c r="A23" s="147">
        <v>3</v>
      </c>
      <c r="B23" s="160" t="s">
        <v>163</v>
      </c>
      <c r="C23" s="157">
        <v>16591172</v>
      </c>
      <c r="D23" s="157">
        <v>14249929</v>
      </c>
      <c r="E23" s="157">
        <f>+D23-C23</f>
        <v>-2341243</v>
      </c>
      <c r="F23" s="161">
        <f>IF(C23=0,0,E23/C23)</f>
        <v>-0.14111378026820529</v>
      </c>
    </row>
    <row r="24" spans="1:6" ht="15.75" customHeight="1" x14ac:dyDescent="0.25">
      <c r="A24" s="147"/>
      <c r="B24" s="162" t="s">
        <v>164</v>
      </c>
      <c r="C24" s="158">
        <f>SUM(C21:C23)</f>
        <v>29181525</v>
      </c>
      <c r="D24" s="158">
        <f>SUM(D21:D23)</f>
        <v>25316268</v>
      </c>
      <c r="E24" s="158">
        <f>+D24-C24</f>
        <v>-3865257</v>
      </c>
      <c r="F24" s="159">
        <f>IF(C24=0,0,E24/C24)</f>
        <v>-0.13245562046534579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175318</v>
      </c>
      <c r="D27" s="157">
        <v>990298</v>
      </c>
      <c r="E27" s="157">
        <f>+D27-C27</f>
        <v>814980</v>
      </c>
      <c r="F27" s="161">
        <f>IF(C27=0,0,E27/C27)</f>
        <v>4.6485814348783352</v>
      </c>
    </row>
    <row r="28" spans="1:6" ht="15" customHeight="1" x14ac:dyDescent="0.2">
      <c r="A28" s="147">
        <v>2</v>
      </c>
      <c r="B28" s="160" t="s">
        <v>167</v>
      </c>
      <c r="C28" s="157">
        <v>13693336</v>
      </c>
      <c r="D28" s="157">
        <v>13811065</v>
      </c>
      <c r="E28" s="157">
        <f>+D28-C28</f>
        <v>117729</v>
      </c>
      <c r="F28" s="161">
        <f>IF(C28=0,0,E28/C28)</f>
        <v>8.5975397083661725E-3</v>
      </c>
    </row>
    <row r="29" spans="1:6" ht="15" customHeight="1" x14ac:dyDescent="0.2">
      <c r="A29" s="147">
        <v>3</v>
      </c>
      <c r="B29" s="160" t="s">
        <v>168</v>
      </c>
      <c r="C29" s="157">
        <v>1464471</v>
      </c>
      <c r="D29" s="157">
        <v>836348</v>
      </c>
      <c r="E29" s="157">
        <f>+D29-C29</f>
        <v>-628123</v>
      </c>
      <c r="F29" s="161">
        <f>IF(C29=0,0,E29/C29)</f>
        <v>-0.42890777625504362</v>
      </c>
    </row>
    <row r="30" spans="1:6" ht="15.75" customHeight="1" x14ac:dyDescent="0.25">
      <c r="A30" s="147"/>
      <c r="B30" s="162" t="s">
        <v>169</v>
      </c>
      <c r="C30" s="158">
        <f>SUM(C27:C29)</f>
        <v>15333125</v>
      </c>
      <c r="D30" s="158">
        <f>SUM(D27:D29)</f>
        <v>15637711</v>
      </c>
      <c r="E30" s="158">
        <f>+D30-C30</f>
        <v>304586</v>
      </c>
      <c r="F30" s="159">
        <f>IF(C30=0,0,E30/C30)</f>
        <v>1.9864574246932703E-2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23848984</v>
      </c>
      <c r="D33" s="157">
        <v>22645029</v>
      </c>
      <c r="E33" s="157">
        <f>+D33-C33</f>
        <v>-1203955</v>
      </c>
      <c r="F33" s="161">
        <f>IF(C33=0,0,E33/C33)</f>
        <v>-5.0482444031997337E-2</v>
      </c>
    </row>
    <row r="34" spans="1:6" ht="15" customHeight="1" x14ac:dyDescent="0.2">
      <c r="A34" s="147">
        <v>2</v>
      </c>
      <c r="B34" s="160" t="s">
        <v>173</v>
      </c>
      <c r="C34" s="157">
        <v>6548902</v>
      </c>
      <c r="D34" s="157">
        <v>6282031</v>
      </c>
      <c r="E34" s="157">
        <f>+D34-C34</f>
        <v>-266871</v>
      </c>
      <c r="F34" s="161">
        <f>IF(C34=0,0,E34/C34)</f>
        <v>-4.0750495273864228E-2</v>
      </c>
    </row>
    <row r="35" spans="1:6" ht="15.75" customHeight="1" x14ac:dyDescent="0.25">
      <c r="A35" s="147"/>
      <c r="B35" s="162" t="s">
        <v>174</v>
      </c>
      <c r="C35" s="158">
        <f>SUM(C33:C34)</f>
        <v>30397886</v>
      </c>
      <c r="D35" s="158">
        <f>SUM(D33:D34)</f>
        <v>28927060</v>
      </c>
      <c r="E35" s="158">
        <f>+D35-C35</f>
        <v>-1470826</v>
      </c>
      <c r="F35" s="159">
        <f>IF(C35=0,0,E35/C35)</f>
        <v>-4.8385798933517944E-2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2653953</v>
      </c>
      <c r="D38" s="157">
        <v>2254906</v>
      </c>
      <c r="E38" s="157">
        <f>+D38-C38</f>
        <v>-399047</v>
      </c>
      <c r="F38" s="161">
        <f>IF(C38=0,0,E38/C38)</f>
        <v>-0.15035948262836607</v>
      </c>
    </row>
    <row r="39" spans="1:6" ht="15" customHeight="1" x14ac:dyDescent="0.2">
      <c r="A39" s="147">
        <v>2</v>
      </c>
      <c r="B39" s="160" t="s">
        <v>178</v>
      </c>
      <c r="C39" s="157">
        <v>5374386</v>
      </c>
      <c r="D39" s="157">
        <v>5419838</v>
      </c>
      <c r="E39" s="157">
        <f>+D39-C39</f>
        <v>45452</v>
      </c>
      <c r="F39" s="161">
        <f>IF(C39=0,0,E39/C39)</f>
        <v>8.4571521286338578E-3</v>
      </c>
    </row>
    <row r="40" spans="1:6" ht="15" customHeight="1" x14ac:dyDescent="0.2">
      <c r="A40" s="147">
        <v>3</v>
      </c>
      <c r="B40" s="160" t="s">
        <v>179</v>
      </c>
      <c r="C40" s="157">
        <v>107997</v>
      </c>
      <c r="D40" s="157">
        <v>-61774</v>
      </c>
      <c r="E40" s="157">
        <f>+D40-C40</f>
        <v>-169771</v>
      </c>
      <c r="F40" s="161">
        <f>IF(C40=0,0,E40/C40)</f>
        <v>-1.5719973702973231</v>
      </c>
    </row>
    <row r="41" spans="1:6" ht="15.75" customHeight="1" x14ac:dyDescent="0.25">
      <c r="A41" s="147"/>
      <c r="B41" s="162" t="s">
        <v>180</v>
      </c>
      <c r="C41" s="158">
        <f>SUM(C38:C40)</f>
        <v>8136336</v>
      </c>
      <c r="D41" s="158">
        <f>SUM(D38:D40)</f>
        <v>7612970</v>
      </c>
      <c r="E41" s="158">
        <f>+D41-C41</f>
        <v>-523366</v>
      </c>
      <c r="F41" s="159">
        <f>IF(C41=0,0,E41/C41)</f>
        <v>-6.4324531336955607E-2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10435502</v>
      </c>
      <c r="D44" s="157">
        <v>0</v>
      </c>
      <c r="E44" s="157">
        <f>+D44-C44</f>
        <v>-10435502</v>
      </c>
      <c r="F44" s="161">
        <f>IF(C44=0,0,E44/C44)</f>
        <v>-1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993606</v>
      </c>
      <c r="D47" s="157">
        <v>1073353</v>
      </c>
      <c r="E47" s="157">
        <f>+D47-C47</f>
        <v>79747</v>
      </c>
      <c r="F47" s="161">
        <f>IF(C47=0,0,E47/C47)</f>
        <v>8.0260183614028091E-2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5798556</v>
      </c>
      <c r="D50" s="157">
        <v>6377401</v>
      </c>
      <c r="E50" s="157">
        <f>+D50-C50</f>
        <v>578845</v>
      </c>
      <c r="F50" s="161">
        <f>IF(C50=0,0,E50/C50)</f>
        <v>9.9825715229791695E-2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208757</v>
      </c>
      <c r="D53" s="157">
        <v>158552</v>
      </c>
      <c r="E53" s="157">
        <f t="shared" ref="E53:E59" si="0">+D53-C53</f>
        <v>-50205</v>
      </c>
      <c r="F53" s="161">
        <f t="shared" ref="F53:F59" si="1">IF(C53=0,0,E53/C53)</f>
        <v>-0.24049492951134574</v>
      </c>
    </row>
    <row r="54" spans="1:6" ht="15" customHeight="1" x14ac:dyDescent="0.2">
      <c r="A54" s="147">
        <v>2</v>
      </c>
      <c r="B54" s="160" t="s">
        <v>189</v>
      </c>
      <c r="C54" s="157">
        <v>1084745</v>
      </c>
      <c r="D54" s="157">
        <v>920805</v>
      </c>
      <c r="E54" s="157">
        <f t="shared" si="0"/>
        <v>-163940</v>
      </c>
      <c r="F54" s="161">
        <f t="shared" si="1"/>
        <v>-0.15113229376489407</v>
      </c>
    </row>
    <row r="55" spans="1:6" ht="15" customHeight="1" x14ac:dyDescent="0.2">
      <c r="A55" s="147">
        <v>3</v>
      </c>
      <c r="B55" s="160" t="s">
        <v>190</v>
      </c>
      <c r="C55" s="157">
        <v>27969</v>
      </c>
      <c r="D55" s="157">
        <v>28524</v>
      </c>
      <c r="E55" s="157">
        <f t="shared" si="0"/>
        <v>555</v>
      </c>
      <c r="F55" s="161">
        <f t="shared" si="1"/>
        <v>1.9843398047838679E-2</v>
      </c>
    </row>
    <row r="56" spans="1:6" ht="15" customHeight="1" x14ac:dyDescent="0.2">
      <c r="A56" s="147">
        <v>4</v>
      </c>
      <c r="B56" s="160" t="s">
        <v>191</v>
      </c>
      <c r="C56" s="157">
        <v>1978620</v>
      </c>
      <c r="D56" s="157">
        <v>2011233</v>
      </c>
      <c r="E56" s="157">
        <f t="shared" si="0"/>
        <v>32613</v>
      </c>
      <c r="F56" s="161">
        <f t="shared" si="1"/>
        <v>1.6482700063680748E-2</v>
      </c>
    </row>
    <row r="57" spans="1:6" ht="15" customHeight="1" x14ac:dyDescent="0.2">
      <c r="A57" s="147">
        <v>5</v>
      </c>
      <c r="B57" s="160" t="s">
        <v>192</v>
      </c>
      <c r="C57" s="157">
        <v>307447</v>
      </c>
      <c r="D57" s="157">
        <v>294723</v>
      </c>
      <c r="E57" s="157">
        <f t="shared" si="0"/>
        <v>-12724</v>
      </c>
      <c r="F57" s="161">
        <f t="shared" si="1"/>
        <v>-4.1385994984501392E-2</v>
      </c>
    </row>
    <row r="58" spans="1:6" ht="15" customHeight="1" x14ac:dyDescent="0.2">
      <c r="A58" s="147">
        <v>6</v>
      </c>
      <c r="B58" s="160" t="s">
        <v>193</v>
      </c>
      <c r="C58" s="157">
        <v>0</v>
      </c>
      <c r="D58" s="157">
        <v>0</v>
      </c>
      <c r="E58" s="157">
        <f t="shared" si="0"/>
        <v>0</v>
      </c>
      <c r="F58" s="161">
        <f t="shared" si="1"/>
        <v>0</v>
      </c>
    </row>
    <row r="59" spans="1:6" ht="15.75" customHeight="1" x14ac:dyDescent="0.25">
      <c r="A59" s="147"/>
      <c r="B59" s="162" t="s">
        <v>194</v>
      </c>
      <c r="C59" s="158">
        <f>SUM(C53:C58)</f>
        <v>3607538</v>
      </c>
      <c r="D59" s="158">
        <f>SUM(D53:D58)</f>
        <v>3413837</v>
      </c>
      <c r="E59" s="158">
        <f t="shared" si="0"/>
        <v>-193701</v>
      </c>
      <c r="F59" s="159">
        <f t="shared" si="1"/>
        <v>-5.369340530855115E-2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244543</v>
      </c>
      <c r="D62" s="157">
        <v>160829</v>
      </c>
      <c r="E62" s="157">
        <f t="shared" ref="E62:E90" si="2">+D62-C62</f>
        <v>-83714</v>
      </c>
      <c r="F62" s="161">
        <f t="shared" ref="F62:F90" si="3">IF(C62=0,0,E62/C62)</f>
        <v>-0.34232834307258847</v>
      </c>
    </row>
    <row r="63" spans="1:6" ht="15" customHeight="1" x14ac:dyDescent="0.2">
      <c r="A63" s="147">
        <v>2</v>
      </c>
      <c r="B63" s="160" t="s">
        <v>198</v>
      </c>
      <c r="C63" s="157">
        <v>1085326</v>
      </c>
      <c r="D63" s="157">
        <v>1006036</v>
      </c>
      <c r="E63" s="157">
        <f t="shared" si="2"/>
        <v>-79290</v>
      </c>
      <c r="F63" s="161">
        <f t="shared" si="3"/>
        <v>-7.3056390430156465E-2</v>
      </c>
    </row>
    <row r="64" spans="1:6" ht="15" customHeight="1" x14ac:dyDescent="0.2">
      <c r="A64" s="147">
        <v>3</v>
      </c>
      <c r="B64" s="160" t="s">
        <v>199</v>
      </c>
      <c r="C64" s="157">
        <v>762257</v>
      </c>
      <c r="D64" s="157">
        <v>1572289</v>
      </c>
      <c r="E64" s="157">
        <f t="shared" si="2"/>
        <v>810032</v>
      </c>
      <c r="F64" s="161">
        <f t="shared" si="3"/>
        <v>1.0626757117350185</v>
      </c>
    </row>
    <row r="65" spans="1:6" ht="15" customHeight="1" x14ac:dyDescent="0.2">
      <c r="A65" s="147">
        <v>4</v>
      </c>
      <c r="B65" s="160" t="s">
        <v>200</v>
      </c>
      <c r="C65" s="157">
        <v>369410</v>
      </c>
      <c r="D65" s="157">
        <v>402348</v>
      </c>
      <c r="E65" s="157">
        <f t="shared" si="2"/>
        <v>32938</v>
      </c>
      <c r="F65" s="161">
        <f t="shared" si="3"/>
        <v>8.916380173790639E-2</v>
      </c>
    </row>
    <row r="66" spans="1:6" ht="15" customHeight="1" x14ac:dyDescent="0.2">
      <c r="A66" s="147">
        <v>5</v>
      </c>
      <c r="B66" s="160" t="s">
        <v>201</v>
      </c>
      <c r="C66" s="157">
        <v>2048350</v>
      </c>
      <c r="D66" s="157">
        <v>2166048</v>
      </c>
      <c r="E66" s="157">
        <f t="shared" si="2"/>
        <v>117698</v>
      </c>
      <c r="F66" s="161">
        <f t="shared" si="3"/>
        <v>5.7459906754216812E-2</v>
      </c>
    </row>
    <row r="67" spans="1:6" ht="15" customHeight="1" x14ac:dyDescent="0.2">
      <c r="A67" s="147">
        <v>6</v>
      </c>
      <c r="B67" s="160" t="s">
        <v>202</v>
      </c>
      <c r="C67" s="157">
        <v>778109</v>
      </c>
      <c r="D67" s="157">
        <v>789915</v>
      </c>
      <c r="E67" s="157">
        <f t="shared" si="2"/>
        <v>11806</v>
      </c>
      <c r="F67" s="161">
        <f t="shared" si="3"/>
        <v>1.5172681462365813E-2</v>
      </c>
    </row>
    <row r="68" spans="1:6" ht="15" customHeight="1" x14ac:dyDescent="0.2">
      <c r="A68" s="147">
        <v>7</v>
      </c>
      <c r="B68" s="160" t="s">
        <v>203</v>
      </c>
      <c r="C68" s="157">
        <v>2495303</v>
      </c>
      <c r="D68" s="157">
        <v>2466648</v>
      </c>
      <c r="E68" s="157">
        <f t="shared" si="2"/>
        <v>-28655</v>
      </c>
      <c r="F68" s="161">
        <f t="shared" si="3"/>
        <v>-1.148357534135133E-2</v>
      </c>
    </row>
    <row r="69" spans="1:6" ht="15" customHeight="1" x14ac:dyDescent="0.2">
      <c r="A69" s="147">
        <v>8</v>
      </c>
      <c r="B69" s="160" t="s">
        <v>204</v>
      </c>
      <c r="C69" s="157">
        <v>320997</v>
      </c>
      <c r="D69" s="157">
        <v>320758</v>
      </c>
      <c r="E69" s="157">
        <f t="shared" si="2"/>
        <v>-239</v>
      </c>
      <c r="F69" s="161">
        <f t="shared" si="3"/>
        <v>-7.4455524506459561E-4</v>
      </c>
    </row>
    <row r="70" spans="1:6" ht="15" customHeight="1" x14ac:dyDescent="0.2">
      <c r="A70" s="147">
        <v>9</v>
      </c>
      <c r="B70" s="160" t="s">
        <v>205</v>
      </c>
      <c r="C70" s="157">
        <v>159744</v>
      </c>
      <c r="D70" s="157">
        <v>167020</v>
      </c>
      <c r="E70" s="157">
        <f t="shared" si="2"/>
        <v>7276</v>
      </c>
      <c r="F70" s="161">
        <f t="shared" si="3"/>
        <v>4.5547876602564104E-2</v>
      </c>
    </row>
    <row r="71" spans="1:6" ht="15" customHeight="1" x14ac:dyDescent="0.2">
      <c r="A71" s="147">
        <v>10</v>
      </c>
      <c r="B71" s="160" t="s">
        <v>206</v>
      </c>
      <c r="C71" s="157">
        <v>253856</v>
      </c>
      <c r="D71" s="157">
        <v>214316</v>
      </c>
      <c r="E71" s="157">
        <f t="shared" si="2"/>
        <v>-39540</v>
      </c>
      <c r="F71" s="161">
        <f t="shared" si="3"/>
        <v>-0.15575759485692675</v>
      </c>
    </row>
    <row r="72" spans="1:6" ht="15" customHeight="1" x14ac:dyDescent="0.2">
      <c r="A72" s="147">
        <v>11</v>
      </c>
      <c r="B72" s="160" t="s">
        <v>207</v>
      </c>
      <c r="C72" s="157">
        <v>149369</v>
      </c>
      <c r="D72" s="157">
        <v>140930</v>
      </c>
      <c r="E72" s="157">
        <f t="shared" si="2"/>
        <v>-8439</v>
      </c>
      <c r="F72" s="161">
        <f t="shared" si="3"/>
        <v>-5.6497666851890282E-2</v>
      </c>
    </row>
    <row r="73" spans="1:6" ht="15" customHeight="1" x14ac:dyDescent="0.2">
      <c r="A73" s="147">
        <v>12</v>
      </c>
      <c r="B73" s="160" t="s">
        <v>208</v>
      </c>
      <c r="C73" s="157">
        <v>1498858</v>
      </c>
      <c r="D73" s="157">
        <v>1264702</v>
      </c>
      <c r="E73" s="157">
        <f t="shared" si="2"/>
        <v>-234156</v>
      </c>
      <c r="F73" s="161">
        <f t="shared" si="3"/>
        <v>-0.15622293772992504</v>
      </c>
    </row>
    <row r="74" spans="1:6" ht="15" customHeight="1" x14ac:dyDescent="0.2">
      <c r="A74" s="147">
        <v>13</v>
      </c>
      <c r="B74" s="160" t="s">
        <v>209</v>
      </c>
      <c r="C74" s="157">
        <v>0</v>
      </c>
      <c r="D74" s="157">
        <v>0</v>
      </c>
      <c r="E74" s="157">
        <f t="shared" si="2"/>
        <v>0</v>
      </c>
      <c r="F74" s="161">
        <f t="shared" si="3"/>
        <v>0</v>
      </c>
    </row>
    <row r="75" spans="1:6" ht="15" customHeight="1" x14ac:dyDescent="0.2">
      <c r="A75" s="147">
        <v>14</v>
      </c>
      <c r="B75" s="160" t="s">
        <v>210</v>
      </c>
      <c r="C75" s="157">
        <v>107494</v>
      </c>
      <c r="D75" s="157">
        <v>82153</v>
      </c>
      <c r="E75" s="157">
        <f t="shared" si="2"/>
        <v>-25341</v>
      </c>
      <c r="F75" s="161">
        <f t="shared" si="3"/>
        <v>-0.23574339032876254</v>
      </c>
    </row>
    <row r="76" spans="1:6" ht="15" customHeight="1" x14ac:dyDescent="0.2">
      <c r="A76" s="147">
        <v>15</v>
      </c>
      <c r="B76" s="160" t="s">
        <v>211</v>
      </c>
      <c r="C76" s="157">
        <v>520092</v>
      </c>
      <c r="D76" s="157">
        <v>741660</v>
      </c>
      <c r="E76" s="157">
        <f t="shared" si="2"/>
        <v>221568</v>
      </c>
      <c r="F76" s="161">
        <f t="shared" si="3"/>
        <v>0.42601693546526381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0</v>
      </c>
      <c r="D78" s="157">
        <v>0</v>
      </c>
      <c r="E78" s="157">
        <f t="shared" si="2"/>
        <v>0</v>
      </c>
      <c r="F78" s="161">
        <f t="shared" si="3"/>
        <v>0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0</v>
      </c>
      <c r="D80" s="157">
        <v>0</v>
      </c>
      <c r="E80" s="157">
        <f t="shared" si="2"/>
        <v>0</v>
      </c>
      <c r="F80" s="161">
        <f t="shared" si="3"/>
        <v>0</v>
      </c>
    </row>
    <row r="81" spans="1:6" ht="15" customHeight="1" x14ac:dyDescent="0.2">
      <c r="A81" s="147">
        <v>20</v>
      </c>
      <c r="B81" s="160" t="s">
        <v>216</v>
      </c>
      <c r="C81" s="157">
        <v>0</v>
      </c>
      <c r="D81" s="157">
        <v>0</v>
      </c>
      <c r="E81" s="157">
        <f t="shared" si="2"/>
        <v>0</v>
      </c>
      <c r="F81" s="161">
        <f t="shared" si="3"/>
        <v>0</v>
      </c>
    </row>
    <row r="82" spans="1:6" ht="15" customHeight="1" x14ac:dyDescent="0.2">
      <c r="A82" s="147">
        <v>21</v>
      </c>
      <c r="B82" s="160" t="s">
        <v>217</v>
      </c>
      <c r="C82" s="157">
        <v>0</v>
      </c>
      <c r="D82" s="157">
        <v>0</v>
      </c>
      <c r="E82" s="157">
        <f t="shared" si="2"/>
        <v>0</v>
      </c>
      <c r="F82" s="161">
        <f t="shared" si="3"/>
        <v>0</v>
      </c>
    </row>
    <row r="83" spans="1:6" ht="15" customHeight="1" x14ac:dyDescent="0.2">
      <c r="A83" s="147">
        <v>22</v>
      </c>
      <c r="B83" s="160" t="s">
        <v>218</v>
      </c>
      <c r="C83" s="157">
        <v>0</v>
      </c>
      <c r="D83" s="157">
        <v>0</v>
      </c>
      <c r="E83" s="157">
        <f t="shared" si="2"/>
        <v>0</v>
      </c>
      <c r="F83" s="161">
        <f t="shared" si="3"/>
        <v>0</v>
      </c>
    </row>
    <row r="84" spans="1:6" ht="15" customHeight="1" x14ac:dyDescent="0.2">
      <c r="A84" s="147">
        <v>23</v>
      </c>
      <c r="B84" s="160" t="s">
        <v>219</v>
      </c>
      <c r="C84" s="157">
        <v>0</v>
      </c>
      <c r="D84" s="157">
        <v>0</v>
      </c>
      <c r="E84" s="157">
        <f t="shared" si="2"/>
        <v>0</v>
      </c>
      <c r="F84" s="161">
        <f t="shared" si="3"/>
        <v>0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0</v>
      </c>
      <c r="D86" s="157">
        <v>0</v>
      </c>
      <c r="E86" s="157">
        <f t="shared" si="2"/>
        <v>0</v>
      </c>
      <c r="F86" s="161">
        <f t="shared" si="3"/>
        <v>0</v>
      </c>
    </row>
    <row r="87" spans="1:6" ht="15" customHeight="1" x14ac:dyDescent="0.2">
      <c r="A87" s="147">
        <v>26</v>
      </c>
      <c r="B87" s="160" t="s">
        <v>222</v>
      </c>
      <c r="C87" s="157">
        <v>0</v>
      </c>
      <c r="D87" s="157">
        <v>0</v>
      </c>
      <c r="E87" s="157">
        <f t="shared" si="2"/>
        <v>0</v>
      </c>
      <c r="F87" s="161">
        <f t="shared" si="3"/>
        <v>0</v>
      </c>
    </row>
    <row r="88" spans="1:6" ht="15" customHeight="1" x14ac:dyDescent="0.2">
      <c r="A88" s="147">
        <v>27</v>
      </c>
      <c r="B88" s="160" t="s">
        <v>223</v>
      </c>
      <c r="C88" s="157">
        <v>0</v>
      </c>
      <c r="D88" s="157">
        <v>0</v>
      </c>
      <c r="E88" s="157">
        <f t="shared" si="2"/>
        <v>0</v>
      </c>
      <c r="F88" s="161">
        <f t="shared" si="3"/>
        <v>0</v>
      </c>
    </row>
    <row r="89" spans="1:6" ht="15" customHeight="1" x14ac:dyDescent="0.2">
      <c r="A89" s="147">
        <v>28</v>
      </c>
      <c r="B89" s="160" t="s">
        <v>224</v>
      </c>
      <c r="C89" s="157">
        <v>23121657</v>
      </c>
      <c r="D89" s="157">
        <v>24462520</v>
      </c>
      <c r="E89" s="157">
        <f t="shared" si="2"/>
        <v>1340863</v>
      </c>
      <c r="F89" s="161">
        <f t="shared" si="3"/>
        <v>5.7991648262925098E-2</v>
      </c>
    </row>
    <row r="90" spans="1:6" ht="15.75" customHeight="1" x14ac:dyDescent="0.25">
      <c r="A90" s="147"/>
      <c r="B90" s="162" t="s">
        <v>225</v>
      </c>
      <c r="C90" s="158">
        <f>SUM(C62:C89)</f>
        <v>33915365</v>
      </c>
      <c r="D90" s="158">
        <f>SUM(D62:D89)</f>
        <v>35958172</v>
      </c>
      <c r="E90" s="158">
        <f t="shared" si="2"/>
        <v>2042807</v>
      </c>
      <c r="F90" s="159">
        <f t="shared" si="3"/>
        <v>6.0232493443605872E-2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5198894</v>
      </c>
      <c r="D93" s="157">
        <v>4358908</v>
      </c>
      <c r="E93" s="157">
        <f>+D93-C93</f>
        <v>-839986</v>
      </c>
      <c r="F93" s="161">
        <f>IF(C93=0,0,E93/C93)</f>
        <v>-0.16157013395541436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231658975</v>
      </c>
      <c r="D95" s="158">
        <f>+D93+D90+D59+D50+D47+D44+D41+D35+D30+D24+D18</f>
        <v>213170829</v>
      </c>
      <c r="E95" s="158">
        <f>+D95-C95</f>
        <v>-18488146</v>
      </c>
      <c r="F95" s="159">
        <f>IF(C95=0,0,E95/C95)</f>
        <v>-7.9807596489624461E-2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23728631</v>
      </c>
      <c r="D103" s="157">
        <v>13629173</v>
      </c>
      <c r="E103" s="157">
        <f t="shared" ref="E103:E121" si="4">D103-C103</f>
        <v>-10099458</v>
      </c>
      <c r="F103" s="161">
        <f t="shared" ref="F103:F121" si="5">IF(C103=0,0,E103/C103)</f>
        <v>-0.42562329027747114</v>
      </c>
    </row>
    <row r="104" spans="1:6" ht="15" customHeight="1" x14ac:dyDescent="0.2">
      <c r="A104" s="147">
        <v>2</v>
      </c>
      <c r="B104" s="169" t="s">
        <v>234</v>
      </c>
      <c r="C104" s="157">
        <v>1598259</v>
      </c>
      <c r="D104" s="157">
        <v>1125946</v>
      </c>
      <c r="E104" s="157">
        <f t="shared" si="4"/>
        <v>-472313</v>
      </c>
      <c r="F104" s="161">
        <f t="shared" si="5"/>
        <v>-0.29551718463653265</v>
      </c>
    </row>
    <row r="105" spans="1:6" ht="15" customHeight="1" x14ac:dyDescent="0.2">
      <c r="A105" s="147">
        <v>3</v>
      </c>
      <c r="B105" s="169" t="s">
        <v>235</v>
      </c>
      <c r="C105" s="157">
        <v>2360188</v>
      </c>
      <c r="D105" s="157">
        <v>2785286</v>
      </c>
      <c r="E105" s="157">
        <f t="shared" si="4"/>
        <v>425098</v>
      </c>
      <c r="F105" s="161">
        <f t="shared" si="5"/>
        <v>0.18011192328746692</v>
      </c>
    </row>
    <row r="106" spans="1:6" ht="15" customHeight="1" x14ac:dyDescent="0.2">
      <c r="A106" s="147">
        <v>4</v>
      </c>
      <c r="B106" s="169" t="s">
        <v>236</v>
      </c>
      <c r="C106" s="157">
        <v>1509946</v>
      </c>
      <c r="D106" s="157">
        <v>1404712</v>
      </c>
      <c r="E106" s="157">
        <f t="shared" si="4"/>
        <v>-105234</v>
      </c>
      <c r="F106" s="161">
        <f t="shared" si="5"/>
        <v>-6.9693883092507944E-2</v>
      </c>
    </row>
    <row r="107" spans="1:6" ht="15" customHeight="1" x14ac:dyDescent="0.2">
      <c r="A107" s="147">
        <v>5</v>
      </c>
      <c r="B107" s="169" t="s">
        <v>237</v>
      </c>
      <c r="C107" s="157">
        <v>8939062</v>
      </c>
      <c r="D107" s="157">
        <v>8433448</v>
      </c>
      <c r="E107" s="157">
        <f t="shared" si="4"/>
        <v>-505614</v>
      </c>
      <c r="F107" s="161">
        <f t="shared" si="5"/>
        <v>-5.6562310452707452E-2</v>
      </c>
    </row>
    <row r="108" spans="1:6" ht="15" customHeight="1" x14ac:dyDescent="0.2">
      <c r="A108" s="147">
        <v>6</v>
      </c>
      <c r="B108" s="169" t="s">
        <v>238</v>
      </c>
      <c r="C108" s="157">
        <v>0</v>
      </c>
      <c r="D108" s="157">
        <v>0</v>
      </c>
      <c r="E108" s="157">
        <f t="shared" si="4"/>
        <v>0</v>
      </c>
      <c r="F108" s="161">
        <f t="shared" si="5"/>
        <v>0</v>
      </c>
    </row>
    <row r="109" spans="1:6" ht="15" customHeight="1" x14ac:dyDescent="0.2">
      <c r="A109" s="147">
        <v>7</v>
      </c>
      <c r="B109" s="169" t="s">
        <v>239</v>
      </c>
      <c r="C109" s="157">
        <v>1595894</v>
      </c>
      <c r="D109" s="157">
        <v>1653276</v>
      </c>
      <c r="E109" s="157">
        <f t="shared" si="4"/>
        <v>57382</v>
      </c>
      <c r="F109" s="161">
        <f t="shared" si="5"/>
        <v>3.5956022141821448E-2</v>
      </c>
    </row>
    <row r="110" spans="1:6" ht="15" customHeight="1" x14ac:dyDescent="0.2">
      <c r="A110" s="147">
        <v>8</v>
      </c>
      <c r="B110" s="169" t="s">
        <v>240</v>
      </c>
      <c r="C110" s="157">
        <v>487689</v>
      </c>
      <c r="D110" s="157">
        <v>648654</v>
      </c>
      <c r="E110" s="157">
        <f t="shared" si="4"/>
        <v>160965</v>
      </c>
      <c r="F110" s="161">
        <f t="shared" si="5"/>
        <v>0.33005665495838538</v>
      </c>
    </row>
    <row r="111" spans="1:6" ht="15" customHeight="1" x14ac:dyDescent="0.2">
      <c r="A111" s="147">
        <v>9</v>
      </c>
      <c r="B111" s="169" t="s">
        <v>241</v>
      </c>
      <c r="C111" s="157">
        <v>850710</v>
      </c>
      <c r="D111" s="157">
        <v>812015</v>
      </c>
      <c r="E111" s="157">
        <f t="shared" si="4"/>
        <v>-38695</v>
      </c>
      <c r="F111" s="161">
        <f t="shared" si="5"/>
        <v>-4.5485535611430455E-2</v>
      </c>
    </row>
    <row r="112" spans="1:6" ht="15" customHeight="1" x14ac:dyDescent="0.2">
      <c r="A112" s="147">
        <v>10</v>
      </c>
      <c r="B112" s="169" t="s">
        <v>242</v>
      </c>
      <c r="C112" s="157">
        <v>2948924</v>
      </c>
      <c r="D112" s="157">
        <v>3441035</v>
      </c>
      <c r="E112" s="157">
        <f t="shared" si="4"/>
        <v>492111</v>
      </c>
      <c r="F112" s="161">
        <f t="shared" si="5"/>
        <v>0.16687815623596947</v>
      </c>
    </row>
    <row r="113" spans="1:6" ht="15" customHeight="1" x14ac:dyDescent="0.2">
      <c r="A113" s="147">
        <v>11</v>
      </c>
      <c r="B113" s="169" t="s">
        <v>243</v>
      </c>
      <c r="C113" s="157">
        <v>5968709</v>
      </c>
      <c r="D113" s="157">
        <v>5998943</v>
      </c>
      <c r="E113" s="157">
        <f t="shared" si="4"/>
        <v>30234</v>
      </c>
      <c r="F113" s="161">
        <f t="shared" si="5"/>
        <v>5.0654169938591414E-3</v>
      </c>
    </row>
    <row r="114" spans="1:6" ht="15" customHeight="1" x14ac:dyDescent="0.2">
      <c r="A114" s="147">
        <v>12</v>
      </c>
      <c r="B114" s="169" t="s">
        <v>244</v>
      </c>
      <c r="C114" s="157">
        <v>1237178</v>
      </c>
      <c r="D114" s="157">
        <v>1159220</v>
      </c>
      <c r="E114" s="157">
        <f t="shared" si="4"/>
        <v>-77958</v>
      </c>
      <c r="F114" s="161">
        <f t="shared" si="5"/>
        <v>-6.301275968373185E-2</v>
      </c>
    </row>
    <row r="115" spans="1:6" ht="15" customHeight="1" x14ac:dyDescent="0.2">
      <c r="A115" s="147">
        <v>13</v>
      </c>
      <c r="B115" s="169" t="s">
        <v>245</v>
      </c>
      <c r="C115" s="157">
        <v>6077334</v>
      </c>
      <c r="D115" s="157">
        <v>6236260</v>
      </c>
      <c r="E115" s="157">
        <f t="shared" si="4"/>
        <v>158926</v>
      </c>
      <c r="F115" s="161">
        <f t="shared" si="5"/>
        <v>2.615061143586974E-2</v>
      </c>
    </row>
    <row r="116" spans="1:6" ht="15" customHeight="1" x14ac:dyDescent="0.2">
      <c r="A116" s="147">
        <v>14</v>
      </c>
      <c r="B116" s="169" t="s">
        <v>246</v>
      </c>
      <c r="C116" s="157">
        <v>1181788</v>
      </c>
      <c r="D116" s="157">
        <v>1126273</v>
      </c>
      <c r="E116" s="157">
        <f t="shared" si="4"/>
        <v>-55515</v>
      </c>
      <c r="F116" s="161">
        <f t="shared" si="5"/>
        <v>-4.6975430449454555E-2</v>
      </c>
    </row>
    <row r="117" spans="1:6" ht="15" customHeight="1" x14ac:dyDescent="0.2">
      <c r="A117" s="147">
        <v>15</v>
      </c>
      <c r="B117" s="169" t="s">
        <v>203</v>
      </c>
      <c r="C117" s="157">
        <v>0</v>
      </c>
      <c r="D117" s="157">
        <v>0</v>
      </c>
      <c r="E117" s="157">
        <f t="shared" si="4"/>
        <v>0</v>
      </c>
      <c r="F117" s="161">
        <f t="shared" si="5"/>
        <v>0</v>
      </c>
    </row>
    <row r="118" spans="1:6" ht="15" customHeight="1" x14ac:dyDescent="0.2">
      <c r="A118" s="147">
        <v>16</v>
      </c>
      <c r="B118" s="169" t="s">
        <v>247</v>
      </c>
      <c r="C118" s="157">
        <v>1406141</v>
      </c>
      <c r="D118" s="157">
        <v>1398686</v>
      </c>
      <c r="E118" s="157">
        <f t="shared" si="4"/>
        <v>-7455</v>
      </c>
      <c r="F118" s="161">
        <f t="shared" si="5"/>
        <v>-5.3017442774231033E-3</v>
      </c>
    </row>
    <row r="119" spans="1:6" ht="15" customHeight="1" x14ac:dyDescent="0.2">
      <c r="A119" s="147">
        <v>17</v>
      </c>
      <c r="B119" s="169" t="s">
        <v>248</v>
      </c>
      <c r="C119" s="157">
        <v>9478659</v>
      </c>
      <c r="D119" s="157">
        <v>8931552</v>
      </c>
      <c r="E119" s="157">
        <f t="shared" si="4"/>
        <v>-547107</v>
      </c>
      <c r="F119" s="161">
        <f t="shared" si="5"/>
        <v>-5.7719873665673591E-2</v>
      </c>
    </row>
    <row r="120" spans="1:6" ht="15" customHeight="1" x14ac:dyDescent="0.2">
      <c r="A120" s="147">
        <v>18</v>
      </c>
      <c r="B120" s="169" t="s">
        <v>249</v>
      </c>
      <c r="C120" s="157">
        <v>39925524</v>
      </c>
      <c r="D120" s="157">
        <v>36479916</v>
      </c>
      <c r="E120" s="157">
        <f t="shared" si="4"/>
        <v>-3445608</v>
      </c>
      <c r="F120" s="161">
        <f t="shared" si="5"/>
        <v>-8.6300883615203147E-2</v>
      </c>
    </row>
    <row r="121" spans="1:6" ht="15.75" customHeight="1" x14ac:dyDescent="0.25">
      <c r="A121" s="147"/>
      <c r="B121" s="165" t="s">
        <v>250</v>
      </c>
      <c r="C121" s="158">
        <f>SUM(C103:C120)</f>
        <v>109294636</v>
      </c>
      <c r="D121" s="158">
        <f>SUM(D103:D120)</f>
        <v>95264395</v>
      </c>
      <c r="E121" s="158">
        <f t="shared" si="4"/>
        <v>-14030241</v>
      </c>
      <c r="F121" s="159">
        <f t="shared" si="5"/>
        <v>-0.1283708104394071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8955065</v>
      </c>
      <c r="D124" s="157">
        <v>8142162</v>
      </c>
      <c r="E124" s="157">
        <f t="shared" ref="E124:E130" si="6">D124-C124</f>
        <v>-812903</v>
      </c>
      <c r="F124" s="161">
        <f t="shared" ref="F124:F130" si="7">IF(C124=0,0,E124/C124)</f>
        <v>-9.0775778846943045E-2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1774664</v>
      </c>
      <c r="D126" s="157">
        <v>1113511</v>
      </c>
      <c r="E126" s="157">
        <f t="shared" si="6"/>
        <v>-661153</v>
      </c>
      <c r="F126" s="161">
        <f t="shared" si="7"/>
        <v>-0.37255108572665024</v>
      </c>
    </row>
    <row r="127" spans="1:6" ht="15" customHeight="1" x14ac:dyDescent="0.2">
      <c r="A127" s="147">
        <v>4</v>
      </c>
      <c r="B127" s="169" t="s">
        <v>255</v>
      </c>
      <c r="C127" s="157">
        <v>1668362</v>
      </c>
      <c r="D127" s="157">
        <v>1649250</v>
      </c>
      <c r="E127" s="157">
        <f t="shared" si="6"/>
        <v>-19112</v>
      </c>
      <c r="F127" s="161">
        <f t="shared" si="7"/>
        <v>-1.1455547417167257E-2</v>
      </c>
    </row>
    <row r="128" spans="1:6" ht="15" customHeight="1" x14ac:dyDescent="0.2">
      <c r="A128" s="147">
        <v>5</v>
      </c>
      <c r="B128" s="169" t="s">
        <v>256</v>
      </c>
      <c r="C128" s="157">
        <v>1458173</v>
      </c>
      <c r="D128" s="157">
        <v>1367808</v>
      </c>
      <c r="E128" s="157">
        <f t="shared" si="6"/>
        <v>-90365</v>
      </c>
      <c r="F128" s="161">
        <f t="shared" si="7"/>
        <v>-6.1971384739670808E-2</v>
      </c>
    </row>
    <row r="129" spans="1:6" ht="15" customHeight="1" x14ac:dyDescent="0.2">
      <c r="A129" s="147">
        <v>6</v>
      </c>
      <c r="B129" s="169" t="s">
        <v>257</v>
      </c>
      <c r="C129" s="157">
        <v>8498832</v>
      </c>
      <c r="D129" s="157">
        <v>7760087</v>
      </c>
      <c r="E129" s="157">
        <f t="shared" si="6"/>
        <v>-738745</v>
      </c>
      <c r="F129" s="161">
        <f t="shared" si="7"/>
        <v>-8.6923120730001482E-2</v>
      </c>
    </row>
    <row r="130" spans="1:6" ht="15.75" customHeight="1" x14ac:dyDescent="0.25">
      <c r="A130" s="147"/>
      <c r="B130" s="165" t="s">
        <v>258</v>
      </c>
      <c r="C130" s="158">
        <f>SUM(C124:C129)</f>
        <v>22355096</v>
      </c>
      <c r="D130" s="158">
        <f>SUM(D124:D129)</f>
        <v>20032818</v>
      </c>
      <c r="E130" s="158">
        <f t="shared" si="6"/>
        <v>-2322278</v>
      </c>
      <c r="F130" s="159">
        <f t="shared" si="7"/>
        <v>-0.10388137004645384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17392206</v>
      </c>
      <c r="D133" s="157">
        <v>16253974</v>
      </c>
      <c r="E133" s="157">
        <f t="shared" ref="E133:E167" si="8">D133-C133</f>
        <v>-1138232</v>
      </c>
      <c r="F133" s="161">
        <f t="shared" ref="F133:F167" si="9">IF(C133=0,0,E133/C133)</f>
        <v>-6.5444947006722431E-2</v>
      </c>
    </row>
    <row r="134" spans="1:6" ht="15" customHeight="1" x14ac:dyDescent="0.2">
      <c r="A134" s="147">
        <v>2</v>
      </c>
      <c r="B134" s="169" t="s">
        <v>261</v>
      </c>
      <c r="C134" s="157">
        <v>1843229</v>
      </c>
      <c r="D134" s="157">
        <v>970631</v>
      </c>
      <c r="E134" s="157">
        <f t="shared" si="8"/>
        <v>-872598</v>
      </c>
      <c r="F134" s="161">
        <f t="shared" si="9"/>
        <v>-0.47340726518517234</v>
      </c>
    </row>
    <row r="135" spans="1:6" ht="15" customHeight="1" x14ac:dyDescent="0.2">
      <c r="A135" s="147">
        <v>3</v>
      </c>
      <c r="B135" s="169" t="s">
        <v>262</v>
      </c>
      <c r="C135" s="157">
        <v>492448</v>
      </c>
      <c r="D135" s="157">
        <v>506496</v>
      </c>
      <c r="E135" s="157">
        <f t="shared" si="8"/>
        <v>14048</v>
      </c>
      <c r="F135" s="161">
        <f t="shared" si="9"/>
        <v>2.8526869842095001E-2</v>
      </c>
    </row>
    <row r="136" spans="1:6" ht="15" customHeight="1" x14ac:dyDescent="0.2">
      <c r="A136" s="147">
        <v>4</v>
      </c>
      <c r="B136" s="169" t="s">
        <v>263</v>
      </c>
      <c r="C136" s="157">
        <v>0</v>
      </c>
      <c r="D136" s="157">
        <v>0</v>
      </c>
      <c r="E136" s="157">
        <f t="shared" si="8"/>
        <v>0</v>
      </c>
      <c r="F136" s="161">
        <f t="shared" si="9"/>
        <v>0</v>
      </c>
    </row>
    <row r="137" spans="1:6" ht="15" customHeight="1" x14ac:dyDescent="0.2">
      <c r="A137" s="147">
        <v>5</v>
      </c>
      <c r="B137" s="169" t="s">
        <v>264</v>
      </c>
      <c r="C137" s="157">
        <v>2804059</v>
      </c>
      <c r="D137" s="157">
        <v>2812626</v>
      </c>
      <c r="E137" s="157">
        <f t="shared" si="8"/>
        <v>8567</v>
      </c>
      <c r="F137" s="161">
        <f t="shared" si="9"/>
        <v>3.0552138881528527E-3</v>
      </c>
    </row>
    <row r="138" spans="1:6" ht="15" customHeight="1" x14ac:dyDescent="0.2">
      <c r="A138" s="147">
        <v>6</v>
      </c>
      <c r="B138" s="169" t="s">
        <v>265</v>
      </c>
      <c r="C138" s="157">
        <v>469418</v>
      </c>
      <c r="D138" s="157">
        <v>497928</v>
      </c>
      <c r="E138" s="157">
        <f t="shared" si="8"/>
        <v>28510</v>
      </c>
      <c r="F138" s="161">
        <f t="shared" si="9"/>
        <v>6.0734782219684799E-2</v>
      </c>
    </row>
    <row r="139" spans="1:6" ht="15" customHeight="1" x14ac:dyDescent="0.2">
      <c r="A139" s="147">
        <v>7</v>
      </c>
      <c r="B139" s="169" t="s">
        <v>266</v>
      </c>
      <c r="C139" s="157">
        <v>8910</v>
      </c>
      <c r="D139" s="157">
        <v>0</v>
      </c>
      <c r="E139" s="157">
        <f t="shared" si="8"/>
        <v>-8910</v>
      </c>
      <c r="F139" s="161">
        <f t="shared" si="9"/>
        <v>-1</v>
      </c>
    </row>
    <row r="140" spans="1:6" ht="15" customHeight="1" x14ac:dyDescent="0.2">
      <c r="A140" s="147">
        <v>8</v>
      </c>
      <c r="B140" s="169" t="s">
        <v>267</v>
      </c>
      <c r="C140" s="157">
        <v>617749</v>
      </c>
      <c r="D140" s="157">
        <v>610594</v>
      </c>
      <c r="E140" s="157">
        <f t="shared" si="8"/>
        <v>-7155</v>
      </c>
      <c r="F140" s="161">
        <f t="shared" si="9"/>
        <v>-1.1582374071022373E-2</v>
      </c>
    </row>
    <row r="141" spans="1:6" ht="15" customHeight="1" x14ac:dyDescent="0.2">
      <c r="A141" s="147">
        <v>9</v>
      </c>
      <c r="B141" s="169" t="s">
        <v>268</v>
      </c>
      <c r="C141" s="157">
        <v>1024266</v>
      </c>
      <c r="D141" s="157">
        <v>890740</v>
      </c>
      <c r="E141" s="157">
        <f t="shared" si="8"/>
        <v>-133526</v>
      </c>
      <c r="F141" s="161">
        <f t="shared" si="9"/>
        <v>-0.13036262064737089</v>
      </c>
    </row>
    <row r="142" spans="1:6" ht="15" customHeight="1" x14ac:dyDescent="0.2">
      <c r="A142" s="147">
        <v>10</v>
      </c>
      <c r="B142" s="169" t="s">
        <v>269</v>
      </c>
      <c r="C142" s="157">
        <v>7938910</v>
      </c>
      <c r="D142" s="157">
        <v>7862576</v>
      </c>
      <c r="E142" s="157">
        <f t="shared" si="8"/>
        <v>-76334</v>
      </c>
      <c r="F142" s="161">
        <f t="shared" si="9"/>
        <v>-9.6151738714760591E-3</v>
      </c>
    </row>
    <row r="143" spans="1:6" ht="15" customHeight="1" x14ac:dyDescent="0.2">
      <c r="A143" s="147">
        <v>11</v>
      </c>
      <c r="B143" s="169" t="s">
        <v>270</v>
      </c>
      <c r="C143" s="157">
        <v>2063737</v>
      </c>
      <c r="D143" s="157">
        <v>1722290</v>
      </c>
      <c r="E143" s="157">
        <f t="shared" si="8"/>
        <v>-341447</v>
      </c>
      <c r="F143" s="161">
        <f t="shared" si="9"/>
        <v>-0.16545083021722246</v>
      </c>
    </row>
    <row r="144" spans="1:6" ht="15" customHeight="1" x14ac:dyDescent="0.2">
      <c r="A144" s="147">
        <v>12</v>
      </c>
      <c r="B144" s="169" t="s">
        <v>271</v>
      </c>
      <c r="C144" s="157">
        <v>6988358</v>
      </c>
      <c r="D144" s="157">
        <v>7351772</v>
      </c>
      <c r="E144" s="157">
        <f t="shared" si="8"/>
        <v>363414</v>
      </c>
      <c r="F144" s="161">
        <f t="shared" si="9"/>
        <v>5.2002773756009639E-2</v>
      </c>
    </row>
    <row r="145" spans="1:6" ht="15" customHeight="1" x14ac:dyDescent="0.2">
      <c r="A145" s="147">
        <v>13</v>
      </c>
      <c r="B145" s="169" t="s">
        <v>272</v>
      </c>
      <c r="C145" s="157">
        <v>0</v>
      </c>
      <c r="D145" s="157">
        <v>0</v>
      </c>
      <c r="E145" s="157">
        <f t="shared" si="8"/>
        <v>0</v>
      </c>
      <c r="F145" s="161">
        <f t="shared" si="9"/>
        <v>0</v>
      </c>
    </row>
    <row r="146" spans="1:6" ht="15" customHeight="1" x14ac:dyDescent="0.2">
      <c r="A146" s="147">
        <v>14</v>
      </c>
      <c r="B146" s="169" t="s">
        <v>273</v>
      </c>
      <c r="C146" s="157">
        <v>430284</v>
      </c>
      <c r="D146" s="157">
        <v>462190</v>
      </c>
      <c r="E146" s="157">
        <f t="shared" si="8"/>
        <v>31906</v>
      </c>
      <c r="F146" s="161">
        <f t="shared" si="9"/>
        <v>7.415102583410027E-2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27</v>
      </c>
      <c r="E147" s="157">
        <f t="shared" si="8"/>
        <v>27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7845</v>
      </c>
      <c r="D148" s="157">
        <v>8077</v>
      </c>
      <c r="E148" s="157">
        <f t="shared" si="8"/>
        <v>232</v>
      </c>
      <c r="F148" s="161">
        <f t="shared" si="9"/>
        <v>2.9572976418100701E-2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1506691</v>
      </c>
      <c r="D150" s="157">
        <v>1486925</v>
      </c>
      <c r="E150" s="157">
        <f t="shared" si="8"/>
        <v>-19766</v>
      </c>
      <c r="F150" s="161">
        <f t="shared" si="9"/>
        <v>-1.3118814674010796E-2</v>
      </c>
    </row>
    <row r="151" spans="1:6" ht="15" customHeight="1" x14ac:dyDescent="0.2">
      <c r="A151" s="147">
        <v>19</v>
      </c>
      <c r="B151" s="169" t="s">
        <v>278</v>
      </c>
      <c r="C151" s="157">
        <v>23153</v>
      </c>
      <c r="D151" s="157">
        <v>25128</v>
      </c>
      <c r="E151" s="157">
        <f t="shared" si="8"/>
        <v>1975</v>
      </c>
      <c r="F151" s="161">
        <f t="shared" si="9"/>
        <v>8.530212067550641E-2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6602252</v>
      </c>
      <c r="D154" s="157">
        <v>6563903</v>
      </c>
      <c r="E154" s="157">
        <f t="shared" si="8"/>
        <v>-38349</v>
      </c>
      <c r="F154" s="161">
        <f t="shared" si="9"/>
        <v>-5.8084726241894435E-3</v>
      </c>
    </row>
    <row r="155" spans="1:6" ht="15" customHeight="1" x14ac:dyDescent="0.2">
      <c r="A155" s="147">
        <v>23</v>
      </c>
      <c r="B155" s="169" t="s">
        <v>282</v>
      </c>
      <c r="C155" s="157">
        <v>439157</v>
      </c>
      <c r="D155" s="157">
        <v>445966</v>
      </c>
      <c r="E155" s="157">
        <f t="shared" si="8"/>
        <v>6809</v>
      </c>
      <c r="F155" s="161">
        <f t="shared" si="9"/>
        <v>1.5504705606423216E-2</v>
      </c>
    </row>
    <row r="156" spans="1:6" ht="15" customHeight="1" x14ac:dyDescent="0.2">
      <c r="A156" s="147">
        <v>24</v>
      </c>
      <c r="B156" s="169" t="s">
        <v>283</v>
      </c>
      <c r="C156" s="157">
        <v>6887314</v>
      </c>
      <c r="D156" s="157">
        <v>6908763</v>
      </c>
      <c r="E156" s="157">
        <f t="shared" si="8"/>
        <v>21449</v>
      </c>
      <c r="F156" s="161">
        <f t="shared" si="9"/>
        <v>3.114276479916554E-3</v>
      </c>
    </row>
    <row r="157" spans="1:6" ht="15" customHeight="1" x14ac:dyDescent="0.2">
      <c r="A157" s="147">
        <v>25</v>
      </c>
      <c r="B157" s="169" t="s">
        <v>284</v>
      </c>
      <c r="C157" s="157">
        <v>1046998</v>
      </c>
      <c r="D157" s="157">
        <v>914565</v>
      </c>
      <c r="E157" s="157">
        <f t="shared" si="8"/>
        <v>-132433</v>
      </c>
      <c r="F157" s="161">
        <f t="shared" si="9"/>
        <v>-0.12648830274747422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1965675</v>
      </c>
      <c r="D160" s="157">
        <v>1729764</v>
      </c>
      <c r="E160" s="157">
        <f t="shared" si="8"/>
        <v>-235911</v>
      </c>
      <c r="F160" s="161">
        <f t="shared" si="9"/>
        <v>-0.12001526193292381</v>
      </c>
    </row>
    <row r="161" spans="1:6" ht="15" customHeight="1" x14ac:dyDescent="0.2">
      <c r="A161" s="147">
        <v>29</v>
      </c>
      <c r="B161" s="169" t="s">
        <v>288</v>
      </c>
      <c r="C161" s="157">
        <v>674740</v>
      </c>
      <c r="D161" s="157">
        <v>613072</v>
      </c>
      <c r="E161" s="157">
        <f t="shared" si="8"/>
        <v>-61668</v>
      </c>
      <c r="F161" s="161">
        <f t="shared" si="9"/>
        <v>-9.1395204078608058E-2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233081</v>
      </c>
      <c r="D163" s="157">
        <v>247965</v>
      </c>
      <c r="E163" s="157">
        <f t="shared" si="8"/>
        <v>14884</v>
      </c>
      <c r="F163" s="161">
        <f t="shared" si="9"/>
        <v>6.3857628892959956E-2</v>
      </c>
    </row>
    <row r="164" spans="1:6" ht="15" customHeight="1" x14ac:dyDescent="0.2">
      <c r="A164" s="147">
        <v>32</v>
      </c>
      <c r="B164" s="169" t="s">
        <v>291</v>
      </c>
      <c r="C164" s="157">
        <v>1270311</v>
      </c>
      <c r="D164" s="157">
        <v>1299769</v>
      </c>
      <c r="E164" s="157">
        <f t="shared" si="8"/>
        <v>29458</v>
      </c>
      <c r="F164" s="161">
        <f t="shared" si="9"/>
        <v>2.3189596878244775E-2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481833</v>
      </c>
      <c r="D166" s="157">
        <v>451293</v>
      </c>
      <c r="E166" s="157">
        <f t="shared" si="8"/>
        <v>-30540</v>
      </c>
      <c r="F166" s="161">
        <f t="shared" si="9"/>
        <v>-6.3382956335493831E-2</v>
      </c>
    </row>
    <row r="167" spans="1:6" ht="15.75" customHeight="1" x14ac:dyDescent="0.25">
      <c r="A167" s="147"/>
      <c r="B167" s="165" t="s">
        <v>294</v>
      </c>
      <c r="C167" s="158">
        <f>SUM(C133:C166)</f>
        <v>63212624</v>
      </c>
      <c r="D167" s="158">
        <f>SUM(D133:D166)</f>
        <v>60637034</v>
      </c>
      <c r="E167" s="158">
        <f t="shared" si="8"/>
        <v>-2575590</v>
      </c>
      <c r="F167" s="159">
        <f t="shared" si="9"/>
        <v>-4.0744867670736151E-2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17289174</v>
      </c>
      <c r="D170" s="157">
        <v>16237201</v>
      </c>
      <c r="E170" s="157">
        <f t="shared" ref="E170:E183" si="10">D170-C170</f>
        <v>-1051973</v>
      </c>
      <c r="F170" s="161">
        <f t="shared" ref="F170:F183" si="11">IF(C170=0,0,E170/C170)</f>
        <v>-6.0845763944535468E-2</v>
      </c>
    </row>
    <row r="171" spans="1:6" ht="15" customHeight="1" x14ac:dyDescent="0.2">
      <c r="A171" s="147">
        <v>2</v>
      </c>
      <c r="B171" s="169" t="s">
        <v>297</v>
      </c>
      <c r="C171" s="157">
        <v>4514813</v>
      </c>
      <c r="D171" s="157">
        <v>4545621</v>
      </c>
      <c r="E171" s="157">
        <f t="shared" si="10"/>
        <v>30808</v>
      </c>
      <c r="F171" s="161">
        <f t="shared" si="11"/>
        <v>6.8237599209535369E-3</v>
      </c>
    </row>
    <row r="172" spans="1:6" ht="15" customHeight="1" x14ac:dyDescent="0.2">
      <c r="A172" s="147">
        <v>3</v>
      </c>
      <c r="B172" s="169" t="s">
        <v>298</v>
      </c>
      <c r="C172" s="157">
        <v>1787585</v>
      </c>
      <c r="D172" s="157">
        <v>1732842</v>
      </c>
      <c r="E172" s="157">
        <f t="shared" si="10"/>
        <v>-54743</v>
      </c>
      <c r="F172" s="161">
        <f t="shared" si="11"/>
        <v>-3.0623998299381568E-2</v>
      </c>
    </row>
    <row r="173" spans="1:6" ht="15" customHeight="1" x14ac:dyDescent="0.2">
      <c r="A173" s="147">
        <v>4</v>
      </c>
      <c r="B173" s="169" t="s">
        <v>299</v>
      </c>
      <c r="C173" s="157">
        <v>3877856</v>
      </c>
      <c r="D173" s="157">
        <v>4590500</v>
      </c>
      <c r="E173" s="157">
        <f t="shared" si="10"/>
        <v>712644</v>
      </c>
      <c r="F173" s="161">
        <f t="shared" si="11"/>
        <v>0.18377268263700355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4072264</v>
      </c>
      <c r="D175" s="157">
        <v>4384102</v>
      </c>
      <c r="E175" s="157">
        <f t="shared" si="10"/>
        <v>311838</v>
      </c>
      <c r="F175" s="161">
        <f t="shared" si="11"/>
        <v>7.6576076600141832E-2</v>
      </c>
    </row>
    <row r="176" spans="1:6" ht="15" customHeight="1" x14ac:dyDescent="0.2">
      <c r="A176" s="147">
        <v>7</v>
      </c>
      <c r="B176" s="169" t="s">
        <v>302</v>
      </c>
      <c r="C176" s="157">
        <v>1445345</v>
      </c>
      <c r="D176" s="157">
        <v>1416375</v>
      </c>
      <c r="E176" s="157">
        <f t="shared" si="10"/>
        <v>-28970</v>
      </c>
      <c r="F176" s="161">
        <f t="shared" si="11"/>
        <v>-2.0043657396676916E-2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1277097</v>
      </c>
      <c r="D179" s="157">
        <v>2234516</v>
      </c>
      <c r="E179" s="157">
        <f t="shared" si="10"/>
        <v>957419</v>
      </c>
      <c r="F179" s="161">
        <f t="shared" si="11"/>
        <v>0.74968385330166776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34264134</v>
      </c>
      <c r="D183" s="158">
        <f>SUM(D170:D182)</f>
        <v>35141157</v>
      </c>
      <c r="E183" s="158">
        <f t="shared" si="10"/>
        <v>877023</v>
      </c>
      <c r="F183" s="159">
        <f t="shared" si="11"/>
        <v>2.5595948229714487E-2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2532485</v>
      </c>
      <c r="D186" s="157">
        <v>2095425</v>
      </c>
      <c r="E186" s="157">
        <f>D186-C186</f>
        <v>-437060</v>
      </c>
      <c r="F186" s="161">
        <f>IF(C186=0,0,E186/C186)</f>
        <v>-0.17258147629699683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231658975</v>
      </c>
      <c r="D188" s="158">
        <f>+D186+D183+D167+D130+D121</f>
        <v>213170829</v>
      </c>
      <c r="E188" s="158">
        <f>D188-C188</f>
        <v>-18488146</v>
      </c>
      <c r="F188" s="159">
        <f>IF(C188=0,0,E188/C188)</f>
        <v>-7.9807596489624461E-2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227759506</v>
      </c>
      <c r="D11" s="183">
        <v>230780700</v>
      </c>
      <c r="E11" s="76">
        <v>207698016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8617978</v>
      </c>
      <c r="D12" s="185">
        <v>10662189</v>
      </c>
      <c r="E12" s="185">
        <v>9034648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236377484</v>
      </c>
      <c r="D13" s="76">
        <f>+D11+D12</f>
        <v>241442889</v>
      </c>
      <c r="E13" s="76">
        <f>+E11+E12</f>
        <v>216732664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237912997</v>
      </c>
      <c r="D14" s="185">
        <v>231658975</v>
      </c>
      <c r="E14" s="185">
        <v>213170829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-1535513</v>
      </c>
      <c r="D15" s="76">
        <f>+D13-D14</f>
        <v>9783914</v>
      </c>
      <c r="E15" s="76">
        <f>+E13-E14</f>
        <v>3561835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134208</v>
      </c>
      <c r="D16" s="185">
        <v>2035841</v>
      </c>
      <c r="E16" s="185">
        <v>2172878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-1401305</v>
      </c>
      <c r="D17" s="76">
        <f>D15+D16</f>
        <v>11819755</v>
      </c>
      <c r="E17" s="76">
        <f>E15+E16</f>
        <v>5734713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-6.4923344254794813E-3</v>
      </c>
      <c r="D20" s="189">
        <f>IF(+D27=0,0,+D24/+D27)</f>
        <v>4.0183855074322095E-2</v>
      </c>
      <c r="E20" s="189">
        <f>IF(+E27=0,0,+E24/+E27)</f>
        <v>1.6271104730642225E-2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5.6744763383621648E-4</v>
      </c>
      <c r="D21" s="189">
        <f>IF(D27=0,0,+D26/D27)</f>
        <v>8.3614737106604761E-3</v>
      </c>
      <c r="E21" s="189">
        <f>IF(E27=0,0,+E26/E27)</f>
        <v>9.9260986275075663E-3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-5.9248867916432647E-3</v>
      </c>
      <c r="D22" s="189">
        <f>IF(D27=0,0,+D28/D27)</f>
        <v>4.8545328784982571E-2</v>
      </c>
      <c r="E22" s="189">
        <f>IF(E27=0,0,+E28/E27)</f>
        <v>2.619720335814979E-2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-1535513</v>
      </c>
      <c r="D24" s="76">
        <f>+D15</f>
        <v>9783914</v>
      </c>
      <c r="E24" s="76">
        <f>+E15</f>
        <v>3561835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236377484</v>
      </c>
      <c r="D25" s="76">
        <f>+D13</f>
        <v>241442889</v>
      </c>
      <c r="E25" s="76">
        <f>+E13</f>
        <v>216732664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134208</v>
      </c>
      <c r="D26" s="76">
        <f>+D16</f>
        <v>2035841</v>
      </c>
      <c r="E26" s="76">
        <f>+E16</f>
        <v>2172878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236511692</v>
      </c>
      <c r="D27" s="76">
        <f>+D25+D26</f>
        <v>243478730</v>
      </c>
      <c r="E27" s="76">
        <f>+E25+E26</f>
        <v>218905542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-1401305</v>
      </c>
      <c r="D28" s="76">
        <f>+D17</f>
        <v>11819755</v>
      </c>
      <c r="E28" s="76">
        <f>+E17</f>
        <v>5734713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17379947</v>
      </c>
      <c r="D31" s="76">
        <v>18516310</v>
      </c>
      <c r="E31" s="76">
        <v>18667399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63988676</v>
      </c>
      <c r="D32" s="76">
        <v>71171929</v>
      </c>
      <c r="E32" s="76">
        <v>74829268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-26765144</v>
      </c>
      <c r="D33" s="76">
        <f>+D32-C32</f>
        <v>7183253</v>
      </c>
      <c r="E33" s="76">
        <f>+E32-D32</f>
        <v>3657339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0.70499999999999996</v>
      </c>
      <c r="D34" s="193">
        <f>IF(C32=0,0,+D33/C32)</f>
        <v>0.11225819080863621</v>
      </c>
      <c r="E34" s="193">
        <f>IF(D32=0,0,+E33/D32)</f>
        <v>5.138738054999184E-2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0.28669490103291601</v>
      </c>
      <c r="D38" s="195">
        <f>IF((D40+D41)=0,0,+D39/(D40+D41))</f>
        <v>0.2591753828041593</v>
      </c>
      <c r="E38" s="195">
        <f>IF((E40+E41)=0,0,+E39/(E40+E41))</f>
        <v>0.24593670606453849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237912997</v>
      </c>
      <c r="D39" s="76">
        <v>231658975</v>
      </c>
      <c r="E39" s="196">
        <v>213170829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821229348</v>
      </c>
      <c r="D40" s="76">
        <v>883168747</v>
      </c>
      <c r="E40" s="196">
        <v>857736451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8617978</v>
      </c>
      <c r="D41" s="76">
        <v>10662189</v>
      </c>
      <c r="E41" s="196">
        <v>9034648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1.1743759422102571</v>
      </c>
      <c r="D43" s="197">
        <f>IF(D38=0,0,IF((D46-D47)=0,0,((+D44-D45)/(D46-D47)/D38)))</f>
        <v>1.2414217449065621</v>
      </c>
      <c r="E43" s="197">
        <f>IF(E38=0,0,IF((E46-E47)=0,0,((+E44-E45)/(E46-E47)/E38)))</f>
        <v>1.3196108171551306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89083836</v>
      </c>
      <c r="D44" s="76">
        <v>91743593</v>
      </c>
      <c r="E44" s="196">
        <v>90654562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1551075</v>
      </c>
      <c r="D45" s="76">
        <v>604080</v>
      </c>
      <c r="E45" s="196">
        <v>2351750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274617886</v>
      </c>
      <c r="D46" s="76">
        <v>295332674</v>
      </c>
      <c r="E46" s="196">
        <v>286257087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14635747</v>
      </c>
      <c r="D47" s="76">
        <v>12067224</v>
      </c>
      <c r="E47" s="76">
        <v>14171639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0.86581589494654942</v>
      </c>
      <c r="D49" s="198">
        <f>IF(D38=0,0,IF(D51=0,0,(D50/D51)/D38))</f>
        <v>0.94778695047467287</v>
      </c>
      <c r="E49" s="198">
        <f>IF(E38=0,0,IF(E51=0,0,(E50/E51)/E38))</f>
        <v>0.82031770913245095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97097182</v>
      </c>
      <c r="D50" s="199">
        <v>101880338</v>
      </c>
      <c r="E50" s="199">
        <v>80520052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391166003</v>
      </c>
      <c r="D51" s="199">
        <v>414749531</v>
      </c>
      <c r="E51" s="199">
        <v>399115512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0.64943483037386718</v>
      </c>
      <c r="D53" s="198">
        <f>IF(D38=0,0,IF(D55=0,0,(D54/D55)/D38))</f>
        <v>0.56609412173415374</v>
      </c>
      <c r="E53" s="198">
        <f>IF(E38=0,0,IF(E55=0,0,(E54/E55)/E38))</f>
        <v>0.84630452560571334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28787018</v>
      </c>
      <c r="D54" s="199">
        <v>25238964</v>
      </c>
      <c r="E54" s="199">
        <v>35585404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154611265</v>
      </c>
      <c r="D55" s="199">
        <v>172024035</v>
      </c>
      <c r="E55" s="199">
        <v>170970777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4466323.24701015</v>
      </c>
      <c r="D57" s="88">
        <f>+D60*D38</f>
        <v>3064711.0620532944</v>
      </c>
      <c r="E57" s="88">
        <f>+E60*E38</f>
        <v>3014287.3311209306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2456277</v>
      </c>
      <c r="D58" s="199">
        <v>1389352</v>
      </c>
      <c r="E58" s="199">
        <v>1472594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13122386</v>
      </c>
      <c r="D59" s="199">
        <v>10435502</v>
      </c>
      <c r="E59" s="199">
        <v>10783760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15578663</v>
      </c>
      <c r="D60" s="76">
        <v>11824854</v>
      </c>
      <c r="E60" s="201">
        <v>12256354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1.8772926672056298E-2</v>
      </c>
      <c r="D62" s="202">
        <f>IF(D63=0,0,+D57/D63)</f>
        <v>1.3229407848555379E-2</v>
      </c>
      <c r="E62" s="202">
        <f>IF(E63=0,0,+E57/E63)</f>
        <v>1.4140243040106255E-2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237912997</v>
      </c>
      <c r="D63" s="199">
        <v>231658975</v>
      </c>
      <c r="E63" s="199">
        <v>213170829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1.3803798342573592</v>
      </c>
      <c r="D67" s="203">
        <f>IF(D69=0,0,D68/D69)</f>
        <v>1.4927319055164381</v>
      </c>
      <c r="E67" s="203">
        <f>IF(E69=0,0,E68/E69)</f>
        <v>1.7782342330831031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50397636</v>
      </c>
      <c r="D68" s="204">
        <v>56879473</v>
      </c>
      <c r="E68" s="204">
        <v>56446772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36509977</v>
      </c>
      <c r="D69" s="204">
        <v>38104279</v>
      </c>
      <c r="E69" s="204">
        <v>31743159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16.044817482675377</v>
      </c>
      <c r="D71" s="203">
        <f>IF((D77/365)=0,0,+D74/(D77/365))</f>
        <v>37.444983346854634</v>
      </c>
      <c r="E71" s="203">
        <f>IF((E77/365)=0,0,+E74/(E77/365))</f>
        <v>42.016099710398322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10101423</v>
      </c>
      <c r="D72" s="183">
        <v>22930963</v>
      </c>
      <c r="E72" s="183">
        <v>23662300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10101423</v>
      </c>
      <c r="D74" s="204">
        <f>+D72+D73</f>
        <v>22930963</v>
      </c>
      <c r="E74" s="204">
        <f>+E72+E73</f>
        <v>23662300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237912997</v>
      </c>
      <c r="D75" s="204">
        <f>+D14</f>
        <v>231658975</v>
      </c>
      <c r="E75" s="204">
        <f>+E14</f>
        <v>213170829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8117962</v>
      </c>
      <c r="D76" s="204">
        <v>8136336</v>
      </c>
      <c r="E76" s="204">
        <v>7612970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229795035</v>
      </c>
      <c r="D77" s="204">
        <f>+D75-D76</f>
        <v>223522639</v>
      </c>
      <c r="E77" s="204">
        <f>+E75-E76</f>
        <v>205557859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42.436321208915864</v>
      </c>
      <c r="D79" s="203">
        <f>IF((D84/365)=0,0,+D83/(D84/365))</f>
        <v>41.599905039719523</v>
      </c>
      <c r="E79" s="203">
        <f>IF((E84/365)=0,0,+E83/(E84/365))</f>
        <v>38.734561889122716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23622121</v>
      </c>
      <c r="D80" s="212">
        <v>26903888</v>
      </c>
      <c r="E80" s="212">
        <v>25010738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2858086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0</v>
      </c>
      <c r="D82" s="212">
        <v>601271</v>
      </c>
      <c r="E82" s="212">
        <v>2969391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26480207</v>
      </c>
      <c r="D83" s="212">
        <f>+D80+D81-D82</f>
        <v>26302617</v>
      </c>
      <c r="E83" s="212">
        <f>+E80+E81-E82</f>
        <v>22041347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227759506</v>
      </c>
      <c r="D84" s="204">
        <f>+D11</f>
        <v>230780700</v>
      </c>
      <c r="E84" s="204">
        <f>+E11</f>
        <v>207698016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57.991425293414196</v>
      </c>
      <c r="D86" s="203">
        <f>IF((D90/365)=0,0,+D87/(D90/365))</f>
        <v>62.222161912646357</v>
      </c>
      <c r="E86" s="203">
        <f>IF((E90/365)=0,0,+E87/(E90/365))</f>
        <v>56.364923683117361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36509977</v>
      </c>
      <c r="D87" s="76">
        <f>+D69</f>
        <v>38104279</v>
      </c>
      <c r="E87" s="76">
        <f>+E69</f>
        <v>31743159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237912997</v>
      </c>
      <c r="D88" s="76">
        <f t="shared" si="0"/>
        <v>231658975</v>
      </c>
      <c r="E88" s="76">
        <f t="shared" si="0"/>
        <v>213170829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8117962</v>
      </c>
      <c r="D89" s="201">
        <f t="shared" si="0"/>
        <v>8136336</v>
      </c>
      <c r="E89" s="201">
        <f t="shared" si="0"/>
        <v>7612970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229795035</v>
      </c>
      <c r="D90" s="76">
        <f>+D88-D89</f>
        <v>223522639</v>
      </c>
      <c r="E90" s="76">
        <f>+E88-E89</f>
        <v>205557859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43.814419750565968</v>
      </c>
      <c r="D94" s="214">
        <f>IF(D96=0,0,(D95/D96)*100)</f>
        <v>45.461425078104881</v>
      </c>
      <c r="E94" s="214">
        <f>IF(E96=0,0,(E95/E96)*100)</f>
        <v>48.857386082206389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63988676</v>
      </c>
      <c r="D95" s="76">
        <f>+D32</f>
        <v>71171929</v>
      </c>
      <c r="E95" s="76">
        <f>+E32</f>
        <v>74829268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146044787</v>
      </c>
      <c r="D96" s="76">
        <v>156554549</v>
      </c>
      <c r="E96" s="76">
        <v>153158558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10.714052025320846</v>
      </c>
      <c r="D98" s="214">
        <f>IF(D104=0,0,(D101/D104)*100)</f>
        <v>31.19835824469294</v>
      </c>
      <c r="E98" s="214">
        <f>IF(E104=0,0,(E101/E104)*100)</f>
        <v>23.479901497468568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-1401305</v>
      </c>
      <c r="D99" s="76">
        <f>+D28</f>
        <v>11819755</v>
      </c>
      <c r="E99" s="76">
        <f>+E28</f>
        <v>5734713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8117962</v>
      </c>
      <c r="D100" s="201">
        <f>+D76</f>
        <v>8136336</v>
      </c>
      <c r="E100" s="201">
        <f>+E76</f>
        <v>7612970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6716657</v>
      </c>
      <c r="D101" s="76">
        <f>+D99+D100</f>
        <v>19956091</v>
      </c>
      <c r="E101" s="76">
        <f>+E99+E100</f>
        <v>13347683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36509977</v>
      </c>
      <c r="D102" s="204">
        <f>+D69</f>
        <v>38104279</v>
      </c>
      <c r="E102" s="204">
        <f>+E69</f>
        <v>31743159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26180189</v>
      </c>
      <c r="D103" s="216">
        <v>25860917</v>
      </c>
      <c r="E103" s="216">
        <v>25104111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62690166</v>
      </c>
      <c r="D104" s="204">
        <f>+D102+D103</f>
        <v>63965196</v>
      </c>
      <c r="E104" s="204">
        <f>+E102+E103</f>
        <v>56847270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29.034621873082244</v>
      </c>
      <c r="D106" s="214">
        <f>IF(D109=0,0,(D107/D109)*100)</f>
        <v>26.651714410190547</v>
      </c>
      <c r="E106" s="214">
        <f>IF(E109=0,0,(E107/E109)*100)</f>
        <v>25.120846759319527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26180189</v>
      </c>
      <c r="D107" s="204">
        <f>+D103</f>
        <v>25860917</v>
      </c>
      <c r="E107" s="204">
        <f>+E103</f>
        <v>25104111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63988676</v>
      </c>
      <c r="D108" s="204">
        <f>+D32</f>
        <v>71171929</v>
      </c>
      <c r="E108" s="204">
        <f>+E32</f>
        <v>74829268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90168865</v>
      </c>
      <c r="D109" s="204">
        <f>+D107+D108</f>
        <v>97032846</v>
      </c>
      <c r="E109" s="204">
        <f>+E107+E108</f>
        <v>99933379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4.618532555669824</v>
      </c>
      <c r="D111" s="214">
        <f>IF((+D113+D115)=0,0,((+D112+D113+D114)/(+D113+D115)))</f>
        <v>11.697983841472437</v>
      </c>
      <c r="E111" s="214">
        <f>IF((+E113+E115)=0,0,((+E112+E113+E114)/(+E113+E115)))</f>
        <v>7.1277893133347803</v>
      </c>
    </row>
    <row r="112" spans="1:6" ht="24" customHeight="1" x14ac:dyDescent="0.2">
      <c r="A112" s="85">
        <v>16</v>
      </c>
      <c r="B112" s="75" t="s">
        <v>373</v>
      </c>
      <c r="C112" s="218">
        <f>+C17</f>
        <v>-1401305</v>
      </c>
      <c r="D112" s="76">
        <f>+D17</f>
        <v>11819755</v>
      </c>
      <c r="E112" s="76">
        <f>+E17</f>
        <v>5734713</v>
      </c>
    </row>
    <row r="113" spans="1:8" ht="24" customHeight="1" x14ac:dyDescent="0.2">
      <c r="A113" s="85">
        <v>17</v>
      </c>
      <c r="B113" s="75" t="s">
        <v>88</v>
      </c>
      <c r="C113" s="218">
        <v>989771</v>
      </c>
      <c r="D113" s="76">
        <v>993606</v>
      </c>
      <c r="E113" s="76">
        <v>1073353</v>
      </c>
    </row>
    <row r="114" spans="1:8" ht="24" customHeight="1" x14ac:dyDescent="0.2">
      <c r="A114" s="85">
        <v>18</v>
      </c>
      <c r="B114" s="75" t="s">
        <v>374</v>
      </c>
      <c r="C114" s="218">
        <v>8117962</v>
      </c>
      <c r="D114" s="76">
        <v>8136336</v>
      </c>
      <c r="E114" s="76">
        <v>7612970</v>
      </c>
    </row>
    <row r="115" spans="1:8" ht="24" customHeight="1" x14ac:dyDescent="0.2">
      <c r="A115" s="85">
        <v>19</v>
      </c>
      <c r="B115" s="75" t="s">
        <v>104</v>
      </c>
      <c r="C115" s="218">
        <v>678817</v>
      </c>
      <c r="D115" s="76">
        <v>797275</v>
      </c>
      <c r="E115" s="76">
        <v>949860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26.398802063867755</v>
      </c>
      <c r="D119" s="214">
        <f>IF(+D121=0,0,(+D120)/(+D121))</f>
        <v>27.334890791137436</v>
      </c>
      <c r="E119" s="214">
        <f>IF(+E121=0,0,(+E120)/(+E121))</f>
        <v>30.145050617564497</v>
      </c>
    </row>
    <row r="120" spans="1:8" ht="24" customHeight="1" x14ac:dyDescent="0.2">
      <c r="A120" s="85">
        <v>21</v>
      </c>
      <c r="B120" s="75" t="s">
        <v>378</v>
      </c>
      <c r="C120" s="218">
        <v>214304472</v>
      </c>
      <c r="D120" s="218">
        <v>222405856</v>
      </c>
      <c r="E120" s="218">
        <v>229493366</v>
      </c>
    </row>
    <row r="121" spans="1:8" ht="24" customHeight="1" x14ac:dyDescent="0.2">
      <c r="A121" s="85">
        <v>22</v>
      </c>
      <c r="B121" s="75" t="s">
        <v>374</v>
      </c>
      <c r="C121" s="218">
        <v>8117962</v>
      </c>
      <c r="D121" s="218">
        <v>8136336</v>
      </c>
      <c r="E121" s="218">
        <v>7612970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58780</v>
      </c>
      <c r="D124" s="218">
        <v>57548</v>
      </c>
      <c r="E124" s="218">
        <v>55099</v>
      </c>
    </row>
    <row r="125" spans="1:8" ht="24" customHeight="1" x14ac:dyDescent="0.2">
      <c r="A125" s="85">
        <v>2</v>
      </c>
      <c r="B125" s="75" t="s">
        <v>381</v>
      </c>
      <c r="C125" s="218">
        <v>12758</v>
      </c>
      <c r="D125" s="218">
        <v>12364</v>
      </c>
      <c r="E125" s="218">
        <v>11847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4.6073052202539584</v>
      </c>
      <c r="D126" s="219">
        <f>IF(D125=0,0,D124/D125)</f>
        <v>4.6544807505661598</v>
      </c>
      <c r="E126" s="219">
        <f>IF(E125=0,0,E124/E125)</f>
        <v>4.6508820798514394</v>
      </c>
    </row>
    <row r="127" spans="1:8" ht="24" customHeight="1" x14ac:dyDescent="0.2">
      <c r="A127" s="85">
        <v>4</v>
      </c>
      <c r="B127" s="75" t="s">
        <v>383</v>
      </c>
      <c r="C127" s="218">
        <v>190</v>
      </c>
      <c r="D127" s="218">
        <v>190</v>
      </c>
      <c r="E127" s="218">
        <v>176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280</v>
      </c>
      <c r="E128" s="218">
        <v>268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284</v>
      </c>
      <c r="D129" s="218">
        <v>393</v>
      </c>
      <c r="E129" s="218">
        <v>393</v>
      </c>
    </row>
    <row r="130" spans="1:7" ht="24" customHeight="1" x14ac:dyDescent="0.2">
      <c r="A130" s="85">
        <v>7</v>
      </c>
      <c r="B130" s="75" t="s">
        <v>386</v>
      </c>
      <c r="C130" s="193">
        <v>0.84750000000000003</v>
      </c>
      <c r="D130" s="193">
        <v>0.82979999999999998</v>
      </c>
      <c r="E130" s="193">
        <v>0.85770000000000002</v>
      </c>
    </row>
    <row r="131" spans="1:7" ht="24" customHeight="1" x14ac:dyDescent="0.2">
      <c r="A131" s="85">
        <v>8</v>
      </c>
      <c r="B131" s="75" t="s">
        <v>387</v>
      </c>
      <c r="C131" s="193">
        <v>0.56699999999999995</v>
      </c>
      <c r="D131" s="193">
        <v>0.56299999999999994</v>
      </c>
      <c r="E131" s="193">
        <v>0.56320000000000003</v>
      </c>
    </row>
    <row r="132" spans="1:7" ht="24" customHeight="1" x14ac:dyDescent="0.2">
      <c r="A132" s="85">
        <v>9</v>
      </c>
      <c r="B132" s="75" t="s">
        <v>388</v>
      </c>
      <c r="C132" s="219">
        <v>1512.7</v>
      </c>
      <c r="D132" s="219">
        <v>1299.9000000000001</v>
      </c>
      <c r="E132" s="219">
        <v>1209.0999999999999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0.31657677557816649</v>
      </c>
      <c r="D135" s="227">
        <f>IF(D149=0,0,D143/D149)</f>
        <v>0.32073762909094428</v>
      </c>
      <c r="E135" s="227">
        <f>IF(E149=0,0,E143/E149)</f>
        <v>0.31721334412544394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0.47631761328627042</v>
      </c>
      <c r="D136" s="227">
        <f>IF(D149=0,0,D144/D149)</f>
        <v>0.46961527161014904</v>
      </c>
      <c r="E136" s="227">
        <f>IF(E149=0,0,E144/E149)</f>
        <v>0.46531252290221253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0.18826807076066648</v>
      </c>
      <c r="D137" s="227">
        <f>IF(D149=0,0,D145/D149)</f>
        <v>0.19478048287412961</v>
      </c>
      <c r="E137" s="227">
        <f>IF(E149=0,0,E145/E149)</f>
        <v>0.1993278667365391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1.7821753491449748E-2</v>
      </c>
      <c r="D139" s="227">
        <f>IF(D149=0,0,D147/D149)</f>
        <v>1.3663554152013035E-2</v>
      </c>
      <c r="E139" s="227">
        <f>IF(E149=0,0,E147/E149)</f>
        <v>1.6522136821255366E-2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1.0157868834468394E-3</v>
      </c>
      <c r="D140" s="227">
        <f>IF(D149=0,0,D148/D149)</f>
        <v>1.203062272764052E-3</v>
      </c>
      <c r="E140" s="227">
        <f>IF(E149=0,0,E148/E149)</f>
        <v>1.6241294145490385E-3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259982139</v>
      </c>
      <c r="D143" s="229">
        <f>+D46-D147</f>
        <v>283265450</v>
      </c>
      <c r="E143" s="229">
        <f>+E46-E147</f>
        <v>272085448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391166003</v>
      </c>
      <c r="D144" s="229">
        <f>+D51</f>
        <v>414749531</v>
      </c>
      <c r="E144" s="229">
        <f>+E51</f>
        <v>399115512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154611265</v>
      </c>
      <c r="D145" s="229">
        <f>+D55</f>
        <v>172024035</v>
      </c>
      <c r="E145" s="229">
        <f>+E55</f>
        <v>170970777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14635747</v>
      </c>
      <c r="D147" s="229">
        <f>+D47</f>
        <v>12067224</v>
      </c>
      <c r="E147" s="229">
        <f>+E47</f>
        <v>14171639</v>
      </c>
    </row>
    <row r="148" spans="1:7" ht="20.100000000000001" customHeight="1" x14ac:dyDescent="0.2">
      <c r="A148" s="226">
        <v>13</v>
      </c>
      <c r="B148" s="224" t="s">
        <v>402</v>
      </c>
      <c r="C148" s="230">
        <v>834194</v>
      </c>
      <c r="D148" s="229">
        <v>1062507</v>
      </c>
      <c r="E148" s="229">
        <v>1393075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821229348</v>
      </c>
      <c r="D149" s="229">
        <f>SUM(D143:D148)</f>
        <v>883168747</v>
      </c>
      <c r="E149" s="229">
        <f>SUM(E143:E148)</f>
        <v>857736451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0.40684520920482303</v>
      </c>
      <c r="D152" s="227">
        <f>IF(D166=0,0,D160/D166)</f>
        <v>0.4160373676042104</v>
      </c>
      <c r="E152" s="227">
        <f>IF(E166=0,0,E160/E166)</f>
        <v>0.42653555796568648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0.45129986616083978</v>
      </c>
      <c r="D153" s="227">
        <f>IF(D166=0,0,D161/D166)</f>
        <v>0.46506752380986727</v>
      </c>
      <c r="E153" s="227">
        <f>IF(E166=0,0,E161/E166)</f>
        <v>0.3889419207538497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0.13379973654199034</v>
      </c>
      <c r="D154" s="227">
        <f>IF(D166=0,0,D162/D166)</f>
        <v>0.11521185266392012</v>
      </c>
      <c r="E154" s="227">
        <f>IF(E166=0,0,E162/E166)</f>
        <v>0.1718907904153083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7.2092714277271677E-3</v>
      </c>
      <c r="D156" s="227">
        <f>IF(D166=0,0,D164/D166)</f>
        <v>2.7575290315886526E-3</v>
      </c>
      <c r="E156" s="227">
        <f>IF(E166=0,0,E164/E166)</f>
        <v>1.1359830742941722E-2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8.459166646196455E-4</v>
      </c>
      <c r="D157" s="227">
        <f>IF(D166=0,0,D165/D166)</f>
        <v>9.2572689041355591E-4</v>
      </c>
      <c r="E157" s="227">
        <f>IF(E166=0,0,E165/E166)</f>
        <v>1.2719001222137615E-3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0.99999999999999989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87532761</v>
      </c>
      <c r="D160" s="229">
        <f>+D44-D164</f>
        <v>91139513</v>
      </c>
      <c r="E160" s="229">
        <f>+E44-E164</f>
        <v>88302812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97097182</v>
      </c>
      <c r="D161" s="229">
        <f>+D50</f>
        <v>101880338</v>
      </c>
      <c r="E161" s="229">
        <f>+E50</f>
        <v>80520052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28787018</v>
      </c>
      <c r="D162" s="229">
        <f>+D54</f>
        <v>25238964</v>
      </c>
      <c r="E162" s="229">
        <f>+E54</f>
        <v>35585404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1551075</v>
      </c>
      <c r="D164" s="229">
        <f>+D45</f>
        <v>604080</v>
      </c>
      <c r="E164" s="229">
        <f>+E45</f>
        <v>2351750</v>
      </c>
    </row>
    <row r="165" spans="1:6" ht="20.100000000000001" customHeight="1" x14ac:dyDescent="0.2">
      <c r="A165" s="226">
        <v>13</v>
      </c>
      <c r="B165" s="224" t="s">
        <v>417</v>
      </c>
      <c r="C165" s="230">
        <v>181999</v>
      </c>
      <c r="D165" s="229">
        <v>202795</v>
      </c>
      <c r="E165" s="229">
        <v>263313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215150035</v>
      </c>
      <c r="D166" s="229">
        <f>SUM(D160:D165)</f>
        <v>219065690</v>
      </c>
      <c r="E166" s="229">
        <f>SUM(E160:E165)</f>
        <v>207023331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3719</v>
      </c>
      <c r="D169" s="218">
        <v>3407</v>
      </c>
      <c r="E169" s="218">
        <v>3287</v>
      </c>
    </row>
    <row r="170" spans="1:6" ht="20.100000000000001" customHeight="1" x14ac:dyDescent="0.2">
      <c r="A170" s="226">
        <v>2</v>
      </c>
      <c r="B170" s="224" t="s">
        <v>420</v>
      </c>
      <c r="C170" s="218">
        <v>5972</v>
      </c>
      <c r="D170" s="218">
        <v>5734</v>
      </c>
      <c r="E170" s="218">
        <v>5301</v>
      </c>
    </row>
    <row r="171" spans="1:6" ht="20.100000000000001" customHeight="1" x14ac:dyDescent="0.2">
      <c r="A171" s="226">
        <v>3</v>
      </c>
      <c r="B171" s="224" t="s">
        <v>421</v>
      </c>
      <c r="C171" s="218">
        <v>3059</v>
      </c>
      <c r="D171" s="218">
        <v>3210</v>
      </c>
      <c r="E171" s="218">
        <v>3234</v>
      </c>
    </row>
    <row r="172" spans="1:6" ht="20.100000000000001" customHeight="1" x14ac:dyDescent="0.2">
      <c r="A172" s="226">
        <v>4</v>
      </c>
      <c r="B172" s="224" t="s">
        <v>422</v>
      </c>
      <c r="C172" s="218">
        <v>3059</v>
      </c>
      <c r="D172" s="218">
        <v>3210</v>
      </c>
      <c r="E172" s="218">
        <v>3234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8</v>
      </c>
      <c r="D174" s="218">
        <v>13</v>
      </c>
      <c r="E174" s="218">
        <v>25</v>
      </c>
    </row>
    <row r="175" spans="1:6" ht="20.100000000000001" customHeight="1" x14ac:dyDescent="0.2">
      <c r="A175" s="226">
        <v>7</v>
      </c>
      <c r="B175" s="224" t="s">
        <v>425</v>
      </c>
      <c r="C175" s="218">
        <v>158</v>
      </c>
      <c r="D175" s="218">
        <v>116</v>
      </c>
      <c r="E175" s="218">
        <v>144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12758</v>
      </c>
      <c r="D176" s="218">
        <f>+D169+D170+D171+D174</f>
        <v>12364</v>
      </c>
      <c r="E176" s="218">
        <f>+E169+E170+E171+E174</f>
        <v>11847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1.2735000000000001</v>
      </c>
      <c r="D179" s="231">
        <v>1.2645</v>
      </c>
      <c r="E179" s="231">
        <v>1.2595000000000001</v>
      </c>
    </row>
    <row r="180" spans="1:6" ht="20.100000000000001" customHeight="1" x14ac:dyDescent="0.2">
      <c r="A180" s="226">
        <v>2</v>
      </c>
      <c r="B180" s="224" t="s">
        <v>420</v>
      </c>
      <c r="C180" s="231">
        <v>1.5609999999999999</v>
      </c>
      <c r="D180" s="231">
        <v>1.5455000000000001</v>
      </c>
      <c r="E180" s="231">
        <v>1.5699000000000001</v>
      </c>
    </row>
    <row r="181" spans="1:6" ht="20.100000000000001" customHeight="1" x14ac:dyDescent="0.2">
      <c r="A181" s="226">
        <v>3</v>
      </c>
      <c r="B181" s="224" t="s">
        <v>421</v>
      </c>
      <c r="C181" s="231">
        <v>0.97809999999999997</v>
      </c>
      <c r="D181" s="231">
        <v>0.95679999999999998</v>
      </c>
      <c r="E181" s="231">
        <v>0.96430000000000005</v>
      </c>
    </row>
    <row r="182" spans="1:6" ht="20.100000000000001" customHeight="1" x14ac:dyDescent="0.2">
      <c r="A182" s="226">
        <v>4</v>
      </c>
      <c r="B182" s="224" t="s">
        <v>422</v>
      </c>
      <c r="C182" s="231">
        <v>0.97809999999999997</v>
      </c>
      <c r="D182" s="231">
        <v>0.95679999999999998</v>
      </c>
      <c r="E182" s="231">
        <v>0.96430000000000005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1.3874</v>
      </c>
      <c r="D184" s="231">
        <v>0.90820000000000001</v>
      </c>
      <c r="E184" s="231">
        <v>0.81669999999999998</v>
      </c>
    </row>
    <row r="185" spans="1:6" ht="20.100000000000001" customHeight="1" x14ac:dyDescent="0.2">
      <c r="A185" s="226">
        <v>7</v>
      </c>
      <c r="B185" s="224" t="s">
        <v>425</v>
      </c>
      <c r="C185" s="231">
        <v>1.1641999999999999</v>
      </c>
      <c r="D185" s="231">
        <v>1.0808</v>
      </c>
      <c r="E185" s="231">
        <v>1.1904999999999999</v>
      </c>
    </row>
    <row r="186" spans="1:6" ht="20.100000000000001" customHeight="1" x14ac:dyDescent="0.2">
      <c r="A186" s="226">
        <v>8</v>
      </c>
      <c r="B186" s="224" t="s">
        <v>429</v>
      </c>
      <c r="C186" s="231">
        <v>1.337321</v>
      </c>
      <c r="D186" s="231">
        <v>1.314557</v>
      </c>
      <c r="E186" s="231">
        <v>1.3168709999999999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8462</v>
      </c>
      <c r="D189" s="218">
        <v>8267</v>
      </c>
      <c r="E189" s="218">
        <v>7836</v>
      </c>
    </row>
    <row r="190" spans="1:6" ht="20.100000000000001" customHeight="1" x14ac:dyDescent="0.2">
      <c r="A190" s="226">
        <v>2</v>
      </c>
      <c r="B190" s="224" t="s">
        <v>433</v>
      </c>
      <c r="C190" s="218">
        <v>48560</v>
      </c>
      <c r="D190" s="218">
        <v>47677</v>
      </c>
      <c r="E190" s="218">
        <v>46520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57022</v>
      </c>
      <c r="D191" s="218">
        <f>+D190+D189</f>
        <v>55944</v>
      </c>
      <c r="E191" s="218">
        <f>+E190+E189</f>
        <v>54356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sqref="A1:F1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3620287</v>
      </c>
      <c r="D14" s="258">
        <v>3186002</v>
      </c>
      <c r="E14" s="258">
        <f t="shared" ref="E14:E24" si="0">D14-C14</f>
        <v>-434285</v>
      </c>
      <c r="F14" s="259">
        <f t="shared" ref="F14:F24" si="1">IF(C14=0,0,E14/C14)</f>
        <v>-0.11995872150467629</v>
      </c>
    </row>
    <row r="15" spans="1:7" ht="20.25" customHeight="1" x14ac:dyDescent="0.3">
      <c r="A15" s="256">
        <v>2</v>
      </c>
      <c r="B15" s="257" t="s">
        <v>442</v>
      </c>
      <c r="C15" s="258">
        <v>999255</v>
      </c>
      <c r="D15" s="258">
        <v>588780</v>
      </c>
      <c r="E15" s="258">
        <f t="shared" si="0"/>
        <v>-410475</v>
      </c>
      <c r="F15" s="259">
        <f t="shared" si="1"/>
        <v>-0.41078103186874221</v>
      </c>
    </row>
    <row r="16" spans="1:7" ht="20.25" customHeight="1" x14ac:dyDescent="0.3">
      <c r="A16" s="256">
        <v>3</v>
      </c>
      <c r="B16" s="257" t="s">
        <v>443</v>
      </c>
      <c r="C16" s="258">
        <v>1807778</v>
      </c>
      <c r="D16" s="258">
        <v>1826992</v>
      </c>
      <c r="E16" s="258">
        <f t="shared" si="0"/>
        <v>19214</v>
      </c>
      <c r="F16" s="259">
        <f t="shared" si="1"/>
        <v>1.0628517439641372E-2</v>
      </c>
    </row>
    <row r="17" spans="1:6" ht="20.25" customHeight="1" x14ac:dyDescent="0.3">
      <c r="A17" s="256">
        <v>4</v>
      </c>
      <c r="B17" s="257" t="s">
        <v>444</v>
      </c>
      <c r="C17" s="258">
        <v>389712</v>
      </c>
      <c r="D17" s="258">
        <v>366081</v>
      </c>
      <c r="E17" s="258">
        <f t="shared" si="0"/>
        <v>-23631</v>
      </c>
      <c r="F17" s="259">
        <f t="shared" si="1"/>
        <v>-6.0637085848010835E-2</v>
      </c>
    </row>
    <row r="18" spans="1:6" ht="20.25" customHeight="1" x14ac:dyDescent="0.3">
      <c r="A18" s="256">
        <v>5</v>
      </c>
      <c r="B18" s="257" t="s">
        <v>381</v>
      </c>
      <c r="C18" s="260">
        <v>77</v>
      </c>
      <c r="D18" s="260">
        <v>70</v>
      </c>
      <c r="E18" s="260">
        <f t="shared" si="0"/>
        <v>-7</v>
      </c>
      <c r="F18" s="259">
        <f t="shared" si="1"/>
        <v>-9.0909090909090912E-2</v>
      </c>
    </row>
    <row r="19" spans="1:6" ht="20.25" customHeight="1" x14ac:dyDescent="0.3">
      <c r="A19" s="256">
        <v>6</v>
      </c>
      <c r="B19" s="257" t="s">
        <v>380</v>
      </c>
      <c r="C19" s="260">
        <v>335</v>
      </c>
      <c r="D19" s="260">
        <v>364</v>
      </c>
      <c r="E19" s="260">
        <f t="shared" si="0"/>
        <v>29</v>
      </c>
      <c r="F19" s="259">
        <f t="shared" si="1"/>
        <v>8.6567164179104483E-2</v>
      </c>
    </row>
    <row r="20" spans="1:6" ht="20.25" customHeight="1" x14ac:dyDescent="0.3">
      <c r="A20" s="256">
        <v>7</v>
      </c>
      <c r="B20" s="257" t="s">
        <v>445</v>
      </c>
      <c r="C20" s="260">
        <v>775</v>
      </c>
      <c r="D20" s="260">
        <v>771</v>
      </c>
      <c r="E20" s="260">
        <f t="shared" si="0"/>
        <v>-4</v>
      </c>
      <c r="F20" s="259">
        <f t="shared" si="1"/>
        <v>-5.1612903225806452E-3</v>
      </c>
    </row>
    <row r="21" spans="1:6" ht="20.25" customHeight="1" x14ac:dyDescent="0.3">
      <c r="A21" s="256">
        <v>8</v>
      </c>
      <c r="B21" s="257" t="s">
        <v>446</v>
      </c>
      <c r="C21" s="260">
        <v>125</v>
      </c>
      <c r="D21" s="260">
        <v>113</v>
      </c>
      <c r="E21" s="260">
        <f t="shared" si="0"/>
        <v>-12</v>
      </c>
      <c r="F21" s="259">
        <f t="shared" si="1"/>
        <v>-9.6000000000000002E-2</v>
      </c>
    </row>
    <row r="22" spans="1:6" ht="20.25" customHeight="1" x14ac:dyDescent="0.3">
      <c r="A22" s="256">
        <v>9</v>
      </c>
      <c r="B22" s="257" t="s">
        <v>447</v>
      </c>
      <c r="C22" s="260">
        <v>61</v>
      </c>
      <c r="D22" s="260">
        <v>61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5428065</v>
      </c>
      <c r="D23" s="263">
        <f>+D14+D16</f>
        <v>5012994</v>
      </c>
      <c r="E23" s="263">
        <f t="shared" si="0"/>
        <v>-415071</v>
      </c>
      <c r="F23" s="264">
        <f t="shared" si="1"/>
        <v>-7.6467580988805406E-2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1388967</v>
      </c>
      <c r="D24" s="263">
        <f>+D15+D17</f>
        <v>954861</v>
      </c>
      <c r="E24" s="263">
        <f t="shared" si="0"/>
        <v>-434106</v>
      </c>
      <c r="F24" s="264">
        <f t="shared" si="1"/>
        <v>-0.31253874282110372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11133194</v>
      </c>
      <c r="D40" s="258">
        <v>10726306</v>
      </c>
      <c r="E40" s="258">
        <f t="shared" ref="E40:E50" si="4">D40-C40</f>
        <v>-406888</v>
      </c>
      <c r="F40" s="259">
        <f t="shared" ref="F40:F50" si="5">IF(C40=0,0,E40/C40)</f>
        <v>-3.6547283735467111E-2</v>
      </c>
    </row>
    <row r="41" spans="1:6" ht="20.25" customHeight="1" x14ac:dyDescent="0.3">
      <c r="A41" s="256">
        <v>2</v>
      </c>
      <c r="B41" s="257" t="s">
        <v>442</v>
      </c>
      <c r="C41" s="258">
        <v>3194344</v>
      </c>
      <c r="D41" s="258">
        <v>2176239</v>
      </c>
      <c r="E41" s="258">
        <f t="shared" si="4"/>
        <v>-1018105</v>
      </c>
      <c r="F41" s="259">
        <f t="shared" si="5"/>
        <v>-0.31872115213640106</v>
      </c>
    </row>
    <row r="42" spans="1:6" ht="20.25" customHeight="1" x14ac:dyDescent="0.3">
      <c r="A42" s="256">
        <v>3</v>
      </c>
      <c r="B42" s="257" t="s">
        <v>443</v>
      </c>
      <c r="C42" s="258">
        <v>6680274</v>
      </c>
      <c r="D42" s="258">
        <v>8463922</v>
      </c>
      <c r="E42" s="258">
        <f t="shared" si="4"/>
        <v>1783648</v>
      </c>
      <c r="F42" s="259">
        <f t="shared" si="5"/>
        <v>0.26700222176515515</v>
      </c>
    </row>
    <row r="43" spans="1:6" ht="20.25" customHeight="1" x14ac:dyDescent="0.3">
      <c r="A43" s="256">
        <v>4</v>
      </c>
      <c r="B43" s="257" t="s">
        <v>444</v>
      </c>
      <c r="C43" s="258">
        <v>1169023</v>
      </c>
      <c r="D43" s="258">
        <v>1266420</v>
      </c>
      <c r="E43" s="258">
        <f t="shared" si="4"/>
        <v>97397</v>
      </c>
      <c r="F43" s="259">
        <f t="shared" si="5"/>
        <v>8.3314870622733683E-2</v>
      </c>
    </row>
    <row r="44" spans="1:6" ht="20.25" customHeight="1" x14ac:dyDescent="0.3">
      <c r="A44" s="256">
        <v>5</v>
      </c>
      <c r="B44" s="257" t="s">
        <v>381</v>
      </c>
      <c r="C44" s="260">
        <v>191</v>
      </c>
      <c r="D44" s="260">
        <v>207</v>
      </c>
      <c r="E44" s="260">
        <f t="shared" si="4"/>
        <v>16</v>
      </c>
      <c r="F44" s="259">
        <f t="shared" si="5"/>
        <v>8.3769633507853408E-2</v>
      </c>
    </row>
    <row r="45" spans="1:6" ht="20.25" customHeight="1" x14ac:dyDescent="0.3">
      <c r="A45" s="256">
        <v>6</v>
      </c>
      <c r="B45" s="257" t="s">
        <v>380</v>
      </c>
      <c r="C45" s="260">
        <v>1008</v>
      </c>
      <c r="D45" s="260">
        <v>928</v>
      </c>
      <c r="E45" s="260">
        <f t="shared" si="4"/>
        <v>-80</v>
      </c>
      <c r="F45" s="259">
        <f t="shared" si="5"/>
        <v>-7.9365079365079361E-2</v>
      </c>
    </row>
    <row r="46" spans="1:6" ht="20.25" customHeight="1" x14ac:dyDescent="0.3">
      <c r="A46" s="256">
        <v>7</v>
      </c>
      <c r="B46" s="257" t="s">
        <v>445</v>
      </c>
      <c r="C46" s="260">
        <v>3277</v>
      </c>
      <c r="D46" s="260">
        <v>3674</v>
      </c>
      <c r="E46" s="260">
        <f t="shared" si="4"/>
        <v>397</v>
      </c>
      <c r="F46" s="259">
        <f t="shared" si="5"/>
        <v>0.12114739090631675</v>
      </c>
    </row>
    <row r="47" spans="1:6" ht="20.25" customHeight="1" x14ac:dyDescent="0.3">
      <c r="A47" s="256">
        <v>8</v>
      </c>
      <c r="B47" s="257" t="s">
        <v>446</v>
      </c>
      <c r="C47" s="260">
        <v>253</v>
      </c>
      <c r="D47" s="260">
        <v>302</v>
      </c>
      <c r="E47" s="260">
        <f t="shared" si="4"/>
        <v>49</v>
      </c>
      <c r="F47" s="259">
        <f t="shared" si="5"/>
        <v>0.19367588932806323</v>
      </c>
    </row>
    <row r="48" spans="1:6" ht="20.25" customHeight="1" x14ac:dyDescent="0.3">
      <c r="A48" s="256">
        <v>9</v>
      </c>
      <c r="B48" s="257" t="s">
        <v>447</v>
      </c>
      <c r="C48" s="260">
        <v>152</v>
      </c>
      <c r="D48" s="260">
        <v>162</v>
      </c>
      <c r="E48" s="260">
        <f t="shared" si="4"/>
        <v>10</v>
      </c>
      <c r="F48" s="259">
        <f t="shared" si="5"/>
        <v>6.5789473684210523E-2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17813468</v>
      </c>
      <c r="D49" s="263">
        <f>+D40+D42</f>
        <v>19190228</v>
      </c>
      <c r="E49" s="263">
        <f t="shared" si="4"/>
        <v>1376760</v>
      </c>
      <c r="F49" s="264">
        <f t="shared" si="5"/>
        <v>7.7287589367774995E-2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4363367</v>
      </c>
      <c r="D50" s="263">
        <f>+D41+D43</f>
        <v>3442659</v>
      </c>
      <c r="E50" s="263">
        <f t="shared" si="4"/>
        <v>-920708</v>
      </c>
      <c r="F50" s="264">
        <f t="shared" si="5"/>
        <v>-0.21100860871890906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465497</v>
      </c>
      <c r="D66" s="258">
        <v>914274</v>
      </c>
      <c r="E66" s="258">
        <f t="shared" ref="E66:E76" si="8">D66-C66</f>
        <v>448777</v>
      </c>
      <c r="F66" s="259">
        <f t="shared" ref="F66:F76" si="9">IF(C66=0,0,E66/C66)</f>
        <v>0.96408140116907304</v>
      </c>
    </row>
    <row r="67" spans="1:6" ht="20.25" customHeight="1" x14ac:dyDescent="0.3">
      <c r="A67" s="256">
        <v>2</v>
      </c>
      <c r="B67" s="257" t="s">
        <v>442</v>
      </c>
      <c r="C67" s="258">
        <v>122903</v>
      </c>
      <c r="D67" s="258">
        <v>252791</v>
      </c>
      <c r="E67" s="258">
        <f t="shared" si="8"/>
        <v>129888</v>
      </c>
      <c r="F67" s="259">
        <f t="shared" si="9"/>
        <v>1.056833437751723</v>
      </c>
    </row>
    <row r="68" spans="1:6" ht="20.25" customHeight="1" x14ac:dyDescent="0.3">
      <c r="A68" s="256">
        <v>3</v>
      </c>
      <c r="B68" s="257" t="s">
        <v>443</v>
      </c>
      <c r="C68" s="258">
        <v>147007</v>
      </c>
      <c r="D68" s="258">
        <v>166217</v>
      </c>
      <c r="E68" s="258">
        <f t="shared" si="8"/>
        <v>19210</v>
      </c>
      <c r="F68" s="259">
        <f t="shared" si="9"/>
        <v>0.13067404953505615</v>
      </c>
    </row>
    <row r="69" spans="1:6" ht="20.25" customHeight="1" x14ac:dyDescent="0.3">
      <c r="A69" s="256">
        <v>4</v>
      </c>
      <c r="B69" s="257" t="s">
        <v>444</v>
      </c>
      <c r="C69" s="258">
        <v>32605</v>
      </c>
      <c r="D69" s="258">
        <v>30025</v>
      </c>
      <c r="E69" s="258">
        <f t="shared" si="8"/>
        <v>-2580</v>
      </c>
      <c r="F69" s="259">
        <f t="shared" si="9"/>
        <v>-7.9128967949700965E-2</v>
      </c>
    </row>
    <row r="70" spans="1:6" ht="20.25" customHeight="1" x14ac:dyDescent="0.3">
      <c r="A70" s="256">
        <v>5</v>
      </c>
      <c r="B70" s="257" t="s">
        <v>381</v>
      </c>
      <c r="C70" s="260">
        <v>9</v>
      </c>
      <c r="D70" s="260">
        <v>14</v>
      </c>
      <c r="E70" s="260">
        <f t="shared" si="8"/>
        <v>5</v>
      </c>
      <c r="F70" s="259">
        <f t="shared" si="9"/>
        <v>0.55555555555555558</v>
      </c>
    </row>
    <row r="71" spans="1:6" ht="20.25" customHeight="1" x14ac:dyDescent="0.3">
      <c r="A71" s="256">
        <v>6</v>
      </c>
      <c r="B71" s="257" t="s">
        <v>380</v>
      </c>
      <c r="C71" s="260">
        <v>64</v>
      </c>
      <c r="D71" s="260">
        <v>103</v>
      </c>
      <c r="E71" s="260">
        <f t="shared" si="8"/>
        <v>39</v>
      </c>
      <c r="F71" s="259">
        <f t="shared" si="9"/>
        <v>0.609375</v>
      </c>
    </row>
    <row r="72" spans="1:6" ht="20.25" customHeight="1" x14ac:dyDescent="0.3">
      <c r="A72" s="256">
        <v>7</v>
      </c>
      <c r="B72" s="257" t="s">
        <v>445</v>
      </c>
      <c r="C72" s="260">
        <v>104</v>
      </c>
      <c r="D72" s="260">
        <v>49</v>
      </c>
      <c r="E72" s="260">
        <f t="shared" si="8"/>
        <v>-55</v>
      </c>
      <c r="F72" s="259">
        <f t="shared" si="9"/>
        <v>-0.52884615384615385</v>
      </c>
    </row>
    <row r="73" spans="1:6" ht="20.25" customHeight="1" x14ac:dyDescent="0.3">
      <c r="A73" s="256">
        <v>8</v>
      </c>
      <c r="B73" s="257" t="s">
        <v>446</v>
      </c>
      <c r="C73" s="260">
        <v>41</v>
      </c>
      <c r="D73" s="260">
        <v>48</v>
      </c>
      <c r="E73" s="260">
        <f t="shared" si="8"/>
        <v>7</v>
      </c>
      <c r="F73" s="259">
        <f t="shared" si="9"/>
        <v>0.17073170731707318</v>
      </c>
    </row>
    <row r="74" spans="1:6" ht="20.25" customHeight="1" x14ac:dyDescent="0.3">
      <c r="A74" s="256">
        <v>9</v>
      </c>
      <c r="B74" s="257" t="s">
        <v>447</v>
      </c>
      <c r="C74" s="260">
        <v>9</v>
      </c>
      <c r="D74" s="260">
        <v>14</v>
      </c>
      <c r="E74" s="260">
        <f t="shared" si="8"/>
        <v>5</v>
      </c>
      <c r="F74" s="259">
        <f t="shared" si="9"/>
        <v>0.55555555555555558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612504</v>
      </c>
      <c r="D75" s="263">
        <f>+D66+D68</f>
        <v>1080491</v>
      </c>
      <c r="E75" s="263">
        <f t="shared" si="8"/>
        <v>467987</v>
      </c>
      <c r="F75" s="264">
        <f t="shared" si="9"/>
        <v>0.76405541841359403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155508</v>
      </c>
      <c r="D76" s="263">
        <f>+D67+D69</f>
        <v>282816</v>
      </c>
      <c r="E76" s="263">
        <f t="shared" si="8"/>
        <v>127308</v>
      </c>
      <c r="F76" s="264">
        <f t="shared" si="9"/>
        <v>0.81865884713326642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2826304</v>
      </c>
      <c r="D79" s="258">
        <v>0</v>
      </c>
      <c r="E79" s="258">
        <f t="shared" ref="E79:E89" si="10">D79-C79</f>
        <v>-2826304</v>
      </c>
      <c r="F79" s="259">
        <f t="shared" ref="F79:F89" si="11">IF(C79=0,0,E79/C79)</f>
        <v>-1</v>
      </c>
    </row>
    <row r="80" spans="1:6" ht="20.25" customHeight="1" x14ac:dyDescent="0.3">
      <c r="A80" s="256">
        <v>2</v>
      </c>
      <c r="B80" s="257" t="s">
        <v>442</v>
      </c>
      <c r="C80" s="258">
        <v>703292</v>
      </c>
      <c r="D80" s="258">
        <v>0</v>
      </c>
      <c r="E80" s="258">
        <f t="shared" si="10"/>
        <v>-703292</v>
      </c>
      <c r="F80" s="259">
        <f t="shared" si="11"/>
        <v>-1</v>
      </c>
    </row>
    <row r="81" spans="1:6" ht="20.25" customHeight="1" x14ac:dyDescent="0.3">
      <c r="A81" s="256">
        <v>3</v>
      </c>
      <c r="B81" s="257" t="s">
        <v>443</v>
      </c>
      <c r="C81" s="258">
        <v>489607</v>
      </c>
      <c r="D81" s="258">
        <v>4914</v>
      </c>
      <c r="E81" s="258">
        <f t="shared" si="10"/>
        <v>-484693</v>
      </c>
      <c r="F81" s="259">
        <f t="shared" si="11"/>
        <v>-0.98996337879156138</v>
      </c>
    </row>
    <row r="82" spans="1:6" ht="20.25" customHeight="1" x14ac:dyDescent="0.3">
      <c r="A82" s="256">
        <v>4</v>
      </c>
      <c r="B82" s="257" t="s">
        <v>444</v>
      </c>
      <c r="C82" s="258">
        <v>89403</v>
      </c>
      <c r="D82" s="258">
        <v>535</v>
      </c>
      <c r="E82" s="258">
        <f t="shared" si="10"/>
        <v>-88868</v>
      </c>
      <c r="F82" s="259">
        <f t="shared" si="11"/>
        <v>-0.99401586076529869</v>
      </c>
    </row>
    <row r="83" spans="1:6" ht="20.25" customHeight="1" x14ac:dyDescent="0.3">
      <c r="A83" s="256">
        <v>5</v>
      </c>
      <c r="B83" s="257" t="s">
        <v>381</v>
      </c>
      <c r="C83" s="260">
        <v>27</v>
      </c>
      <c r="D83" s="260">
        <v>0</v>
      </c>
      <c r="E83" s="260">
        <f t="shared" si="10"/>
        <v>-27</v>
      </c>
      <c r="F83" s="259">
        <f t="shared" si="11"/>
        <v>-1</v>
      </c>
    </row>
    <row r="84" spans="1:6" ht="20.25" customHeight="1" x14ac:dyDescent="0.3">
      <c r="A84" s="256">
        <v>6</v>
      </c>
      <c r="B84" s="257" t="s">
        <v>380</v>
      </c>
      <c r="C84" s="260">
        <v>286</v>
      </c>
      <c r="D84" s="260">
        <v>0</v>
      </c>
      <c r="E84" s="260">
        <f t="shared" si="10"/>
        <v>-286</v>
      </c>
      <c r="F84" s="259">
        <f t="shared" si="11"/>
        <v>-1</v>
      </c>
    </row>
    <row r="85" spans="1:6" ht="20.25" customHeight="1" x14ac:dyDescent="0.3">
      <c r="A85" s="256">
        <v>7</v>
      </c>
      <c r="B85" s="257" t="s">
        <v>445</v>
      </c>
      <c r="C85" s="260">
        <v>354</v>
      </c>
      <c r="D85" s="260">
        <v>10</v>
      </c>
      <c r="E85" s="260">
        <f t="shared" si="10"/>
        <v>-344</v>
      </c>
      <c r="F85" s="259">
        <f t="shared" si="11"/>
        <v>-0.97175141242937857</v>
      </c>
    </row>
    <row r="86" spans="1:6" ht="20.25" customHeight="1" x14ac:dyDescent="0.3">
      <c r="A86" s="256">
        <v>8</v>
      </c>
      <c r="B86" s="257" t="s">
        <v>446</v>
      </c>
      <c r="C86" s="260">
        <v>40</v>
      </c>
      <c r="D86" s="260">
        <v>1</v>
      </c>
      <c r="E86" s="260">
        <f t="shared" si="10"/>
        <v>-39</v>
      </c>
      <c r="F86" s="259">
        <f t="shared" si="11"/>
        <v>-0.97499999999999998</v>
      </c>
    </row>
    <row r="87" spans="1:6" ht="20.25" customHeight="1" x14ac:dyDescent="0.3">
      <c r="A87" s="256">
        <v>9</v>
      </c>
      <c r="B87" s="257" t="s">
        <v>447</v>
      </c>
      <c r="C87" s="260">
        <v>24</v>
      </c>
      <c r="D87" s="260">
        <v>0</v>
      </c>
      <c r="E87" s="260">
        <f t="shared" si="10"/>
        <v>-24</v>
      </c>
      <c r="F87" s="259">
        <f t="shared" si="11"/>
        <v>-1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3315911</v>
      </c>
      <c r="D88" s="263">
        <f>+D79+D81</f>
        <v>4914</v>
      </c>
      <c r="E88" s="263">
        <f t="shared" si="10"/>
        <v>-3310997</v>
      </c>
      <c r="F88" s="264">
        <f t="shared" si="11"/>
        <v>-0.99851805431448548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792695</v>
      </c>
      <c r="D89" s="263">
        <f>+D80+D82</f>
        <v>535</v>
      </c>
      <c r="E89" s="263">
        <f t="shared" si="10"/>
        <v>-792160</v>
      </c>
      <c r="F89" s="264">
        <f t="shared" si="11"/>
        <v>-0.999325087202518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25747032</v>
      </c>
      <c r="D92" s="258">
        <v>26305085</v>
      </c>
      <c r="E92" s="258">
        <f t="shared" ref="E92:E102" si="12">D92-C92</f>
        <v>558053</v>
      </c>
      <c r="F92" s="259">
        <f t="shared" ref="F92:F102" si="13">IF(C92=0,0,E92/C92)</f>
        <v>2.1674459409535048E-2</v>
      </c>
    </row>
    <row r="93" spans="1:6" ht="20.25" customHeight="1" x14ac:dyDescent="0.3">
      <c r="A93" s="256">
        <v>2</v>
      </c>
      <c r="B93" s="257" t="s">
        <v>442</v>
      </c>
      <c r="C93" s="258">
        <v>7105060</v>
      </c>
      <c r="D93" s="258">
        <v>5610283</v>
      </c>
      <c r="E93" s="258">
        <f t="shared" si="12"/>
        <v>-1494777</v>
      </c>
      <c r="F93" s="259">
        <f t="shared" si="13"/>
        <v>-0.21038203759011184</v>
      </c>
    </row>
    <row r="94" spans="1:6" ht="20.25" customHeight="1" x14ac:dyDescent="0.3">
      <c r="A94" s="256">
        <v>3</v>
      </c>
      <c r="B94" s="257" t="s">
        <v>443</v>
      </c>
      <c r="C94" s="258">
        <v>12571174</v>
      </c>
      <c r="D94" s="258">
        <v>14485797</v>
      </c>
      <c r="E94" s="258">
        <f t="shared" si="12"/>
        <v>1914623</v>
      </c>
      <c r="F94" s="259">
        <f t="shared" si="13"/>
        <v>0.15230264094666099</v>
      </c>
    </row>
    <row r="95" spans="1:6" ht="20.25" customHeight="1" x14ac:dyDescent="0.3">
      <c r="A95" s="256">
        <v>4</v>
      </c>
      <c r="B95" s="257" t="s">
        <v>444</v>
      </c>
      <c r="C95" s="258">
        <v>2156145</v>
      </c>
      <c r="D95" s="258">
        <v>2218498</v>
      </c>
      <c r="E95" s="258">
        <f t="shared" si="12"/>
        <v>62353</v>
      </c>
      <c r="F95" s="259">
        <f t="shared" si="13"/>
        <v>2.8918741550313175E-2</v>
      </c>
    </row>
    <row r="96" spans="1:6" ht="20.25" customHeight="1" x14ac:dyDescent="0.3">
      <c r="A96" s="256">
        <v>5</v>
      </c>
      <c r="B96" s="257" t="s">
        <v>381</v>
      </c>
      <c r="C96" s="260">
        <v>464</v>
      </c>
      <c r="D96" s="260">
        <v>531</v>
      </c>
      <c r="E96" s="260">
        <f t="shared" si="12"/>
        <v>67</v>
      </c>
      <c r="F96" s="259">
        <f t="shared" si="13"/>
        <v>0.14439655172413793</v>
      </c>
    </row>
    <row r="97" spans="1:6" ht="20.25" customHeight="1" x14ac:dyDescent="0.3">
      <c r="A97" s="256">
        <v>6</v>
      </c>
      <c r="B97" s="257" t="s">
        <v>380</v>
      </c>
      <c r="C97" s="260">
        <v>2476</v>
      </c>
      <c r="D97" s="260">
        <v>2820</v>
      </c>
      <c r="E97" s="260">
        <f t="shared" si="12"/>
        <v>344</v>
      </c>
      <c r="F97" s="259">
        <f t="shared" si="13"/>
        <v>0.13893376413570274</v>
      </c>
    </row>
    <row r="98" spans="1:6" ht="20.25" customHeight="1" x14ac:dyDescent="0.3">
      <c r="A98" s="256">
        <v>7</v>
      </c>
      <c r="B98" s="257" t="s">
        <v>445</v>
      </c>
      <c r="C98" s="260">
        <v>6464</v>
      </c>
      <c r="D98" s="260">
        <v>6925</v>
      </c>
      <c r="E98" s="260">
        <f t="shared" si="12"/>
        <v>461</v>
      </c>
      <c r="F98" s="259">
        <f t="shared" si="13"/>
        <v>7.1318069306930687E-2</v>
      </c>
    </row>
    <row r="99" spans="1:6" ht="20.25" customHeight="1" x14ac:dyDescent="0.3">
      <c r="A99" s="256">
        <v>8</v>
      </c>
      <c r="B99" s="257" t="s">
        <v>446</v>
      </c>
      <c r="C99" s="260">
        <v>669</v>
      </c>
      <c r="D99" s="260">
        <v>786</v>
      </c>
      <c r="E99" s="260">
        <f t="shared" si="12"/>
        <v>117</v>
      </c>
      <c r="F99" s="259">
        <f t="shared" si="13"/>
        <v>0.17488789237668162</v>
      </c>
    </row>
    <row r="100" spans="1:6" ht="20.25" customHeight="1" x14ac:dyDescent="0.3">
      <c r="A100" s="256">
        <v>9</v>
      </c>
      <c r="B100" s="257" t="s">
        <v>447</v>
      </c>
      <c r="C100" s="260">
        <v>394</v>
      </c>
      <c r="D100" s="260">
        <v>467</v>
      </c>
      <c r="E100" s="260">
        <f t="shared" si="12"/>
        <v>73</v>
      </c>
      <c r="F100" s="259">
        <f t="shared" si="13"/>
        <v>0.18527918781725888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38318206</v>
      </c>
      <c r="D101" s="263">
        <f>+D92+D94</f>
        <v>40790882</v>
      </c>
      <c r="E101" s="263">
        <f t="shared" si="12"/>
        <v>2472676</v>
      </c>
      <c r="F101" s="264">
        <f t="shared" si="13"/>
        <v>6.4530056548054465E-2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9261205</v>
      </c>
      <c r="D102" s="263">
        <f>+D93+D95</f>
        <v>7828781</v>
      </c>
      <c r="E102" s="263">
        <f t="shared" si="12"/>
        <v>-1432424</v>
      </c>
      <c r="F102" s="264">
        <f t="shared" si="13"/>
        <v>-0.15466928979544239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3972816</v>
      </c>
      <c r="D105" s="258">
        <v>4122765</v>
      </c>
      <c r="E105" s="258">
        <f t="shared" ref="E105:E115" si="14">D105-C105</f>
        <v>149949</v>
      </c>
      <c r="F105" s="259">
        <f t="shared" ref="F105:F115" si="15">IF(C105=0,0,E105/C105)</f>
        <v>3.7743756569647326E-2</v>
      </c>
    </row>
    <row r="106" spans="1:6" ht="20.25" customHeight="1" x14ac:dyDescent="0.3">
      <c r="A106" s="256">
        <v>2</v>
      </c>
      <c r="B106" s="257" t="s">
        <v>442</v>
      </c>
      <c r="C106" s="258">
        <v>1027949</v>
      </c>
      <c r="D106" s="258">
        <v>844942</v>
      </c>
      <c r="E106" s="258">
        <f t="shared" si="14"/>
        <v>-183007</v>
      </c>
      <c r="F106" s="259">
        <f t="shared" si="15"/>
        <v>-0.1780312058283047</v>
      </c>
    </row>
    <row r="107" spans="1:6" ht="20.25" customHeight="1" x14ac:dyDescent="0.3">
      <c r="A107" s="256">
        <v>3</v>
      </c>
      <c r="B107" s="257" t="s">
        <v>443</v>
      </c>
      <c r="C107" s="258">
        <v>2162250</v>
      </c>
      <c r="D107" s="258">
        <v>2792540</v>
      </c>
      <c r="E107" s="258">
        <f t="shared" si="14"/>
        <v>630290</v>
      </c>
      <c r="F107" s="259">
        <f t="shared" si="15"/>
        <v>0.29149728292288124</v>
      </c>
    </row>
    <row r="108" spans="1:6" ht="20.25" customHeight="1" x14ac:dyDescent="0.3">
      <c r="A108" s="256">
        <v>4</v>
      </c>
      <c r="B108" s="257" t="s">
        <v>444</v>
      </c>
      <c r="C108" s="258">
        <v>370218</v>
      </c>
      <c r="D108" s="258">
        <v>422335</v>
      </c>
      <c r="E108" s="258">
        <f t="shared" si="14"/>
        <v>52117</v>
      </c>
      <c r="F108" s="259">
        <f t="shared" si="15"/>
        <v>0.14077381434722244</v>
      </c>
    </row>
    <row r="109" spans="1:6" ht="20.25" customHeight="1" x14ac:dyDescent="0.3">
      <c r="A109" s="256">
        <v>5</v>
      </c>
      <c r="B109" s="257" t="s">
        <v>381</v>
      </c>
      <c r="C109" s="260">
        <v>79</v>
      </c>
      <c r="D109" s="260">
        <v>90</v>
      </c>
      <c r="E109" s="260">
        <f t="shared" si="14"/>
        <v>11</v>
      </c>
      <c r="F109" s="259">
        <f t="shared" si="15"/>
        <v>0.13924050632911392</v>
      </c>
    </row>
    <row r="110" spans="1:6" ht="20.25" customHeight="1" x14ac:dyDescent="0.3">
      <c r="A110" s="256">
        <v>6</v>
      </c>
      <c r="B110" s="257" t="s">
        <v>380</v>
      </c>
      <c r="C110" s="260">
        <v>410</v>
      </c>
      <c r="D110" s="260">
        <v>530</v>
      </c>
      <c r="E110" s="260">
        <f t="shared" si="14"/>
        <v>120</v>
      </c>
      <c r="F110" s="259">
        <f t="shared" si="15"/>
        <v>0.29268292682926828</v>
      </c>
    </row>
    <row r="111" spans="1:6" ht="20.25" customHeight="1" x14ac:dyDescent="0.3">
      <c r="A111" s="256">
        <v>7</v>
      </c>
      <c r="B111" s="257" t="s">
        <v>445</v>
      </c>
      <c r="C111" s="260">
        <v>1191</v>
      </c>
      <c r="D111" s="260">
        <v>1336</v>
      </c>
      <c r="E111" s="260">
        <f t="shared" si="14"/>
        <v>145</v>
      </c>
      <c r="F111" s="259">
        <f t="shared" si="15"/>
        <v>0.12174643157010916</v>
      </c>
    </row>
    <row r="112" spans="1:6" ht="20.25" customHeight="1" x14ac:dyDescent="0.3">
      <c r="A112" s="256">
        <v>8</v>
      </c>
      <c r="B112" s="257" t="s">
        <v>446</v>
      </c>
      <c r="C112" s="260">
        <v>237</v>
      </c>
      <c r="D112" s="260">
        <v>267</v>
      </c>
      <c r="E112" s="260">
        <f t="shared" si="14"/>
        <v>30</v>
      </c>
      <c r="F112" s="259">
        <f t="shared" si="15"/>
        <v>0.12658227848101267</v>
      </c>
    </row>
    <row r="113" spans="1:6" ht="20.25" customHeight="1" x14ac:dyDescent="0.3">
      <c r="A113" s="256">
        <v>9</v>
      </c>
      <c r="B113" s="257" t="s">
        <v>447</v>
      </c>
      <c r="C113" s="260">
        <v>71</v>
      </c>
      <c r="D113" s="260">
        <v>74</v>
      </c>
      <c r="E113" s="260">
        <f t="shared" si="14"/>
        <v>3</v>
      </c>
      <c r="F113" s="259">
        <f t="shared" si="15"/>
        <v>4.2253521126760563E-2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6135066</v>
      </c>
      <c r="D114" s="263">
        <f>+D105+D107</f>
        <v>6915305</v>
      </c>
      <c r="E114" s="263">
        <f t="shared" si="14"/>
        <v>780239</v>
      </c>
      <c r="F114" s="264">
        <f t="shared" si="15"/>
        <v>0.12717695294557549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1398167</v>
      </c>
      <c r="D115" s="263">
        <f>+D106+D108</f>
        <v>1267277</v>
      </c>
      <c r="E115" s="263">
        <f t="shared" si="14"/>
        <v>-130890</v>
      </c>
      <c r="F115" s="264">
        <f t="shared" si="15"/>
        <v>-9.3615426483388609E-2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3890693</v>
      </c>
      <c r="D118" s="258">
        <v>7702396</v>
      </c>
      <c r="E118" s="258">
        <f t="shared" ref="E118:E128" si="16">D118-C118</f>
        <v>3811703</v>
      </c>
      <c r="F118" s="259">
        <f t="shared" ref="F118:F128" si="17">IF(C118=0,0,E118/C118)</f>
        <v>0.9796977042393219</v>
      </c>
    </row>
    <row r="119" spans="1:6" ht="20.25" customHeight="1" x14ac:dyDescent="0.3">
      <c r="A119" s="256">
        <v>2</v>
      </c>
      <c r="B119" s="257" t="s">
        <v>442</v>
      </c>
      <c r="C119" s="258">
        <v>1117087</v>
      </c>
      <c r="D119" s="258">
        <v>1552647</v>
      </c>
      <c r="E119" s="258">
        <f t="shared" si="16"/>
        <v>435560</v>
      </c>
      <c r="F119" s="259">
        <f t="shared" si="17"/>
        <v>0.38990696337885949</v>
      </c>
    </row>
    <row r="120" spans="1:6" ht="20.25" customHeight="1" x14ac:dyDescent="0.3">
      <c r="A120" s="256">
        <v>3</v>
      </c>
      <c r="B120" s="257" t="s">
        <v>443</v>
      </c>
      <c r="C120" s="258">
        <v>2037819</v>
      </c>
      <c r="D120" s="258">
        <v>5146377</v>
      </c>
      <c r="E120" s="258">
        <f t="shared" si="16"/>
        <v>3108558</v>
      </c>
      <c r="F120" s="259">
        <f t="shared" si="17"/>
        <v>1.5254338093815005</v>
      </c>
    </row>
    <row r="121" spans="1:6" ht="20.25" customHeight="1" x14ac:dyDescent="0.3">
      <c r="A121" s="256">
        <v>4</v>
      </c>
      <c r="B121" s="257" t="s">
        <v>444</v>
      </c>
      <c r="C121" s="258">
        <v>343937</v>
      </c>
      <c r="D121" s="258">
        <v>821849</v>
      </c>
      <c r="E121" s="258">
        <f t="shared" si="16"/>
        <v>477912</v>
      </c>
      <c r="F121" s="259">
        <f t="shared" si="17"/>
        <v>1.3895335482951821</v>
      </c>
    </row>
    <row r="122" spans="1:6" ht="20.25" customHeight="1" x14ac:dyDescent="0.3">
      <c r="A122" s="256">
        <v>5</v>
      </c>
      <c r="B122" s="257" t="s">
        <v>381</v>
      </c>
      <c r="C122" s="260">
        <v>78</v>
      </c>
      <c r="D122" s="260">
        <v>138</v>
      </c>
      <c r="E122" s="260">
        <f t="shared" si="16"/>
        <v>60</v>
      </c>
      <c r="F122" s="259">
        <f t="shared" si="17"/>
        <v>0.76923076923076927</v>
      </c>
    </row>
    <row r="123" spans="1:6" ht="20.25" customHeight="1" x14ac:dyDescent="0.3">
      <c r="A123" s="256">
        <v>6</v>
      </c>
      <c r="B123" s="257" t="s">
        <v>380</v>
      </c>
      <c r="C123" s="260">
        <v>381</v>
      </c>
      <c r="D123" s="260">
        <v>746</v>
      </c>
      <c r="E123" s="260">
        <f t="shared" si="16"/>
        <v>365</v>
      </c>
      <c r="F123" s="259">
        <f t="shared" si="17"/>
        <v>0.95800524934383202</v>
      </c>
    </row>
    <row r="124" spans="1:6" ht="20.25" customHeight="1" x14ac:dyDescent="0.3">
      <c r="A124" s="256">
        <v>7</v>
      </c>
      <c r="B124" s="257" t="s">
        <v>445</v>
      </c>
      <c r="C124" s="260">
        <v>924</v>
      </c>
      <c r="D124" s="260">
        <v>2135</v>
      </c>
      <c r="E124" s="260">
        <f t="shared" si="16"/>
        <v>1211</v>
      </c>
      <c r="F124" s="259">
        <f t="shared" si="17"/>
        <v>1.3106060606060606</v>
      </c>
    </row>
    <row r="125" spans="1:6" ht="20.25" customHeight="1" x14ac:dyDescent="0.3">
      <c r="A125" s="256">
        <v>8</v>
      </c>
      <c r="B125" s="257" t="s">
        <v>446</v>
      </c>
      <c r="C125" s="260">
        <v>102</v>
      </c>
      <c r="D125" s="260">
        <v>217</v>
      </c>
      <c r="E125" s="260">
        <f t="shared" si="16"/>
        <v>115</v>
      </c>
      <c r="F125" s="259">
        <f t="shared" si="17"/>
        <v>1.1274509803921569</v>
      </c>
    </row>
    <row r="126" spans="1:6" ht="20.25" customHeight="1" x14ac:dyDescent="0.3">
      <c r="A126" s="256">
        <v>9</v>
      </c>
      <c r="B126" s="257" t="s">
        <v>447</v>
      </c>
      <c r="C126" s="260">
        <v>59</v>
      </c>
      <c r="D126" s="260">
        <v>114</v>
      </c>
      <c r="E126" s="260">
        <f t="shared" si="16"/>
        <v>55</v>
      </c>
      <c r="F126" s="259">
        <f t="shared" si="17"/>
        <v>0.93220338983050843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5928512</v>
      </c>
      <c r="D127" s="263">
        <f>+D118+D120</f>
        <v>12848773</v>
      </c>
      <c r="E127" s="263">
        <f t="shared" si="16"/>
        <v>6920261</v>
      </c>
      <c r="F127" s="264">
        <f t="shared" si="17"/>
        <v>1.1672846407327842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1461024</v>
      </c>
      <c r="D128" s="263">
        <f>+D119+D121</f>
        <v>2374496</v>
      </c>
      <c r="E128" s="263">
        <f t="shared" si="16"/>
        <v>913472</v>
      </c>
      <c r="F128" s="264">
        <f t="shared" si="17"/>
        <v>0.62522723788247148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1048557</v>
      </c>
      <c r="D183" s="258">
        <v>81494</v>
      </c>
      <c r="E183" s="258">
        <f t="shared" ref="E183:E193" si="26">D183-C183</f>
        <v>-967063</v>
      </c>
      <c r="F183" s="259">
        <f t="shared" ref="F183:F193" si="27">IF(C183=0,0,E183/C183)</f>
        <v>-0.92227985698440806</v>
      </c>
    </row>
    <row r="184" spans="1:6" ht="20.25" customHeight="1" x14ac:dyDescent="0.3">
      <c r="A184" s="256">
        <v>2</v>
      </c>
      <c r="B184" s="257" t="s">
        <v>442</v>
      </c>
      <c r="C184" s="258">
        <v>315923</v>
      </c>
      <c r="D184" s="258">
        <v>16121</v>
      </c>
      <c r="E184" s="258">
        <f t="shared" si="26"/>
        <v>-299802</v>
      </c>
      <c r="F184" s="259">
        <f t="shared" si="27"/>
        <v>-0.94897174311461974</v>
      </c>
    </row>
    <row r="185" spans="1:6" ht="20.25" customHeight="1" x14ac:dyDescent="0.3">
      <c r="A185" s="256">
        <v>3</v>
      </c>
      <c r="B185" s="257" t="s">
        <v>443</v>
      </c>
      <c r="C185" s="258">
        <v>256346</v>
      </c>
      <c r="D185" s="258">
        <v>66714</v>
      </c>
      <c r="E185" s="258">
        <f t="shared" si="26"/>
        <v>-189632</v>
      </c>
      <c r="F185" s="259">
        <f t="shared" si="27"/>
        <v>-0.73975018139545767</v>
      </c>
    </row>
    <row r="186" spans="1:6" ht="20.25" customHeight="1" x14ac:dyDescent="0.3">
      <c r="A186" s="256">
        <v>4</v>
      </c>
      <c r="B186" s="257" t="s">
        <v>444</v>
      </c>
      <c r="C186" s="258">
        <v>48416</v>
      </c>
      <c r="D186" s="258">
        <v>10996</v>
      </c>
      <c r="E186" s="258">
        <f t="shared" si="26"/>
        <v>-37420</v>
      </c>
      <c r="F186" s="259">
        <f t="shared" si="27"/>
        <v>-0.7728849966953073</v>
      </c>
    </row>
    <row r="187" spans="1:6" ht="20.25" customHeight="1" x14ac:dyDescent="0.3">
      <c r="A187" s="256">
        <v>5</v>
      </c>
      <c r="B187" s="257" t="s">
        <v>381</v>
      </c>
      <c r="C187" s="260">
        <v>24</v>
      </c>
      <c r="D187" s="260">
        <v>2</v>
      </c>
      <c r="E187" s="260">
        <f t="shared" si="26"/>
        <v>-22</v>
      </c>
      <c r="F187" s="259">
        <f t="shared" si="27"/>
        <v>-0.91666666666666663</v>
      </c>
    </row>
    <row r="188" spans="1:6" ht="20.25" customHeight="1" x14ac:dyDescent="0.3">
      <c r="A188" s="256">
        <v>6</v>
      </c>
      <c r="B188" s="257" t="s">
        <v>380</v>
      </c>
      <c r="C188" s="260">
        <v>122</v>
      </c>
      <c r="D188" s="260">
        <v>12</v>
      </c>
      <c r="E188" s="260">
        <f t="shared" si="26"/>
        <v>-110</v>
      </c>
      <c r="F188" s="259">
        <f t="shared" si="27"/>
        <v>-0.90163934426229508</v>
      </c>
    </row>
    <row r="189" spans="1:6" ht="20.25" customHeight="1" x14ac:dyDescent="0.3">
      <c r="A189" s="256">
        <v>7</v>
      </c>
      <c r="B189" s="257" t="s">
        <v>445</v>
      </c>
      <c r="C189" s="260">
        <v>91</v>
      </c>
      <c r="D189" s="260">
        <v>12</v>
      </c>
      <c r="E189" s="260">
        <f t="shared" si="26"/>
        <v>-79</v>
      </c>
      <c r="F189" s="259">
        <f t="shared" si="27"/>
        <v>-0.86813186813186816</v>
      </c>
    </row>
    <row r="190" spans="1:6" ht="20.25" customHeight="1" x14ac:dyDescent="0.3">
      <c r="A190" s="256">
        <v>8</v>
      </c>
      <c r="B190" s="257" t="s">
        <v>446</v>
      </c>
      <c r="C190" s="260">
        <v>45</v>
      </c>
      <c r="D190" s="260">
        <v>9</v>
      </c>
      <c r="E190" s="260">
        <f t="shared" si="26"/>
        <v>-36</v>
      </c>
      <c r="F190" s="259">
        <f t="shared" si="27"/>
        <v>-0.8</v>
      </c>
    </row>
    <row r="191" spans="1:6" ht="20.25" customHeight="1" x14ac:dyDescent="0.3">
      <c r="A191" s="256">
        <v>9</v>
      </c>
      <c r="B191" s="257" t="s">
        <v>447</v>
      </c>
      <c r="C191" s="260">
        <v>21</v>
      </c>
      <c r="D191" s="260">
        <v>2</v>
      </c>
      <c r="E191" s="260">
        <f t="shared" si="26"/>
        <v>-19</v>
      </c>
      <c r="F191" s="259">
        <f t="shared" si="27"/>
        <v>-0.90476190476190477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1304903</v>
      </c>
      <c r="D192" s="263">
        <f>+D183+D185</f>
        <v>148208</v>
      </c>
      <c r="E192" s="263">
        <f t="shared" si="26"/>
        <v>-1156695</v>
      </c>
      <c r="F192" s="264">
        <f t="shared" si="27"/>
        <v>-0.8864222091603744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364339</v>
      </c>
      <c r="D193" s="263">
        <f>+D184+D186</f>
        <v>27117</v>
      </c>
      <c r="E193" s="263">
        <f t="shared" si="26"/>
        <v>-337222</v>
      </c>
      <c r="F193" s="264">
        <f t="shared" si="27"/>
        <v>-0.92557206338053299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52704380</v>
      </c>
      <c r="D198" s="263">
        <f t="shared" si="28"/>
        <v>53038322</v>
      </c>
      <c r="E198" s="263">
        <f t="shared" ref="E198:E208" si="29">D198-C198</f>
        <v>333942</v>
      </c>
      <c r="F198" s="273">
        <f t="shared" ref="F198:F208" si="30">IF(C198=0,0,E198/C198)</f>
        <v>6.3361337330977048E-3</v>
      </c>
    </row>
    <row r="199" spans="1:9" ht="20.25" customHeight="1" x14ac:dyDescent="0.3">
      <c r="A199" s="271"/>
      <c r="B199" s="272" t="s">
        <v>466</v>
      </c>
      <c r="C199" s="263">
        <f t="shared" si="28"/>
        <v>14585813</v>
      </c>
      <c r="D199" s="263">
        <f t="shared" si="28"/>
        <v>11041803</v>
      </c>
      <c r="E199" s="263">
        <f t="shared" si="29"/>
        <v>-3544010</v>
      </c>
      <c r="F199" s="273">
        <f t="shared" si="30"/>
        <v>-0.24297651423338554</v>
      </c>
    </row>
    <row r="200" spans="1:9" ht="20.25" customHeight="1" x14ac:dyDescent="0.3">
      <c r="A200" s="271"/>
      <c r="B200" s="272" t="s">
        <v>467</v>
      </c>
      <c r="C200" s="263">
        <f t="shared" si="28"/>
        <v>26152255</v>
      </c>
      <c r="D200" s="263">
        <f t="shared" si="28"/>
        <v>32953473</v>
      </c>
      <c r="E200" s="263">
        <f t="shared" si="29"/>
        <v>6801218</v>
      </c>
      <c r="F200" s="273">
        <f t="shared" si="30"/>
        <v>0.26006239232525075</v>
      </c>
    </row>
    <row r="201" spans="1:9" ht="20.25" customHeight="1" x14ac:dyDescent="0.3">
      <c r="A201" s="271"/>
      <c r="B201" s="272" t="s">
        <v>468</v>
      </c>
      <c r="C201" s="263">
        <f t="shared" si="28"/>
        <v>4599459</v>
      </c>
      <c r="D201" s="263">
        <f t="shared" si="28"/>
        <v>5136739</v>
      </c>
      <c r="E201" s="263">
        <f t="shared" si="29"/>
        <v>537280</v>
      </c>
      <c r="F201" s="273">
        <f t="shared" si="30"/>
        <v>0.11681373831139706</v>
      </c>
    </row>
    <row r="202" spans="1:9" ht="20.25" customHeight="1" x14ac:dyDescent="0.3">
      <c r="A202" s="271"/>
      <c r="B202" s="272" t="s">
        <v>138</v>
      </c>
      <c r="C202" s="274">
        <f t="shared" si="28"/>
        <v>949</v>
      </c>
      <c r="D202" s="274">
        <f t="shared" si="28"/>
        <v>1052</v>
      </c>
      <c r="E202" s="274">
        <f t="shared" si="29"/>
        <v>103</v>
      </c>
      <c r="F202" s="273">
        <f t="shared" si="30"/>
        <v>0.10853530031612224</v>
      </c>
    </row>
    <row r="203" spans="1:9" ht="20.25" customHeight="1" x14ac:dyDescent="0.3">
      <c r="A203" s="271"/>
      <c r="B203" s="272" t="s">
        <v>140</v>
      </c>
      <c r="C203" s="274">
        <f t="shared" si="28"/>
        <v>5082</v>
      </c>
      <c r="D203" s="274">
        <f t="shared" si="28"/>
        <v>5503</v>
      </c>
      <c r="E203" s="274">
        <f t="shared" si="29"/>
        <v>421</v>
      </c>
      <c r="F203" s="273">
        <f t="shared" si="30"/>
        <v>8.2841401023219199E-2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13180</v>
      </c>
      <c r="D204" s="274">
        <f t="shared" si="28"/>
        <v>14912</v>
      </c>
      <c r="E204" s="274">
        <f t="shared" si="29"/>
        <v>1732</v>
      </c>
      <c r="F204" s="273">
        <f t="shared" si="30"/>
        <v>0.1314112291350531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1512</v>
      </c>
      <c r="D205" s="274">
        <f t="shared" si="28"/>
        <v>1743</v>
      </c>
      <c r="E205" s="274">
        <f t="shared" si="29"/>
        <v>231</v>
      </c>
      <c r="F205" s="273">
        <f t="shared" si="30"/>
        <v>0.15277777777777779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791</v>
      </c>
      <c r="D206" s="274">
        <f t="shared" si="28"/>
        <v>894</v>
      </c>
      <c r="E206" s="274">
        <f t="shared" si="29"/>
        <v>103</v>
      </c>
      <c r="F206" s="273">
        <f t="shared" si="30"/>
        <v>0.13021491782553729</v>
      </c>
    </row>
    <row r="207" spans="1:9" ht="20.25" customHeight="1" x14ac:dyDescent="0.3">
      <c r="A207" s="271"/>
      <c r="B207" s="262" t="s">
        <v>471</v>
      </c>
      <c r="C207" s="263">
        <f>+C198+C200</f>
        <v>78856635</v>
      </c>
      <c r="D207" s="263">
        <f>+D198+D200</f>
        <v>85991795</v>
      </c>
      <c r="E207" s="263">
        <f t="shared" si="29"/>
        <v>7135160</v>
      </c>
      <c r="F207" s="273">
        <f t="shared" si="30"/>
        <v>9.0482684177431619E-2</v>
      </c>
    </row>
    <row r="208" spans="1:9" ht="20.25" customHeight="1" x14ac:dyDescent="0.3">
      <c r="A208" s="271"/>
      <c r="B208" s="262" t="s">
        <v>472</v>
      </c>
      <c r="C208" s="263">
        <f>+C199+C201</f>
        <v>19185272</v>
      </c>
      <c r="D208" s="263">
        <f>+D199+D201</f>
        <v>16178542</v>
      </c>
      <c r="E208" s="263">
        <f t="shared" si="29"/>
        <v>-3006730</v>
      </c>
      <c r="F208" s="273">
        <f t="shared" si="30"/>
        <v>-0.15672073869997777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sqref="A1:F1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3379495</v>
      </c>
      <c r="D26" s="258">
        <v>0</v>
      </c>
      <c r="E26" s="258">
        <f t="shared" ref="E26:E36" si="2">D26-C26</f>
        <v>-3379495</v>
      </c>
      <c r="F26" s="259">
        <f t="shared" ref="F26:F36" si="3">IF(C26=0,0,E26/C26)</f>
        <v>-1</v>
      </c>
    </row>
    <row r="27" spans="1:6" ht="20.25" customHeight="1" x14ac:dyDescent="0.3">
      <c r="A27" s="256">
        <v>2</v>
      </c>
      <c r="B27" s="257" t="s">
        <v>442</v>
      </c>
      <c r="C27" s="258">
        <v>565599</v>
      </c>
      <c r="D27" s="258">
        <v>0</v>
      </c>
      <c r="E27" s="258">
        <f t="shared" si="2"/>
        <v>-565599</v>
      </c>
      <c r="F27" s="259">
        <f t="shared" si="3"/>
        <v>-1</v>
      </c>
    </row>
    <row r="28" spans="1:6" ht="20.25" customHeight="1" x14ac:dyDescent="0.3">
      <c r="A28" s="256">
        <v>3</v>
      </c>
      <c r="B28" s="257" t="s">
        <v>443</v>
      </c>
      <c r="C28" s="258">
        <v>5630740</v>
      </c>
      <c r="D28" s="258">
        <v>0</v>
      </c>
      <c r="E28" s="258">
        <f t="shared" si="2"/>
        <v>-5630740</v>
      </c>
      <c r="F28" s="259">
        <f t="shared" si="3"/>
        <v>-1</v>
      </c>
    </row>
    <row r="29" spans="1:6" ht="20.25" customHeight="1" x14ac:dyDescent="0.3">
      <c r="A29" s="256">
        <v>4</v>
      </c>
      <c r="B29" s="257" t="s">
        <v>444</v>
      </c>
      <c r="C29" s="258">
        <v>955224</v>
      </c>
      <c r="D29" s="258">
        <v>0</v>
      </c>
      <c r="E29" s="258">
        <f t="shared" si="2"/>
        <v>-955224</v>
      </c>
      <c r="F29" s="259">
        <f t="shared" si="3"/>
        <v>-1</v>
      </c>
    </row>
    <row r="30" spans="1:6" ht="20.25" customHeight="1" x14ac:dyDescent="0.3">
      <c r="A30" s="256">
        <v>5</v>
      </c>
      <c r="B30" s="257" t="s">
        <v>381</v>
      </c>
      <c r="C30" s="260">
        <v>165</v>
      </c>
      <c r="D30" s="260">
        <v>0</v>
      </c>
      <c r="E30" s="260">
        <f t="shared" si="2"/>
        <v>-165</v>
      </c>
      <c r="F30" s="259">
        <f t="shared" si="3"/>
        <v>-1</v>
      </c>
    </row>
    <row r="31" spans="1:6" ht="20.25" customHeight="1" x14ac:dyDescent="0.3">
      <c r="A31" s="256">
        <v>6</v>
      </c>
      <c r="B31" s="257" t="s">
        <v>380</v>
      </c>
      <c r="C31" s="260">
        <v>569</v>
      </c>
      <c r="D31" s="260">
        <v>0</v>
      </c>
      <c r="E31" s="260">
        <f t="shared" si="2"/>
        <v>-569</v>
      </c>
      <c r="F31" s="259">
        <f t="shared" si="3"/>
        <v>-1</v>
      </c>
    </row>
    <row r="32" spans="1:6" ht="20.25" customHeight="1" x14ac:dyDescent="0.3">
      <c r="A32" s="256">
        <v>7</v>
      </c>
      <c r="B32" s="257" t="s">
        <v>445</v>
      </c>
      <c r="C32" s="260">
        <v>2441</v>
      </c>
      <c r="D32" s="260">
        <v>0</v>
      </c>
      <c r="E32" s="260">
        <f t="shared" si="2"/>
        <v>-2441</v>
      </c>
      <c r="F32" s="259">
        <f t="shared" si="3"/>
        <v>-1</v>
      </c>
    </row>
    <row r="33" spans="1:6" ht="20.25" customHeight="1" x14ac:dyDescent="0.3">
      <c r="A33" s="256">
        <v>8</v>
      </c>
      <c r="B33" s="257" t="s">
        <v>446</v>
      </c>
      <c r="C33" s="260">
        <v>1660</v>
      </c>
      <c r="D33" s="260">
        <v>0</v>
      </c>
      <c r="E33" s="260">
        <f t="shared" si="2"/>
        <v>-1660</v>
      </c>
      <c r="F33" s="259">
        <f t="shared" si="3"/>
        <v>-1</v>
      </c>
    </row>
    <row r="34" spans="1:6" ht="20.25" customHeight="1" x14ac:dyDescent="0.3">
      <c r="A34" s="256">
        <v>9</v>
      </c>
      <c r="B34" s="257" t="s">
        <v>447</v>
      </c>
      <c r="C34" s="260">
        <v>43</v>
      </c>
      <c r="D34" s="260">
        <v>0</v>
      </c>
      <c r="E34" s="260">
        <f t="shared" si="2"/>
        <v>-43</v>
      </c>
      <c r="F34" s="259">
        <f t="shared" si="3"/>
        <v>-1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9010235</v>
      </c>
      <c r="D35" s="263">
        <f>+D26+D28</f>
        <v>0</v>
      </c>
      <c r="E35" s="263">
        <f t="shared" si="2"/>
        <v>-9010235</v>
      </c>
      <c r="F35" s="264">
        <f t="shared" si="3"/>
        <v>-1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1520823</v>
      </c>
      <c r="D36" s="263">
        <f>+D27+D29</f>
        <v>0</v>
      </c>
      <c r="E36" s="263">
        <f t="shared" si="2"/>
        <v>-1520823</v>
      </c>
      <c r="F36" s="264">
        <f t="shared" si="3"/>
        <v>-1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1494806</v>
      </c>
      <c r="D50" s="258">
        <v>0</v>
      </c>
      <c r="E50" s="258">
        <f t="shared" ref="E50:E60" si="6">D50-C50</f>
        <v>-1494806</v>
      </c>
      <c r="F50" s="259">
        <f t="shared" ref="F50:F60" si="7">IF(C50=0,0,E50/C50)</f>
        <v>-1</v>
      </c>
    </row>
    <row r="51" spans="1:6" ht="20.25" customHeight="1" x14ac:dyDescent="0.3">
      <c r="A51" s="256">
        <v>2</v>
      </c>
      <c r="B51" s="257" t="s">
        <v>442</v>
      </c>
      <c r="C51" s="258">
        <v>199960</v>
      </c>
      <c r="D51" s="258">
        <v>0</v>
      </c>
      <c r="E51" s="258">
        <f t="shared" si="6"/>
        <v>-199960</v>
      </c>
      <c r="F51" s="259">
        <f t="shared" si="7"/>
        <v>-1</v>
      </c>
    </row>
    <row r="52" spans="1:6" ht="20.25" customHeight="1" x14ac:dyDescent="0.3">
      <c r="A52" s="256">
        <v>3</v>
      </c>
      <c r="B52" s="257" t="s">
        <v>443</v>
      </c>
      <c r="C52" s="258">
        <v>1113482</v>
      </c>
      <c r="D52" s="258">
        <v>0</v>
      </c>
      <c r="E52" s="258">
        <f t="shared" si="6"/>
        <v>-1113482</v>
      </c>
      <c r="F52" s="259">
        <f t="shared" si="7"/>
        <v>-1</v>
      </c>
    </row>
    <row r="53" spans="1:6" ht="20.25" customHeight="1" x14ac:dyDescent="0.3">
      <c r="A53" s="256">
        <v>4</v>
      </c>
      <c r="B53" s="257" t="s">
        <v>444</v>
      </c>
      <c r="C53" s="258">
        <v>169895</v>
      </c>
      <c r="D53" s="258">
        <v>0</v>
      </c>
      <c r="E53" s="258">
        <f t="shared" si="6"/>
        <v>-169895</v>
      </c>
      <c r="F53" s="259">
        <f t="shared" si="7"/>
        <v>-1</v>
      </c>
    </row>
    <row r="54" spans="1:6" ht="20.25" customHeight="1" x14ac:dyDescent="0.3">
      <c r="A54" s="256">
        <v>5</v>
      </c>
      <c r="B54" s="257" t="s">
        <v>381</v>
      </c>
      <c r="C54" s="260">
        <v>55</v>
      </c>
      <c r="D54" s="260">
        <v>0</v>
      </c>
      <c r="E54" s="260">
        <f t="shared" si="6"/>
        <v>-55</v>
      </c>
      <c r="F54" s="259">
        <f t="shared" si="7"/>
        <v>-1</v>
      </c>
    </row>
    <row r="55" spans="1:6" ht="20.25" customHeight="1" x14ac:dyDescent="0.3">
      <c r="A55" s="256">
        <v>6</v>
      </c>
      <c r="B55" s="257" t="s">
        <v>380</v>
      </c>
      <c r="C55" s="260">
        <v>191</v>
      </c>
      <c r="D55" s="260">
        <v>0</v>
      </c>
      <c r="E55" s="260">
        <f t="shared" si="6"/>
        <v>-191</v>
      </c>
      <c r="F55" s="259">
        <f t="shared" si="7"/>
        <v>-1</v>
      </c>
    </row>
    <row r="56" spans="1:6" ht="20.25" customHeight="1" x14ac:dyDescent="0.3">
      <c r="A56" s="256">
        <v>7</v>
      </c>
      <c r="B56" s="257" t="s">
        <v>445</v>
      </c>
      <c r="C56" s="260">
        <v>348</v>
      </c>
      <c r="D56" s="260">
        <v>0</v>
      </c>
      <c r="E56" s="260">
        <f t="shared" si="6"/>
        <v>-348</v>
      </c>
      <c r="F56" s="259">
        <f t="shared" si="7"/>
        <v>-1</v>
      </c>
    </row>
    <row r="57" spans="1:6" ht="20.25" customHeight="1" x14ac:dyDescent="0.3">
      <c r="A57" s="256">
        <v>8</v>
      </c>
      <c r="B57" s="257" t="s">
        <v>446</v>
      </c>
      <c r="C57" s="260">
        <v>414</v>
      </c>
      <c r="D57" s="260">
        <v>0</v>
      </c>
      <c r="E57" s="260">
        <f t="shared" si="6"/>
        <v>-414</v>
      </c>
      <c r="F57" s="259">
        <f t="shared" si="7"/>
        <v>-1</v>
      </c>
    </row>
    <row r="58" spans="1:6" ht="20.25" customHeight="1" x14ac:dyDescent="0.3">
      <c r="A58" s="256">
        <v>9</v>
      </c>
      <c r="B58" s="257" t="s">
        <v>447</v>
      </c>
      <c r="C58" s="260">
        <v>23</v>
      </c>
      <c r="D58" s="260">
        <v>0</v>
      </c>
      <c r="E58" s="260">
        <f t="shared" si="6"/>
        <v>-23</v>
      </c>
      <c r="F58" s="259">
        <f t="shared" si="7"/>
        <v>-1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2608288</v>
      </c>
      <c r="D59" s="263">
        <f>+D50+D52</f>
        <v>0</v>
      </c>
      <c r="E59" s="263">
        <f t="shared" si="6"/>
        <v>-2608288</v>
      </c>
      <c r="F59" s="264">
        <f t="shared" si="7"/>
        <v>-1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369855</v>
      </c>
      <c r="D60" s="263">
        <f>+D51+D53</f>
        <v>0</v>
      </c>
      <c r="E60" s="263">
        <f t="shared" si="6"/>
        <v>-369855</v>
      </c>
      <c r="F60" s="264">
        <f t="shared" si="7"/>
        <v>-1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1332392</v>
      </c>
      <c r="D98" s="258">
        <v>0</v>
      </c>
      <c r="E98" s="258">
        <f t="shared" ref="E98:E108" si="14">D98-C98</f>
        <v>-1332392</v>
      </c>
      <c r="F98" s="259">
        <f t="shared" ref="F98:F108" si="15">IF(C98=0,0,E98/C98)</f>
        <v>-1</v>
      </c>
    </row>
    <row r="99" spans="1:7" ht="20.25" customHeight="1" x14ac:dyDescent="0.3">
      <c r="A99" s="256">
        <v>2</v>
      </c>
      <c r="B99" s="257" t="s">
        <v>442</v>
      </c>
      <c r="C99" s="258">
        <v>224693</v>
      </c>
      <c r="D99" s="258">
        <v>0</v>
      </c>
      <c r="E99" s="258">
        <f t="shared" si="14"/>
        <v>-224693</v>
      </c>
      <c r="F99" s="259">
        <f t="shared" si="15"/>
        <v>-1</v>
      </c>
    </row>
    <row r="100" spans="1:7" ht="20.25" customHeight="1" x14ac:dyDescent="0.3">
      <c r="A100" s="256">
        <v>3</v>
      </c>
      <c r="B100" s="257" t="s">
        <v>443</v>
      </c>
      <c r="C100" s="258">
        <v>2340101</v>
      </c>
      <c r="D100" s="258">
        <v>0</v>
      </c>
      <c r="E100" s="258">
        <f t="shared" si="14"/>
        <v>-2340101</v>
      </c>
      <c r="F100" s="259">
        <f t="shared" si="15"/>
        <v>-1</v>
      </c>
    </row>
    <row r="101" spans="1:7" ht="20.25" customHeight="1" x14ac:dyDescent="0.3">
      <c r="A101" s="256">
        <v>4</v>
      </c>
      <c r="B101" s="257" t="s">
        <v>444</v>
      </c>
      <c r="C101" s="258">
        <v>401253</v>
      </c>
      <c r="D101" s="258">
        <v>0</v>
      </c>
      <c r="E101" s="258">
        <f t="shared" si="14"/>
        <v>-401253</v>
      </c>
      <c r="F101" s="259">
        <f t="shared" si="15"/>
        <v>-1</v>
      </c>
    </row>
    <row r="102" spans="1:7" ht="20.25" customHeight="1" x14ac:dyDescent="0.3">
      <c r="A102" s="256">
        <v>5</v>
      </c>
      <c r="B102" s="257" t="s">
        <v>381</v>
      </c>
      <c r="C102" s="260">
        <v>80</v>
      </c>
      <c r="D102" s="260">
        <v>0</v>
      </c>
      <c r="E102" s="260">
        <f t="shared" si="14"/>
        <v>-80</v>
      </c>
      <c r="F102" s="259">
        <f t="shared" si="15"/>
        <v>-1</v>
      </c>
    </row>
    <row r="103" spans="1:7" ht="20.25" customHeight="1" x14ac:dyDescent="0.3">
      <c r="A103" s="256">
        <v>6</v>
      </c>
      <c r="B103" s="257" t="s">
        <v>380</v>
      </c>
      <c r="C103" s="260">
        <v>217</v>
      </c>
      <c r="D103" s="260">
        <v>0</v>
      </c>
      <c r="E103" s="260">
        <f t="shared" si="14"/>
        <v>-217</v>
      </c>
      <c r="F103" s="259">
        <f t="shared" si="15"/>
        <v>-1</v>
      </c>
    </row>
    <row r="104" spans="1:7" ht="20.25" customHeight="1" x14ac:dyDescent="0.3">
      <c r="A104" s="256">
        <v>7</v>
      </c>
      <c r="B104" s="257" t="s">
        <v>445</v>
      </c>
      <c r="C104" s="260">
        <v>910</v>
      </c>
      <c r="D104" s="260">
        <v>0</v>
      </c>
      <c r="E104" s="260">
        <f t="shared" si="14"/>
        <v>-910</v>
      </c>
      <c r="F104" s="259">
        <f t="shared" si="15"/>
        <v>-1</v>
      </c>
    </row>
    <row r="105" spans="1:7" ht="20.25" customHeight="1" x14ac:dyDescent="0.3">
      <c r="A105" s="256">
        <v>8</v>
      </c>
      <c r="B105" s="257" t="s">
        <v>446</v>
      </c>
      <c r="C105" s="260">
        <v>710</v>
      </c>
      <c r="D105" s="260">
        <v>0</v>
      </c>
      <c r="E105" s="260">
        <f t="shared" si="14"/>
        <v>-710</v>
      </c>
      <c r="F105" s="259">
        <f t="shared" si="15"/>
        <v>-1</v>
      </c>
    </row>
    <row r="106" spans="1:7" ht="20.25" customHeight="1" x14ac:dyDescent="0.3">
      <c r="A106" s="256">
        <v>9</v>
      </c>
      <c r="B106" s="257" t="s">
        <v>447</v>
      </c>
      <c r="C106" s="260">
        <v>20</v>
      </c>
      <c r="D106" s="260">
        <v>0</v>
      </c>
      <c r="E106" s="260">
        <f t="shared" si="14"/>
        <v>-20</v>
      </c>
      <c r="F106" s="259">
        <f t="shared" si="15"/>
        <v>-1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3672493</v>
      </c>
      <c r="D107" s="263">
        <f>+D98+D100</f>
        <v>0</v>
      </c>
      <c r="E107" s="263">
        <f t="shared" si="14"/>
        <v>-3672493</v>
      </c>
      <c r="F107" s="264">
        <f t="shared" si="15"/>
        <v>-1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625946</v>
      </c>
      <c r="D108" s="263">
        <f>+D99+D101</f>
        <v>0</v>
      </c>
      <c r="E108" s="263">
        <f t="shared" si="14"/>
        <v>-625946</v>
      </c>
      <c r="F108" s="264">
        <f t="shared" si="15"/>
        <v>-1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6206693</v>
      </c>
      <c r="D112" s="263">
        <f t="shared" si="16"/>
        <v>0</v>
      </c>
      <c r="E112" s="263">
        <f t="shared" ref="E112:E122" si="17">D112-C112</f>
        <v>-6206693</v>
      </c>
      <c r="F112" s="264">
        <f t="shared" ref="F112:F122" si="18">IF(C112=0,0,E112/C112)</f>
        <v>-1</v>
      </c>
    </row>
    <row r="113" spans="1:6" ht="20.25" customHeight="1" x14ac:dyDescent="0.3">
      <c r="A113" s="271"/>
      <c r="B113" s="286" t="s">
        <v>492</v>
      </c>
      <c r="C113" s="263">
        <f t="shared" si="16"/>
        <v>990252</v>
      </c>
      <c r="D113" s="263">
        <f t="shared" si="16"/>
        <v>0</v>
      </c>
      <c r="E113" s="263">
        <f t="shared" si="17"/>
        <v>-990252</v>
      </c>
      <c r="F113" s="264">
        <f t="shared" si="18"/>
        <v>-1</v>
      </c>
    </row>
    <row r="114" spans="1:6" ht="20.25" customHeight="1" x14ac:dyDescent="0.3">
      <c r="A114" s="271"/>
      <c r="B114" s="286" t="s">
        <v>493</v>
      </c>
      <c r="C114" s="263">
        <f t="shared" si="16"/>
        <v>9084323</v>
      </c>
      <c r="D114" s="263">
        <f t="shared" si="16"/>
        <v>0</v>
      </c>
      <c r="E114" s="263">
        <f t="shared" si="17"/>
        <v>-9084323</v>
      </c>
      <c r="F114" s="264">
        <f t="shared" si="18"/>
        <v>-1</v>
      </c>
    </row>
    <row r="115" spans="1:6" ht="20.25" customHeight="1" x14ac:dyDescent="0.3">
      <c r="A115" s="271"/>
      <c r="B115" s="286" t="s">
        <v>494</v>
      </c>
      <c r="C115" s="263">
        <f t="shared" si="16"/>
        <v>1526372</v>
      </c>
      <c r="D115" s="263">
        <f t="shared" si="16"/>
        <v>0</v>
      </c>
      <c r="E115" s="263">
        <f t="shared" si="17"/>
        <v>-1526372</v>
      </c>
      <c r="F115" s="264">
        <f t="shared" si="18"/>
        <v>-1</v>
      </c>
    </row>
    <row r="116" spans="1:6" ht="20.25" customHeight="1" x14ac:dyDescent="0.3">
      <c r="A116" s="271"/>
      <c r="B116" s="286" t="s">
        <v>495</v>
      </c>
      <c r="C116" s="287">
        <f t="shared" si="16"/>
        <v>300</v>
      </c>
      <c r="D116" s="287">
        <f t="shared" si="16"/>
        <v>0</v>
      </c>
      <c r="E116" s="287">
        <f t="shared" si="17"/>
        <v>-300</v>
      </c>
      <c r="F116" s="264">
        <f t="shared" si="18"/>
        <v>-1</v>
      </c>
    </row>
    <row r="117" spans="1:6" ht="20.25" customHeight="1" x14ac:dyDescent="0.3">
      <c r="A117" s="271"/>
      <c r="B117" s="286" t="s">
        <v>496</v>
      </c>
      <c r="C117" s="287">
        <f t="shared" si="16"/>
        <v>977</v>
      </c>
      <c r="D117" s="287">
        <f t="shared" si="16"/>
        <v>0</v>
      </c>
      <c r="E117" s="287">
        <f t="shared" si="17"/>
        <v>-977</v>
      </c>
      <c r="F117" s="264">
        <f t="shared" si="18"/>
        <v>-1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3699</v>
      </c>
      <c r="D118" s="287">
        <f t="shared" si="16"/>
        <v>0</v>
      </c>
      <c r="E118" s="287">
        <f t="shared" si="17"/>
        <v>-3699</v>
      </c>
      <c r="F118" s="264">
        <f t="shared" si="18"/>
        <v>-1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2784</v>
      </c>
      <c r="D119" s="287">
        <f t="shared" si="16"/>
        <v>0</v>
      </c>
      <c r="E119" s="287">
        <f t="shared" si="17"/>
        <v>-2784</v>
      </c>
      <c r="F119" s="264">
        <f t="shared" si="18"/>
        <v>-1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86</v>
      </c>
      <c r="D120" s="287">
        <f t="shared" si="16"/>
        <v>0</v>
      </c>
      <c r="E120" s="287">
        <f t="shared" si="17"/>
        <v>-86</v>
      </c>
      <c r="F120" s="264">
        <f t="shared" si="18"/>
        <v>-1</v>
      </c>
    </row>
    <row r="121" spans="1:6" ht="20.25" customHeight="1" x14ac:dyDescent="0.3">
      <c r="A121" s="271"/>
      <c r="B121" s="284" t="s">
        <v>448</v>
      </c>
      <c r="C121" s="263">
        <f>+C112+C114</f>
        <v>15291016</v>
      </c>
      <c r="D121" s="263">
        <f>+D112+D114</f>
        <v>0</v>
      </c>
      <c r="E121" s="263">
        <f t="shared" si="17"/>
        <v>-15291016</v>
      </c>
      <c r="F121" s="264">
        <f t="shared" si="18"/>
        <v>-1</v>
      </c>
    </row>
    <row r="122" spans="1:6" ht="20.25" customHeight="1" x14ac:dyDescent="0.3">
      <c r="A122" s="271"/>
      <c r="B122" s="284" t="s">
        <v>472</v>
      </c>
      <c r="C122" s="263">
        <f>+C113+C115</f>
        <v>2516624</v>
      </c>
      <c r="D122" s="263">
        <f>+D113+D115</f>
        <v>0</v>
      </c>
      <c r="E122" s="263">
        <f t="shared" si="17"/>
        <v>-2516624</v>
      </c>
      <c r="F122" s="264">
        <f t="shared" si="18"/>
        <v>-1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29267992</v>
      </c>
      <c r="D13" s="22">
        <v>30231958</v>
      </c>
      <c r="E13" s="22">
        <f t="shared" ref="E13:E22" si="0">D13-C13</f>
        <v>963966</v>
      </c>
      <c r="F13" s="306">
        <f t="shared" ref="F13:F22" si="1">IF(C13=0,0,E13/C13)</f>
        <v>3.2935843360897464E-2</v>
      </c>
    </row>
    <row r="14" spans="1:8" ht="24" customHeight="1" x14ac:dyDescent="0.2">
      <c r="A14" s="304">
        <v>2</v>
      </c>
      <c r="B14" s="305" t="s">
        <v>17</v>
      </c>
      <c r="C14" s="22">
        <v>1089172</v>
      </c>
      <c r="D14" s="22">
        <v>1203559</v>
      </c>
      <c r="E14" s="22">
        <f t="shared" si="0"/>
        <v>114387</v>
      </c>
      <c r="F14" s="306">
        <f t="shared" si="1"/>
        <v>0.10502197999948584</v>
      </c>
    </row>
    <row r="15" spans="1:8" ht="35.1" customHeight="1" x14ac:dyDescent="0.2">
      <c r="A15" s="304">
        <v>3</v>
      </c>
      <c r="B15" s="305" t="s">
        <v>18</v>
      </c>
      <c r="C15" s="22">
        <v>32367012</v>
      </c>
      <c r="D15" s="22">
        <v>29957753</v>
      </c>
      <c r="E15" s="22">
        <f t="shared" si="0"/>
        <v>-2409259</v>
      </c>
      <c r="F15" s="306">
        <f t="shared" si="1"/>
        <v>-7.4435632180072722E-2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195978</v>
      </c>
      <c r="D17" s="22">
        <v>189379</v>
      </c>
      <c r="E17" s="22">
        <f t="shared" si="0"/>
        <v>-6599</v>
      </c>
      <c r="F17" s="306">
        <f t="shared" si="1"/>
        <v>-3.3672146873628669E-2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3305079</v>
      </c>
      <c r="D19" s="22">
        <v>3586821</v>
      </c>
      <c r="E19" s="22">
        <f t="shared" si="0"/>
        <v>281742</v>
      </c>
      <c r="F19" s="306">
        <f t="shared" si="1"/>
        <v>8.5245163580053615E-2</v>
      </c>
    </row>
    <row r="20" spans="1:11" ht="24" customHeight="1" x14ac:dyDescent="0.2">
      <c r="A20" s="304">
        <v>8</v>
      </c>
      <c r="B20" s="305" t="s">
        <v>23</v>
      </c>
      <c r="C20" s="22">
        <v>1525890</v>
      </c>
      <c r="D20" s="22">
        <v>1603096</v>
      </c>
      <c r="E20" s="22">
        <f t="shared" si="0"/>
        <v>77206</v>
      </c>
      <c r="F20" s="306">
        <f t="shared" si="1"/>
        <v>5.0597356296980776E-2</v>
      </c>
    </row>
    <row r="21" spans="1:11" ht="24" customHeight="1" x14ac:dyDescent="0.2">
      <c r="A21" s="304">
        <v>9</v>
      </c>
      <c r="B21" s="305" t="s">
        <v>24</v>
      </c>
      <c r="C21" s="22">
        <v>2977504</v>
      </c>
      <c r="D21" s="22">
        <v>3702524</v>
      </c>
      <c r="E21" s="22">
        <f t="shared" si="0"/>
        <v>725020</v>
      </c>
      <c r="F21" s="306">
        <f t="shared" si="1"/>
        <v>0.24349925306565498</v>
      </c>
    </row>
    <row r="22" spans="1:11" ht="24" customHeight="1" x14ac:dyDescent="0.25">
      <c r="A22" s="307"/>
      <c r="B22" s="308" t="s">
        <v>25</v>
      </c>
      <c r="C22" s="309">
        <f>SUM(C13:C21)</f>
        <v>70728627</v>
      </c>
      <c r="D22" s="309">
        <f>SUM(D13:D21)</f>
        <v>70475090</v>
      </c>
      <c r="E22" s="309">
        <f t="shared" si="0"/>
        <v>-253537</v>
      </c>
      <c r="F22" s="310">
        <f t="shared" si="1"/>
        <v>-3.5846447294954559E-3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42218163</v>
      </c>
      <c r="D25" s="22">
        <v>44960039</v>
      </c>
      <c r="E25" s="22">
        <f>D25-C25</f>
        <v>2741876</v>
      </c>
      <c r="F25" s="306">
        <f>IF(C25=0,0,E25/C25)</f>
        <v>6.4945412238803471E-2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2974503</v>
      </c>
      <c r="D26" s="22">
        <v>3193664</v>
      </c>
      <c r="E26" s="22">
        <f>D26-C26</f>
        <v>219161</v>
      </c>
      <c r="F26" s="306">
        <f>IF(C26=0,0,E26/C26)</f>
        <v>7.3679871897927143E-2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691408</v>
      </c>
      <c r="D27" s="22">
        <v>34218</v>
      </c>
      <c r="E27" s="22">
        <f>D27-C27</f>
        <v>-657190</v>
      </c>
      <c r="F27" s="306">
        <f>IF(C27=0,0,E27/C27)</f>
        <v>-0.9505096845856571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0</v>
      </c>
      <c r="E28" s="22">
        <f>D28-C28</f>
        <v>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45884074</v>
      </c>
      <c r="D29" s="309">
        <f>SUM(D25:D28)</f>
        <v>48187921</v>
      </c>
      <c r="E29" s="309">
        <f>D29-C29</f>
        <v>2303847</v>
      </c>
      <c r="F29" s="310">
        <f>IF(C29=0,0,E29/C29)</f>
        <v>5.0210166603776293E-2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23280651</v>
      </c>
      <c r="D32" s="22">
        <v>25296300</v>
      </c>
      <c r="E32" s="22">
        <f>D32-C32</f>
        <v>2015649</v>
      </c>
      <c r="F32" s="306">
        <f>IF(C32=0,0,E32/C32)</f>
        <v>8.6580439696467254E-2</v>
      </c>
    </row>
    <row r="33" spans="1:8" ht="24" customHeight="1" x14ac:dyDescent="0.2">
      <c r="A33" s="304">
        <v>7</v>
      </c>
      <c r="B33" s="305" t="s">
        <v>35</v>
      </c>
      <c r="C33" s="22">
        <v>2734156</v>
      </c>
      <c r="D33" s="22">
        <v>2549361</v>
      </c>
      <c r="E33" s="22">
        <f>D33-C33</f>
        <v>-184795</v>
      </c>
      <c r="F33" s="306">
        <f>IF(C33=0,0,E33/C33)</f>
        <v>-6.7587584614776916E-2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281452191</v>
      </c>
      <c r="D36" s="22">
        <v>285067365</v>
      </c>
      <c r="E36" s="22">
        <f>D36-C36</f>
        <v>3615174</v>
      </c>
      <c r="F36" s="306">
        <f>IF(C36=0,0,E36/C36)</f>
        <v>1.2844717915164498E-2</v>
      </c>
    </row>
    <row r="37" spans="1:8" ht="24" customHeight="1" x14ac:dyDescent="0.2">
      <c r="A37" s="304">
        <v>2</v>
      </c>
      <c r="B37" s="305" t="s">
        <v>39</v>
      </c>
      <c r="C37" s="22">
        <v>232453154</v>
      </c>
      <c r="D37" s="22">
        <v>240510083</v>
      </c>
      <c r="E37" s="22">
        <f>D37-C37</f>
        <v>8056929</v>
      </c>
      <c r="F37" s="22">
        <f>IF(C37=0,0,E37/C37)</f>
        <v>3.4660441733563231E-2</v>
      </c>
    </row>
    <row r="38" spans="1:8" ht="24" customHeight="1" x14ac:dyDescent="0.25">
      <c r="A38" s="307"/>
      <c r="B38" s="308" t="s">
        <v>40</v>
      </c>
      <c r="C38" s="309">
        <f>C36-C37</f>
        <v>48999037</v>
      </c>
      <c r="D38" s="309">
        <f>D36-D37</f>
        <v>44557282</v>
      </c>
      <c r="E38" s="309">
        <f>D38-C38</f>
        <v>-4441755</v>
      </c>
      <c r="F38" s="310">
        <f>IF(C38=0,0,E38/C38)</f>
        <v>-9.0649842771399772E-2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2473015</v>
      </c>
      <c r="D40" s="22">
        <v>73654</v>
      </c>
      <c r="E40" s="22">
        <f>D40-C40</f>
        <v>-2399361</v>
      </c>
      <c r="F40" s="306">
        <f>IF(C40=0,0,E40/C40)</f>
        <v>-0.97021692145013272</v>
      </c>
    </row>
    <row r="41" spans="1:8" ht="24" customHeight="1" x14ac:dyDescent="0.25">
      <c r="A41" s="307"/>
      <c r="B41" s="308" t="s">
        <v>42</v>
      </c>
      <c r="C41" s="309">
        <f>+C38+C40</f>
        <v>51472052</v>
      </c>
      <c r="D41" s="309">
        <f>+D38+D40</f>
        <v>44630936</v>
      </c>
      <c r="E41" s="309">
        <f>D41-C41</f>
        <v>-6841116</v>
      </c>
      <c r="F41" s="310">
        <f>IF(C41=0,0,E41/C41)</f>
        <v>-0.13290933106766367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194099560</v>
      </c>
      <c r="D43" s="309">
        <f>D22+D29+D31+D32+D33+D41</f>
        <v>191139608</v>
      </c>
      <c r="E43" s="309">
        <f>D43-C43</f>
        <v>-2959952</v>
      </c>
      <c r="F43" s="310">
        <f>IF(C43=0,0,E43/C43)</f>
        <v>-1.5249658474238684E-2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37244812</v>
      </c>
      <c r="D49" s="22">
        <v>29395718</v>
      </c>
      <c r="E49" s="22">
        <f t="shared" ref="E49:E56" si="2">D49-C49</f>
        <v>-7849094</v>
      </c>
      <c r="F49" s="306">
        <f t="shared" ref="F49:F56" si="3">IF(C49=0,0,E49/C49)</f>
        <v>-0.2107432841921715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0</v>
      </c>
      <c r="D50" s="22">
        <v>0</v>
      </c>
      <c r="E50" s="22">
        <f t="shared" si="2"/>
        <v>0</v>
      </c>
      <c r="F50" s="306">
        <f t="shared" si="3"/>
        <v>0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771288</v>
      </c>
      <c r="D51" s="22">
        <v>3143186</v>
      </c>
      <c r="E51" s="22">
        <f t="shared" si="2"/>
        <v>2371898</v>
      </c>
      <c r="F51" s="306">
        <f t="shared" si="3"/>
        <v>3.0752429702004958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506444</v>
      </c>
      <c r="D53" s="22">
        <v>532136</v>
      </c>
      <c r="E53" s="22">
        <f t="shared" si="2"/>
        <v>25692</v>
      </c>
      <c r="F53" s="306">
        <f t="shared" si="3"/>
        <v>5.0730189320043285E-2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666376</v>
      </c>
      <c r="D54" s="22">
        <v>694549</v>
      </c>
      <c r="E54" s="22">
        <f t="shared" si="2"/>
        <v>28173</v>
      </c>
      <c r="F54" s="306">
        <f t="shared" si="3"/>
        <v>4.2277933178865988E-2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0</v>
      </c>
      <c r="D55" s="22">
        <v>0</v>
      </c>
      <c r="E55" s="22">
        <f t="shared" si="2"/>
        <v>0</v>
      </c>
      <c r="F55" s="306">
        <f t="shared" si="3"/>
        <v>0</v>
      </c>
    </row>
    <row r="56" spans="1:6" ht="24" customHeight="1" x14ac:dyDescent="0.25">
      <c r="A56" s="307"/>
      <c r="B56" s="308" t="s">
        <v>54</v>
      </c>
      <c r="C56" s="309">
        <f>SUM(C49:C55)</f>
        <v>39188920</v>
      </c>
      <c r="D56" s="309">
        <f>SUM(D49:D55)</f>
        <v>33765589</v>
      </c>
      <c r="E56" s="309">
        <f t="shared" si="2"/>
        <v>-5423331</v>
      </c>
      <c r="F56" s="310">
        <f t="shared" si="3"/>
        <v>-0.13838939679889112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26140656</v>
      </c>
      <c r="D59" s="22">
        <v>25608520</v>
      </c>
      <c r="E59" s="22">
        <f>D59-C59</f>
        <v>-532136</v>
      </c>
      <c r="F59" s="306">
        <f>IF(C59=0,0,E59/C59)</f>
        <v>-2.0356642924339773E-2</v>
      </c>
    </row>
    <row r="60" spans="1:6" ht="24" customHeight="1" x14ac:dyDescent="0.2">
      <c r="A60" s="304">
        <v>2</v>
      </c>
      <c r="B60" s="305" t="s">
        <v>57</v>
      </c>
      <c r="C60" s="22">
        <v>1426291</v>
      </c>
      <c r="D60" s="22">
        <v>852568</v>
      </c>
      <c r="E60" s="22">
        <f>D60-C60</f>
        <v>-573723</v>
      </c>
      <c r="F60" s="306">
        <f>IF(C60=0,0,E60/C60)</f>
        <v>-0.40224820881573253</v>
      </c>
    </row>
    <row r="61" spans="1:6" ht="24" customHeight="1" x14ac:dyDescent="0.25">
      <c r="A61" s="307"/>
      <c r="B61" s="308" t="s">
        <v>58</v>
      </c>
      <c r="C61" s="309">
        <f>SUM(C59:C60)</f>
        <v>27566947</v>
      </c>
      <c r="D61" s="309">
        <f>SUM(D59:D60)</f>
        <v>26461088</v>
      </c>
      <c r="E61" s="309">
        <f>D61-C61</f>
        <v>-1105859</v>
      </c>
      <c r="F61" s="310">
        <f>IF(C61=0,0,E61/C61)</f>
        <v>-4.0115396166285663E-2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0</v>
      </c>
      <c r="D63" s="22">
        <v>0</v>
      </c>
      <c r="E63" s="22">
        <f>D63-C63</f>
        <v>0</v>
      </c>
      <c r="F63" s="306">
        <f>IF(C63=0,0,E63/C63)</f>
        <v>0</v>
      </c>
    </row>
    <row r="64" spans="1:6" ht="24" customHeight="1" x14ac:dyDescent="0.2">
      <c r="A64" s="304">
        <v>4</v>
      </c>
      <c r="B64" s="305" t="s">
        <v>60</v>
      </c>
      <c r="C64" s="22">
        <v>21853067</v>
      </c>
      <c r="D64" s="22">
        <v>21813507</v>
      </c>
      <c r="E64" s="22">
        <f>D64-C64</f>
        <v>-39560</v>
      </c>
      <c r="F64" s="306">
        <f>IF(C64=0,0,E64/C64)</f>
        <v>-1.810272214879495E-3</v>
      </c>
    </row>
    <row r="65" spans="1:6" ht="24" customHeight="1" x14ac:dyDescent="0.25">
      <c r="A65" s="307"/>
      <c r="B65" s="308" t="s">
        <v>61</v>
      </c>
      <c r="C65" s="309">
        <f>SUM(C61:C64)</f>
        <v>49420014</v>
      </c>
      <c r="D65" s="309">
        <f>SUM(D61:D64)</f>
        <v>48274595</v>
      </c>
      <c r="E65" s="309">
        <f>D65-C65</f>
        <v>-1145419</v>
      </c>
      <c r="F65" s="310">
        <f>IF(C65=0,0,E65/C65)</f>
        <v>-2.3177229371080306E-2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3147542</v>
      </c>
      <c r="D67" s="22">
        <v>2714506</v>
      </c>
      <c r="E67" s="22">
        <f>D67-C67</f>
        <v>-433036</v>
      </c>
      <c r="F67" s="321">
        <f>IF(C67=0,0,E67/C67)</f>
        <v>-0.13757910140674851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49687465</v>
      </c>
      <c r="D70" s="22">
        <v>50223049</v>
      </c>
      <c r="E70" s="22">
        <f>D70-C70</f>
        <v>535584</v>
      </c>
      <c r="F70" s="306">
        <f>IF(C70=0,0,E70/C70)</f>
        <v>1.0779056649398395E-2</v>
      </c>
    </row>
    <row r="71" spans="1:6" ht="24" customHeight="1" x14ac:dyDescent="0.2">
      <c r="A71" s="304">
        <v>2</v>
      </c>
      <c r="B71" s="305" t="s">
        <v>65</v>
      </c>
      <c r="C71" s="22">
        <v>7645420</v>
      </c>
      <c r="D71" s="22">
        <v>8409794</v>
      </c>
      <c r="E71" s="22">
        <f>D71-C71</f>
        <v>764374</v>
      </c>
      <c r="F71" s="306">
        <f>IF(C71=0,0,E71/C71)</f>
        <v>9.997802606004641E-2</v>
      </c>
    </row>
    <row r="72" spans="1:6" ht="24" customHeight="1" x14ac:dyDescent="0.2">
      <c r="A72" s="304">
        <v>3</v>
      </c>
      <c r="B72" s="305" t="s">
        <v>66</v>
      </c>
      <c r="C72" s="22">
        <v>45010199</v>
      </c>
      <c r="D72" s="22">
        <v>47752075</v>
      </c>
      <c r="E72" s="22">
        <f>D72-C72</f>
        <v>2741876</v>
      </c>
      <c r="F72" s="306">
        <f>IF(C72=0,0,E72/C72)</f>
        <v>6.0916771329982342E-2</v>
      </c>
    </row>
    <row r="73" spans="1:6" ht="24" customHeight="1" x14ac:dyDescent="0.25">
      <c r="A73" s="304"/>
      <c r="B73" s="308" t="s">
        <v>67</v>
      </c>
      <c r="C73" s="309">
        <f>SUM(C70:C72)</f>
        <v>102343084</v>
      </c>
      <c r="D73" s="309">
        <f>SUM(D70:D72)</f>
        <v>106384918</v>
      </c>
      <c r="E73" s="309">
        <f>D73-C73</f>
        <v>4041834</v>
      </c>
      <c r="F73" s="310">
        <f>IF(C73=0,0,E73/C73)</f>
        <v>3.9492986160159095E-2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194099560</v>
      </c>
      <c r="D75" s="309">
        <f>D56+D65+D67+D73</f>
        <v>191139608</v>
      </c>
      <c r="E75" s="309">
        <f>D75-C75</f>
        <v>-2959952</v>
      </c>
      <c r="F75" s="310">
        <f>IF(C75=0,0,E75/C75)</f>
        <v>-1.5249658474238684E-2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971551590</v>
      </c>
      <c r="D11" s="76">
        <v>942280060</v>
      </c>
      <c r="E11" s="76">
        <f t="shared" ref="E11:E20" si="0">D11-C11</f>
        <v>-29271530</v>
      </c>
      <c r="F11" s="77">
        <f t="shared" ref="F11:F20" si="1">IF(C11=0,0,E11/C11)</f>
        <v>-3.0128641959198482E-2</v>
      </c>
    </row>
    <row r="12" spans="1:7" ht="23.1" customHeight="1" x14ac:dyDescent="0.2">
      <c r="A12" s="74">
        <v>2</v>
      </c>
      <c r="B12" s="75" t="s">
        <v>72</v>
      </c>
      <c r="C12" s="76">
        <v>688238556</v>
      </c>
      <c r="D12" s="76">
        <v>672894722</v>
      </c>
      <c r="E12" s="76">
        <f t="shared" si="0"/>
        <v>-15343834</v>
      </c>
      <c r="F12" s="77">
        <f t="shared" si="1"/>
        <v>-2.2294353994314727E-2</v>
      </c>
    </row>
    <row r="13" spans="1:7" ht="23.1" customHeight="1" x14ac:dyDescent="0.2">
      <c r="A13" s="74">
        <v>3</v>
      </c>
      <c r="B13" s="75" t="s">
        <v>73</v>
      </c>
      <c r="C13" s="76">
        <v>1541200</v>
      </c>
      <c r="D13" s="76">
        <v>1700345</v>
      </c>
      <c r="E13" s="76">
        <f t="shared" si="0"/>
        <v>159145</v>
      </c>
      <c r="F13" s="77">
        <f t="shared" si="1"/>
        <v>0.10326044640539839</v>
      </c>
    </row>
    <row r="14" spans="1:7" ht="23.1" customHeight="1" x14ac:dyDescent="0.2">
      <c r="A14" s="74">
        <v>4</v>
      </c>
      <c r="B14" s="75" t="s">
        <v>74</v>
      </c>
      <c r="C14" s="76">
        <v>8287736</v>
      </c>
      <c r="D14" s="76">
        <v>8287736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273484098</v>
      </c>
      <c r="D15" s="79">
        <f>D11-D12-D13-D14</f>
        <v>259397257</v>
      </c>
      <c r="E15" s="79">
        <f t="shared" si="0"/>
        <v>-14086841</v>
      </c>
      <c r="F15" s="80">
        <f t="shared" si="1"/>
        <v>-5.1508812040691299E-2</v>
      </c>
    </row>
    <row r="16" spans="1:7" ht="23.1" customHeight="1" x14ac:dyDescent="0.2">
      <c r="A16" s="74">
        <v>5</v>
      </c>
      <c r="B16" s="75" t="s">
        <v>76</v>
      </c>
      <c r="C16" s="76">
        <v>0</v>
      </c>
      <c r="D16" s="76">
        <v>11368671</v>
      </c>
      <c r="E16" s="76">
        <f t="shared" si="0"/>
        <v>11368671</v>
      </c>
      <c r="F16" s="77">
        <f t="shared" si="1"/>
        <v>0</v>
      </c>
      <c r="G16" s="65"/>
    </row>
    <row r="17" spans="1:7" ht="31.5" customHeight="1" x14ac:dyDescent="0.25">
      <c r="A17" s="71"/>
      <c r="B17" s="81" t="s">
        <v>77</v>
      </c>
      <c r="C17" s="79">
        <f>C15-C16</f>
        <v>273484098</v>
      </c>
      <c r="D17" s="79">
        <f>D15-D16</f>
        <v>248028586</v>
      </c>
      <c r="E17" s="79">
        <f t="shared" si="0"/>
        <v>-25455512</v>
      </c>
      <c r="F17" s="80">
        <f t="shared" si="1"/>
        <v>-9.3078581848660177E-2</v>
      </c>
    </row>
    <row r="18" spans="1:7" ht="23.1" customHeight="1" x14ac:dyDescent="0.2">
      <c r="A18" s="74">
        <v>6</v>
      </c>
      <c r="B18" s="75" t="s">
        <v>78</v>
      </c>
      <c r="C18" s="76">
        <v>7618689</v>
      </c>
      <c r="D18" s="76">
        <v>7003709</v>
      </c>
      <c r="E18" s="76">
        <f t="shared" si="0"/>
        <v>-614980</v>
      </c>
      <c r="F18" s="77">
        <f t="shared" si="1"/>
        <v>-8.0719924385940944E-2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5609005</v>
      </c>
      <c r="D19" s="76">
        <v>5419591</v>
      </c>
      <c r="E19" s="76">
        <f t="shared" si="0"/>
        <v>-189414</v>
      </c>
      <c r="F19" s="77">
        <f t="shared" si="1"/>
        <v>-3.3769625807072733E-2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286711792</v>
      </c>
      <c r="D20" s="79">
        <f>SUM(D17:D19)</f>
        <v>260451886</v>
      </c>
      <c r="E20" s="79">
        <f t="shared" si="0"/>
        <v>-26259906</v>
      </c>
      <c r="F20" s="80">
        <f t="shared" si="1"/>
        <v>-9.1589905726653889E-2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128367911</v>
      </c>
      <c r="D23" s="76">
        <v>120449103</v>
      </c>
      <c r="E23" s="76">
        <f t="shared" ref="E23:E32" si="2">D23-C23</f>
        <v>-7918808</v>
      </c>
      <c r="F23" s="77">
        <f t="shared" ref="F23:F32" si="3">IF(C23=0,0,E23/C23)</f>
        <v>-6.1688376310805586E-2</v>
      </c>
    </row>
    <row r="24" spans="1:7" ht="23.1" customHeight="1" x14ac:dyDescent="0.2">
      <c r="A24" s="74">
        <v>2</v>
      </c>
      <c r="B24" s="75" t="s">
        <v>83</v>
      </c>
      <c r="C24" s="76">
        <v>36266753</v>
      </c>
      <c r="D24" s="76">
        <v>31668117</v>
      </c>
      <c r="E24" s="76">
        <f t="shared" si="2"/>
        <v>-4598636</v>
      </c>
      <c r="F24" s="77">
        <f t="shared" si="3"/>
        <v>-0.12680032314996603</v>
      </c>
    </row>
    <row r="25" spans="1:7" ht="23.1" customHeight="1" x14ac:dyDescent="0.2">
      <c r="A25" s="74">
        <v>3</v>
      </c>
      <c r="B25" s="75" t="s">
        <v>84</v>
      </c>
      <c r="C25" s="76">
        <v>14770919</v>
      </c>
      <c r="D25" s="76">
        <v>14797923</v>
      </c>
      <c r="E25" s="76">
        <f t="shared" si="2"/>
        <v>27004</v>
      </c>
      <c r="F25" s="77">
        <f t="shared" si="3"/>
        <v>1.8281868582449069E-3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77468170</v>
      </c>
      <c r="D26" s="76">
        <v>78584349</v>
      </c>
      <c r="E26" s="76">
        <f t="shared" si="2"/>
        <v>1116179</v>
      </c>
      <c r="F26" s="77">
        <f t="shared" si="3"/>
        <v>1.4408227275795982E-2</v>
      </c>
    </row>
    <row r="27" spans="1:7" ht="23.1" customHeight="1" x14ac:dyDescent="0.2">
      <c r="A27" s="74">
        <v>5</v>
      </c>
      <c r="B27" s="75" t="s">
        <v>86</v>
      </c>
      <c r="C27" s="76">
        <v>9421603</v>
      </c>
      <c r="D27" s="76">
        <v>8996581</v>
      </c>
      <c r="E27" s="76">
        <f t="shared" si="2"/>
        <v>-425022</v>
      </c>
      <c r="F27" s="77">
        <f t="shared" si="3"/>
        <v>-4.5111431674631164E-2</v>
      </c>
    </row>
    <row r="28" spans="1:7" ht="23.1" customHeight="1" x14ac:dyDescent="0.2">
      <c r="A28" s="74">
        <v>6</v>
      </c>
      <c r="B28" s="75" t="s">
        <v>87</v>
      </c>
      <c r="C28" s="76">
        <v>10966628</v>
      </c>
      <c r="D28" s="76">
        <v>0</v>
      </c>
      <c r="E28" s="76">
        <f t="shared" si="2"/>
        <v>-10966628</v>
      </c>
      <c r="F28" s="77">
        <f t="shared" si="3"/>
        <v>-1</v>
      </c>
    </row>
    <row r="29" spans="1:7" ht="23.1" customHeight="1" x14ac:dyDescent="0.2">
      <c r="A29" s="74">
        <v>7</v>
      </c>
      <c r="B29" s="75" t="s">
        <v>88</v>
      </c>
      <c r="C29" s="76">
        <v>1237849</v>
      </c>
      <c r="D29" s="76">
        <v>1125827</v>
      </c>
      <c r="E29" s="76">
        <f t="shared" si="2"/>
        <v>-112022</v>
      </c>
      <c r="F29" s="77">
        <f t="shared" si="3"/>
        <v>-9.0497306214247453E-2</v>
      </c>
    </row>
    <row r="30" spans="1:7" ht="23.1" customHeight="1" x14ac:dyDescent="0.2">
      <c r="A30" s="74">
        <v>8</v>
      </c>
      <c r="B30" s="75" t="s">
        <v>89</v>
      </c>
      <c r="C30" s="76">
        <v>8010036</v>
      </c>
      <c r="D30" s="76">
        <v>8315359</v>
      </c>
      <c r="E30" s="76">
        <f t="shared" si="2"/>
        <v>305323</v>
      </c>
      <c r="F30" s="77">
        <f t="shared" si="3"/>
        <v>3.8117556525338964E-2</v>
      </c>
    </row>
    <row r="31" spans="1:7" ht="23.1" customHeight="1" x14ac:dyDescent="0.2">
      <c r="A31" s="74">
        <v>9</v>
      </c>
      <c r="B31" s="75" t="s">
        <v>90</v>
      </c>
      <c r="C31" s="76">
        <v>0</v>
      </c>
      <c r="D31" s="76">
        <v>0</v>
      </c>
      <c r="E31" s="76">
        <f t="shared" si="2"/>
        <v>0</v>
      </c>
      <c r="F31" s="77">
        <f t="shared" si="3"/>
        <v>0</v>
      </c>
    </row>
    <row r="32" spans="1:7" ht="23.1" customHeight="1" x14ac:dyDescent="0.25">
      <c r="A32" s="71"/>
      <c r="B32" s="78" t="s">
        <v>91</v>
      </c>
      <c r="C32" s="79">
        <f>SUM(C23:C31)</f>
        <v>286509869</v>
      </c>
      <c r="D32" s="79">
        <f>SUM(D23:D31)</f>
        <v>263937259</v>
      </c>
      <c r="E32" s="79">
        <f t="shared" si="2"/>
        <v>-22572610</v>
      </c>
      <c r="F32" s="80">
        <f t="shared" si="3"/>
        <v>-7.878475557852424E-2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201923</v>
      </c>
      <c r="D34" s="79">
        <f>+D20-D32</f>
        <v>-3485373</v>
      </c>
      <c r="E34" s="79">
        <f>D34-C34</f>
        <v>-3687296</v>
      </c>
      <c r="F34" s="80">
        <f>IF(C34=0,0,E34/C34)</f>
        <v>-18.260901432724356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1245481</v>
      </c>
      <c r="D37" s="76">
        <v>2336622</v>
      </c>
      <c r="E37" s="76">
        <f>D37-C37</f>
        <v>1091141</v>
      </c>
      <c r="F37" s="77">
        <f>IF(C37=0,0,E37/C37)</f>
        <v>0.87608000443202261</v>
      </c>
    </row>
    <row r="38" spans="1:6" ht="23.1" customHeight="1" x14ac:dyDescent="0.2">
      <c r="A38" s="85">
        <v>2</v>
      </c>
      <c r="B38" s="75" t="s">
        <v>95</v>
      </c>
      <c r="C38" s="76">
        <v>123699</v>
      </c>
      <c r="D38" s="76">
        <v>232275</v>
      </c>
      <c r="E38" s="76">
        <f>D38-C38</f>
        <v>108576</v>
      </c>
      <c r="F38" s="77">
        <f>IF(C38=0,0,E38/C38)</f>
        <v>0.87774355491960321</v>
      </c>
    </row>
    <row r="39" spans="1:6" ht="23.1" customHeight="1" x14ac:dyDescent="0.2">
      <c r="A39" s="85">
        <v>3</v>
      </c>
      <c r="B39" s="75" t="s">
        <v>96</v>
      </c>
      <c r="C39" s="76">
        <v>-997139</v>
      </c>
      <c r="D39" s="76">
        <v>-874685</v>
      </c>
      <c r="E39" s="76">
        <f>D39-C39</f>
        <v>122454</v>
      </c>
      <c r="F39" s="77">
        <f>IF(C39=0,0,E39/C39)</f>
        <v>-0.12280534609517831</v>
      </c>
    </row>
    <row r="40" spans="1:6" ht="23.1" customHeight="1" x14ac:dyDescent="0.25">
      <c r="A40" s="83"/>
      <c r="B40" s="78" t="s">
        <v>97</v>
      </c>
      <c r="C40" s="79">
        <f>SUM(C37:C39)</f>
        <v>372041</v>
      </c>
      <c r="D40" s="79">
        <f>SUM(D37:D39)</f>
        <v>1694212</v>
      </c>
      <c r="E40" s="79">
        <f>D40-C40</f>
        <v>1322171</v>
      </c>
      <c r="F40" s="80">
        <f>IF(C40=0,0,E40/C40)</f>
        <v>3.5538314325571645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573964</v>
      </c>
      <c r="D42" s="79">
        <f>D34+D40</f>
        <v>-1791161</v>
      </c>
      <c r="E42" s="79">
        <f>D42-C42</f>
        <v>-2365125</v>
      </c>
      <c r="F42" s="80">
        <f>IF(C42=0,0,E42/C42)</f>
        <v>-4.1206852694594085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1715547</v>
      </c>
      <c r="D45" s="76">
        <v>194340</v>
      </c>
      <c r="E45" s="76">
        <f>D45-C45</f>
        <v>-1521207</v>
      </c>
      <c r="F45" s="77">
        <f>IF(C45=0,0,E45/C45)</f>
        <v>-0.88671834697621221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1715547</v>
      </c>
      <c r="D47" s="79">
        <f>SUM(D45:D46)</f>
        <v>194340</v>
      </c>
      <c r="E47" s="79">
        <f>D47-C47</f>
        <v>-1521207</v>
      </c>
      <c r="F47" s="80">
        <f>IF(C47=0,0,E47/C47)</f>
        <v>-0.88671834697621221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2289511</v>
      </c>
      <c r="D49" s="79">
        <f>D42+D47</f>
        <v>-1596821</v>
      </c>
      <c r="E49" s="79">
        <f>D49-C49</f>
        <v>-3886332</v>
      </c>
      <c r="F49" s="80">
        <f>IF(C49=0,0,E49/C49)</f>
        <v>-1.6974506783326222</v>
      </c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2014-10-09T19:10:21Z</cp:lastPrinted>
  <dcterms:created xsi:type="dcterms:W3CDTF">2014-10-06T19:12:59Z</dcterms:created>
  <dcterms:modified xsi:type="dcterms:W3CDTF">2014-10-09T19:10:51Z</dcterms:modified>
</cp:coreProperties>
</file>