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9" i="14"/>
  <c r="D237" i="14"/>
  <c r="D230" i="14"/>
  <c r="D229" i="14"/>
  <c r="D227" i="14"/>
  <c r="D226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9" i="14"/>
  <c r="D158" i="14"/>
  <c r="D155" i="14"/>
  <c r="D145" i="14"/>
  <c r="D146" i="14"/>
  <c r="D144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D83" i="19"/>
  <c r="D102" i="19"/>
  <c r="D101" i="19"/>
  <c r="D103" i="19"/>
  <c r="C83" i="19"/>
  <c r="C102" i="19"/>
  <c r="E76" i="19"/>
  <c r="E102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4" i="19"/>
  <c r="C12" i="19"/>
  <c r="C2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E45" i="17"/>
  <c r="D44" i="17"/>
  <c r="C44" i="17"/>
  <c r="E44" i="17"/>
  <c r="D43" i="17"/>
  <c r="D46" i="17"/>
  <c r="C43" i="17"/>
  <c r="D36" i="17"/>
  <c r="D40" i="17"/>
  <c r="C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/>
  <c r="E23" i="17"/>
  <c r="F23" i="17"/>
  <c r="E22" i="17"/>
  <c r="F22" i="17"/>
  <c r="D19" i="17"/>
  <c r="D20" i="17"/>
  <c r="C19" i="17"/>
  <c r="E19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65" i="16"/>
  <c r="C114" i="16"/>
  <c r="C116" i="16"/>
  <c r="C119" i="16"/>
  <c r="C123" i="16"/>
  <c r="C36" i="16"/>
  <c r="C32" i="16"/>
  <c r="C33" i="16"/>
  <c r="C22" i="16"/>
  <c r="C21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C303" i="15"/>
  <c r="C306" i="15"/>
  <c r="C310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C276" i="15"/>
  <c r="E276" i="15"/>
  <c r="E270" i="15"/>
  <c r="E265" i="15"/>
  <c r="D265" i="15"/>
  <c r="D302" i="15"/>
  <c r="C265" i="15"/>
  <c r="C302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E245" i="15"/>
  <c r="C221" i="15"/>
  <c r="C245" i="15"/>
  <c r="D220" i="15"/>
  <c r="E220" i="15"/>
  <c r="C220" i="15"/>
  <c r="C244" i="15"/>
  <c r="D219" i="15"/>
  <c r="D243" i="15"/>
  <c r="C219" i="15"/>
  <c r="C243" i="15"/>
  <c r="D218" i="15"/>
  <c r="D242" i="15"/>
  <c r="E242" i="15"/>
  <c r="C218" i="15"/>
  <c r="C242" i="15"/>
  <c r="D216" i="15"/>
  <c r="E216" i="15"/>
  <c r="C216" i="15"/>
  <c r="C240" i="15"/>
  <c r="D215" i="15"/>
  <c r="D239" i="15"/>
  <c r="C215" i="15"/>
  <c r="E209" i="15"/>
  <c r="E208" i="15"/>
  <c r="E207" i="15"/>
  <c r="E206" i="15"/>
  <c r="D205" i="15"/>
  <c r="E205" i="15"/>
  <c r="C205" i="15"/>
  <c r="C210" i="15"/>
  <c r="C229" i="15"/>
  <c r="E204" i="15"/>
  <c r="E203" i="15"/>
  <c r="E197" i="15"/>
  <c r="E196" i="15"/>
  <c r="D195" i="15"/>
  <c r="D260" i="15"/>
  <c r="C195" i="15"/>
  <c r="E195" i="15"/>
  <c r="E194" i="15"/>
  <c r="E193" i="15"/>
  <c r="E192" i="15"/>
  <c r="E191" i="15"/>
  <c r="E190" i="15"/>
  <c r="D188" i="15"/>
  <c r="D189" i="15"/>
  <c r="C188" i="15"/>
  <c r="C189" i="15"/>
  <c r="C261" i="15"/>
  <c r="E186" i="15"/>
  <c r="E185" i="15"/>
  <c r="D179" i="15"/>
  <c r="E179" i="15"/>
  <c r="C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E164" i="15"/>
  <c r="C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E151" i="15"/>
  <c r="E150" i="15"/>
  <c r="E149" i="15"/>
  <c r="E143" i="15"/>
  <c r="E142" i="15"/>
  <c r="E141" i="15"/>
  <c r="E140" i="15"/>
  <c r="D139" i="15"/>
  <c r="D163" i="15"/>
  <c r="C139" i="15"/>
  <c r="C144" i="15"/>
  <c r="C180" i="15"/>
  <c r="E138" i="15"/>
  <c r="E137" i="15"/>
  <c r="D75" i="15"/>
  <c r="C75" i="15"/>
  <c r="E75" i="15"/>
  <c r="D74" i="15"/>
  <c r="E74" i="15"/>
  <c r="C74" i="15"/>
  <c r="D73" i="15"/>
  <c r="E73" i="15"/>
  <c r="C73" i="15"/>
  <c r="D72" i="15"/>
  <c r="C72" i="15"/>
  <c r="D70" i="15"/>
  <c r="C70" i="15"/>
  <c r="C76" i="15"/>
  <c r="D69" i="15"/>
  <c r="E69" i="15"/>
  <c r="C69" i="15"/>
  <c r="C65" i="15"/>
  <c r="C66" i="15"/>
  <c r="E64" i="15"/>
  <c r="E63" i="15"/>
  <c r="E62" i="15"/>
  <c r="E61" i="15"/>
  <c r="D60" i="15"/>
  <c r="D71" i="15"/>
  <c r="E71" i="15"/>
  <c r="C60" i="15"/>
  <c r="C71" i="15"/>
  <c r="C289" i="15"/>
  <c r="E59" i="15"/>
  <c r="E58" i="15"/>
  <c r="D54" i="15"/>
  <c r="D55" i="15"/>
  <c r="E55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E41" i="15"/>
  <c r="C41" i="15"/>
  <c r="D40" i="15"/>
  <c r="E40" i="15"/>
  <c r="C40" i="15"/>
  <c r="D39" i="15"/>
  <c r="C39" i="15"/>
  <c r="E39" i="15"/>
  <c r="D38" i="15"/>
  <c r="E38" i="15"/>
  <c r="C38" i="15"/>
  <c r="D37" i="15"/>
  <c r="E37" i="15"/>
  <c r="C37" i="15"/>
  <c r="C43" i="15"/>
  <c r="D36" i="15"/>
  <c r="C36" i="15"/>
  <c r="C44" i="15"/>
  <c r="C33" i="15"/>
  <c r="D32" i="15"/>
  <c r="D33" i="15"/>
  <c r="C32" i="15"/>
  <c r="C294" i="15"/>
  <c r="E31" i="15"/>
  <c r="E30" i="15"/>
  <c r="E29" i="15"/>
  <c r="E28" i="15"/>
  <c r="E27" i="15"/>
  <c r="E26" i="15"/>
  <c r="E25" i="15"/>
  <c r="D22" i="15"/>
  <c r="D21" i="15"/>
  <c r="D283" i="15"/>
  <c r="C21" i="15"/>
  <c r="E21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F311" i="14"/>
  <c r="F308" i="14"/>
  <c r="E308" i="14"/>
  <c r="C307" i="14"/>
  <c r="E307" i="14"/>
  <c r="C299" i="14"/>
  <c r="C298" i="14"/>
  <c r="E298" i="14"/>
  <c r="C297" i="14"/>
  <c r="E297" i="14"/>
  <c r="C296" i="14"/>
  <c r="E296" i="14"/>
  <c r="C295" i="14"/>
  <c r="E295" i="14"/>
  <c r="F295" i="14"/>
  <c r="C294" i="14"/>
  <c r="E294" i="14"/>
  <c r="C250" i="14"/>
  <c r="E250" i="14"/>
  <c r="F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F238" i="14"/>
  <c r="C237" i="14"/>
  <c r="E237" i="14"/>
  <c r="E234" i="14"/>
  <c r="F234" i="14"/>
  <c r="E233" i="14"/>
  <c r="F233" i="14"/>
  <c r="E230" i="14"/>
  <c r="C230" i="14"/>
  <c r="C229" i="14"/>
  <c r="E229" i="14"/>
  <c r="E228" i="14"/>
  <c r="F228" i="14"/>
  <c r="C226" i="14"/>
  <c r="E225" i="14"/>
  <c r="F225" i="14"/>
  <c r="E224" i="14"/>
  <c r="F224" i="14"/>
  <c r="C223" i="14"/>
  <c r="E223" i="14"/>
  <c r="F223" i="14"/>
  <c r="E222" i="14"/>
  <c r="F222" i="14"/>
  <c r="E221" i="14"/>
  <c r="F221" i="14"/>
  <c r="C204" i="14"/>
  <c r="C203" i="14"/>
  <c r="C283" i="14"/>
  <c r="E283" i="14"/>
  <c r="C198" i="14"/>
  <c r="E198" i="14"/>
  <c r="F198" i="14"/>
  <c r="C191" i="14"/>
  <c r="C264" i="14"/>
  <c r="C189" i="14"/>
  <c r="E189" i="14"/>
  <c r="C188" i="14"/>
  <c r="E188" i="14"/>
  <c r="E180" i="14"/>
  <c r="C180" i="14"/>
  <c r="F180" i="14"/>
  <c r="C179" i="14"/>
  <c r="C171" i="14"/>
  <c r="E171" i="14"/>
  <c r="C170" i="14"/>
  <c r="E170" i="14"/>
  <c r="F170" i="14"/>
  <c r="F169" i="14"/>
  <c r="E169" i="14"/>
  <c r="F168" i="14"/>
  <c r="E168" i="14"/>
  <c r="C165" i="14"/>
  <c r="E165" i="14"/>
  <c r="C164" i="14"/>
  <c r="E164" i="14"/>
  <c r="F163" i="14"/>
  <c r="E163" i="14"/>
  <c r="C158" i="14"/>
  <c r="C159" i="14"/>
  <c r="E157" i="14"/>
  <c r="F157" i="14"/>
  <c r="F156" i="14"/>
  <c r="E156" i="14"/>
  <c r="E155" i="14"/>
  <c r="C155" i="14"/>
  <c r="F154" i="14"/>
  <c r="E154" i="14"/>
  <c r="F153" i="14"/>
  <c r="E153" i="14"/>
  <c r="C145" i="14"/>
  <c r="E145" i="14"/>
  <c r="C144" i="14"/>
  <c r="E144" i="14"/>
  <c r="C136" i="14"/>
  <c r="C135" i="14"/>
  <c r="E134" i="14"/>
  <c r="F134" i="14"/>
  <c r="E133" i="14"/>
  <c r="F133" i="14"/>
  <c r="C130" i="14"/>
  <c r="E130" i="14"/>
  <c r="C129" i="14"/>
  <c r="E129" i="14"/>
  <c r="E128" i="14"/>
  <c r="F128" i="14"/>
  <c r="E123" i="14"/>
  <c r="C123" i="14"/>
  <c r="C192" i="14"/>
  <c r="E122" i="14"/>
  <c r="F122" i="14"/>
  <c r="E121" i="14"/>
  <c r="F121" i="14"/>
  <c r="C120" i="14"/>
  <c r="F119" i="14"/>
  <c r="E119" i="14"/>
  <c r="E118" i="14"/>
  <c r="F118" i="14"/>
  <c r="E110" i="14"/>
  <c r="C110" i="14"/>
  <c r="C109" i="14"/>
  <c r="E109" i="14"/>
  <c r="C101" i="14"/>
  <c r="C100" i="14"/>
  <c r="E99" i="14"/>
  <c r="F99" i="14"/>
  <c r="E98" i="14"/>
  <c r="F98" i="14"/>
  <c r="C95" i="14"/>
  <c r="C94" i="14"/>
  <c r="E94" i="14"/>
  <c r="E93" i="14"/>
  <c r="F93" i="14"/>
  <c r="C88" i="14"/>
  <c r="E87" i="14"/>
  <c r="F87" i="14"/>
  <c r="E86" i="14"/>
  <c r="F86" i="14"/>
  <c r="C85" i="14"/>
  <c r="E85" i="14"/>
  <c r="E84" i="14"/>
  <c r="F84" i="14"/>
  <c r="E83" i="14"/>
  <c r="F83" i="14"/>
  <c r="C76" i="14"/>
  <c r="C77" i="14"/>
  <c r="E77" i="14"/>
  <c r="F74" i="14"/>
  <c r="E74" i="14"/>
  <c r="F73" i="14"/>
  <c r="E73" i="14"/>
  <c r="C67" i="14"/>
  <c r="C66" i="14"/>
  <c r="E66" i="14"/>
  <c r="F66" i="14"/>
  <c r="C59" i="14"/>
  <c r="E59" i="14"/>
  <c r="E58" i="14"/>
  <c r="C58" i="14"/>
  <c r="F57" i="14"/>
  <c r="E57" i="14"/>
  <c r="F56" i="14"/>
  <c r="E56" i="14"/>
  <c r="C53" i="14"/>
  <c r="C52" i="14"/>
  <c r="E52" i="14"/>
  <c r="F52" i="14"/>
  <c r="E51" i="14"/>
  <c r="F51" i="14"/>
  <c r="C47" i="14"/>
  <c r="E47" i="14"/>
  <c r="E46" i="14"/>
  <c r="F46" i="14"/>
  <c r="E45" i="14"/>
  <c r="F45" i="14"/>
  <c r="C44" i="14"/>
  <c r="E44" i="14"/>
  <c r="F44" i="14"/>
  <c r="E43" i="14"/>
  <c r="F43" i="14"/>
  <c r="E42" i="14"/>
  <c r="F42" i="14"/>
  <c r="C36" i="14"/>
  <c r="E36" i="14"/>
  <c r="E35" i="14"/>
  <c r="C35" i="14"/>
  <c r="C37" i="14"/>
  <c r="C30" i="14"/>
  <c r="E30" i="14"/>
  <c r="C29" i="14"/>
  <c r="E29" i="14"/>
  <c r="E28" i="14"/>
  <c r="F28" i="14"/>
  <c r="E27" i="14"/>
  <c r="F27" i="14"/>
  <c r="C24" i="14"/>
  <c r="E24" i="14"/>
  <c r="F24" i="14"/>
  <c r="C23" i="14"/>
  <c r="E23" i="14"/>
  <c r="F23" i="14"/>
  <c r="F22" i="14"/>
  <c r="E22" i="14"/>
  <c r="C21" i="14"/>
  <c r="C20" i="14"/>
  <c r="E20" i="14"/>
  <c r="F20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1" i="13"/>
  <c r="E20" i="13"/>
  <c r="F20" i="13"/>
  <c r="D17" i="13"/>
  <c r="E17" i="13"/>
  <c r="F17" i="13"/>
  <c r="C17" i="13"/>
  <c r="E16" i="13"/>
  <c r="F16" i="13"/>
  <c r="D13" i="13"/>
  <c r="C13" i="13"/>
  <c r="E13" i="13"/>
  <c r="E12" i="13"/>
  <c r="F12" i="13"/>
  <c r="D99" i="12"/>
  <c r="C99" i="12"/>
  <c r="E99" i="12"/>
  <c r="E98" i="12"/>
  <c r="F98" i="12"/>
  <c r="E97" i="12"/>
  <c r="F97" i="12"/>
  <c r="E96" i="12"/>
  <c r="F96" i="12"/>
  <c r="D92" i="12"/>
  <c r="C92" i="12"/>
  <c r="E92" i="12"/>
  <c r="E91" i="12"/>
  <c r="F91" i="12"/>
  <c r="E90" i="12"/>
  <c r="F90" i="12"/>
  <c r="F89" i="12"/>
  <c r="E89" i="12"/>
  <c r="E88" i="12"/>
  <c r="F88" i="12"/>
  <c r="F87" i="12"/>
  <c r="E87" i="12"/>
  <c r="D84" i="12"/>
  <c r="C84" i="12"/>
  <c r="E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E70" i="12"/>
  <c r="F70" i="12"/>
  <c r="C70" i="12"/>
  <c r="E69" i="12"/>
  <c r="F69" i="12"/>
  <c r="E68" i="12"/>
  <c r="F68" i="12"/>
  <c r="D65" i="12"/>
  <c r="E65" i="12"/>
  <c r="F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F55" i="12"/>
  <c r="C55" i="12"/>
  <c r="E54" i="12"/>
  <c r="F54" i="12"/>
  <c r="E53" i="12"/>
  <c r="F53" i="12"/>
  <c r="D50" i="12"/>
  <c r="E50" i="12"/>
  <c r="F50" i="12"/>
  <c r="C50" i="12"/>
  <c r="E49" i="12"/>
  <c r="F49" i="12"/>
  <c r="E48" i="12"/>
  <c r="F48" i="12"/>
  <c r="D45" i="12"/>
  <c r="E45" i="12"/>
  <c r="C45" i="12"/>
  <c r="F45" i="12"/>
  <c r="F44" i="12"/>
  <c r="E44" i="12"/>
  <c r="F43" i="12"/>
  <c r="E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F30" i="12"/>
  <c r="F29" i="12"/>
  <c r="E29" i="12"/>
  <c r="F28" i="12"/>
  <c r="E28" i="12"/>
  <c r="F27" i="12"/>
  <c r="E27" i="12"/>
  <c r="F26" i="12"/>
  <c r="E26" i="12"/>
  <c r="D23" i="12"/>
  <c r="E23" i="12"/>
  <c r="C23" i="12"/>
  <c r="E22" i="12"/>
  <c r="F22" i="12"/>
  <c r="F21" i="12"/>
  <c r="E21" i="12"/>
  <c r="F20" i="12"/>
  <c r="E20" i="12"/>
  <c r="F19" i="12"/>
  <c r="E19" i="12"/>
  <c r="D16" i="12"/>
  <c r="C16" i="12"/>
  <c r="F15" i="12"/>
  <c r="E15" i="12"/>
  <c r="E14" i="12"/>
  <c r="F14" i="12"/>
  <c r="E13" i="12"/>
  <c r="F13" i="12"/>
  <c r="E12" i="12"/>
  <c r="F12" i="12"/>
  <c r="G37" i="11"/>
  <c r="F37" i="11"/>
  <c r="E33" i="11"/>
  <c r="E36" i="11"/>
  <c r="E38" i="11"/>
  <c r="E40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G17" i="11"/>
  <c r="E17" i="11"/>
  <c r="E31" i="11"/>
  <c r="D17" i="11"/>
  <c r="D31" i="11"/>
  <c r="F31" i="11"/>
  <c r="D33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C80" i="10"/>
  <c r="E78" i="10"/>
  <c r="E80" i="10"/>
  <c r="E77" i="10"/>
  <c r="D78" i="10"/>
  <c r="D80" i="10"/>
  <c r="D77" i="10"/>
  <c r="C78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D50" i="10"/>
  <c r="C55" i="10"/>
  <c r="E54" i="10"/>
  <c r="D54" i="10"/>
  <c r="C54" i="10"/>
  <c r="C50" i="10"/>
  <c r="E50" i="10"/>
  <c r="D48" i="10"/>
  <c r="D42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F46" i="9"/>
  <c r="F45" i="9"/>
  <c r="E45" i="9"/>
  <c r="F44" i="9"/>
  <c r="E44" i="9"/>
  <c r="D39" i="9"/>
  <c r="E39" i="9"/>
  <c r="C39" i="9"/>
  <c r="E38" i="9"/>
  <c r="F38" i="9"/>
  <c r="F37" i="9"/>
  <c r="E37" i="9"/>
  <c r="E36" i="9"/>
  <c r="F36" i="9"/>
  <c r="D31" i="9"/>
  <c r="C31" i="9"/>
  <c r="E31" i="9"/>
  <c r="E30" i="9"/>
  <c r="F30" i="9"/>
  <c r="F29" i="9"/>
  <c r="E29" i="9"/>
  <c r="E28" i="9"/>
  <c r="F28" i="9"/>
  <c r="E27" i="9"/>
  <c r="F27" i="9"/>
  <c r="E26" i="9"/>
  <c r="F26" i="9"/>
  <c r="E25" i="9"/>
  <c r="F25" i="9"/>
  <c r="F24" i="9"/>
  <c r="E24" i="9"/>
  <c r="F23" i="9"/>
  <c r="E23" i="9"/>
  <c r="E22" i="9"/>
  <c r="F22" i="9"/>
  <c r="E18" i="9"/>
  <c r="F18" i="9"/>
  <c r="E17" i="9"/>
  <c r="F17" i="9"/>
  <c r="D16" i="9"/>
  <c r="E16" i="9"/>
  <c r="C16" i="9"/>
  <c r="C19" i="9"/>
  <c r="C33" i="9"/>
  <c r="F15" i="9"/>
  <c r="E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E67" i="8"/>
  <c r="F67" i="8"/>
  <c r="E64" i="8"/>
  <c r="F64" i="8"/>
  <c r="F63" i="8"/>
  <c r="E63" i="8"/>
  <c r="D61" i="8"/>
  <c r="D65" i="8"/>
  <c r="C61" i="8"/>
  <c r="E60" i="8"/>
  <c r="F60" i="8"/>
  <c r="E59" i="8"/>
  <c r="F59" i="8"/>
  <c r="D56" i="8"/>
  <c r="C56" i="8"/>
  <c r="F55" i="8"/>
  <c r="E55" i="8"/>
  <c r="E54" i="8"/>
  <c r="F54" i="8"/>
  <c r="E53" i="8"/>
  <c r="F53" i="8"/>
  <c r="F52" i="8"/>
  <c r="E52" i="8"/>
  <c r="E51" i="8"/>
  <c r="F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D41" i="8"/>
  <c r="D43" i="8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E28" i="8"/>
  <c r="F28" i="8"/>
  <c r="F27" i="8"/>
  <c r="E27" i="8"/>
  <c r="F26" i="8"/>
  <c r="E26" i="8"/>
  <c r="E25" i="8"/>
  <c r="F25" i="8"/>
  <c r="E22" i="8"/>
  <c r="D22" i="8"/>
  <c r="C22" i="8"/>
  <c r="E21" i="8"/>
  <c r="F21" i="8"/>
  <c r="E20" i="8"/>
  <c r="F20" i="8"/>
  <c r="E19" i="8"/>
  <c r="F19" i="8"/>
  <c r="F18" i="8"/>
  <c r="E18" i="8"/>
  <c r="E17" i="8"/>
  <c r="F17" i="8"/>
  <c r="E16" i="8"/>
  <c r="F16" i="8"/>
  <c r="E15" i="8"/>
  <c r="F15" i="8"/>
  <c r="E14" i="8"/>
  <c r="F14" i="8"/>
  <c r="E13" i="8"/>
  <c r="F13" i="8"/>
  <c r="D120" i="7"/>
  <c r="C120" i="7"/>
  <c r="E120" i="7"/>
  <c r="D119" i="7"/>
  <c r="E119" i="7"/>
  <c r="C119" i="7"/>
  <c r="D118" i="7"/>
  <c r="C118" i="7"/>
  <c r="E118" i="7"/>
  <c r="D117" i="7"/>
  <c r="C117" i="7"/>
  <c r="D116" i="7"/>
  <c r="C116" i="7"/>
  <c r="E116" i="7"/>
  <c r="D115" i="7"/>
  <c r="C115" i="7"/>
  <c r="E115" i="7"/>
  <c r="D114" i="7"/>
  <c r="E114" i="7"/>
  <c r="C114" i="7"/>
  <c r="D113" i="7"/>
  <c r="D122" i="7"/>
  <c r="C113" i="7"/>
  <c r="D112" i="7"/>
  <c r="D121" i="7"/>
  <c r="C112" i="7"/>
  <c r="E112" i="7"/>
  <c r="D108" i="7"/>
  <c r="E108" i="7"/>
  <c r="C108" i="7"/>
  <c r="D107" i="7"/>
  <c r="C107" i="7"/>
  <c r="E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F96" i="7"/>
  <c r="D95" i="7"/>
  <c r="C95" i="7"/>
  <c r="F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D71" i="7"/>
  <c r="C71" i="7"/>
  <c r="F70" i="7"/>
  <c r="E70" i="7"/>
  <c r="E69" i="7"/>
  <c r="F69" i="7"/>
  <c r="F68" i="7"/>
  <c r="E68" i="7"/>
  <c r="F67" i="7"/>
  <c r="E67" i="7"/>
  <c r="F66" i="7"/>
  <c r="E66" i="7"/>
  <c r="E65" i="7"/>
  <c r="F65" i="7"/>
  <c r="E64" i="7"/>
  <c r="F64" i="7"/>
  <c r="F63" i="7"/>
  <c r="E63" i="7"/>
  <c r="F62" i="7"/>
  <c r="E62" i="7"/>
  <c r="D60" i="7"/>
  <c r="C60" i="7"/>
  <c r="E60" i="7"/>
  <c r="D59" i="7"/>
  <c r="E59" i="7"/>
  <c r="C59" i="7"/>
  <c r="F58" i="7"/>
  <c r="E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C48" i="7"/>
  <c r="F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D23" i="7"/>
  <c r="C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D205" i="6"/>
  <c r="C205" i="6"/>
  <c r="E205" i="6"/>
  <c r="D204" i="6"/>
  <c r="C204" i="6"/>
  <c r="E204" i="6"/>
  <c r="D203" i="6"/>
  <c r="E203" i="6"/>
  <c r="C203" i="6"/>
  <c r="D202" i="6"/>
  <c r="C202" i="6"/>
  <c r="D201" i="6"/>
  <c r="C201" i="6"/>
  <c r="E201" i="6"/>
  <c r="D200" i="6"/>
  <c r="E200" i="6"/>
  <c r="C200" i="6"/>
  <c r="E199" i="6"/>
  <c r="D199" i="6"/>
  <c r="D208" i="6"/>
  <c r="C199" i="6"/>
  <c r="F199" i="6"/>
  <c r="D198" i="6"/>
  <c r="D207" i="6"/>
  <c r="C198" i="6"/>
  <c r="C207" i="6"/>
  <c r="D193" i="6"/>
  <c r="E193" i="6"/>
  <c r="C193" i="6"/>
  <c r="D192" i="6"/>
  <c r="C192" i="6"/>
  <c r="E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/>
  <c r="D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E128" i="6"/>
  <c r="D127" i="6"/>
  <c r="E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D114" i="6"/>
  <c r="C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E89" i="6"/>
  <c r="D88" i="6"/>
  <c r="C88" i="6"/>
  <c r="E87" i="6"/>
  <c r="F87" i="6"/>
  <c r="E86" i="6"/>
  <c r="F86" i="6"/>
  <c r="F85" i="6"/>
  <c r="E85" i="6"/>
  <c r="E84" i="6"/>
  <c r="F84" i="6"/>
  <c r="E83" i="6"/>
  <c r="F83" i="6"/>
  <c r="E82" i="6"/>
  <c r="F82" i="6"/>
  <c r="F81" i="6"/>
  <c r="E81" i="6"/>
  <c r="E80" i="6"/>
  <c r="F80" i="6"/>
  <c r="E79" i="6"/>
  <c r="F79" i="6"/>
  <c r="D76" i="6"/>
  <c r="E76" i="6"/>
  <c r="F76" i="6"/>
  <c r="C76" i="6"/>
  <c r="D75" i="6"/>
  <c r="E75" i="6"/>
  <c r="F75" i="6"/>
  <c r="C75" i="6"/>
  <c r="E74" i="6"/>
  <c r="F74" i="6"/>
  <c r="F73" i="6"/>
  <c r="E73" i="6"/>
  <c r="E72" i="6"/>
  <c r="F72" i="6"/>
  <c r="E71" i="6"/>
  <c r="F71" i="6"/>
  <c r="E70" i="6"/>
  <c r="F70" i="6"/>
  <c r="F69" i="6"/>
  <c r="E69" i="6"/>
  <c r="E68" i="6"/>
  <c r="F68" i="6"/>
  <c r="E67" i="6"/>
  <c r="F67" i="6"/>
  <c r="E66" i="6"/>
  <c r="F66" i="6"/>
  <c r="D63" i="6"/>
  <c r="E63" i="6"/>
  <c r="F63" i="6"/>
  <c r="C63" i="6"/>
  <c r="D62" i="6"/>
  <c r="E62" i="6"/>
  <c r="F62" i="6"/>
  <c r="C62" i="6"/>
  <c r="F61" i="6"/>
  <c r="E61" i="6"/>
  <c r="E60" i="6"/>
  <c r="F60" i="6"/>
  <c r="E59" i="6"/>
  <c r="F59" i="6"/>
  <c r="E58" i="6"/>
  <c r="F58" i="6"/>
  <c r="F57" i="6"/>
  <c r="E57" i="6"/>
  <c r="E56" i="6"/>
  <c r="F56" i="6"/>
  <c r="E55" i="6"/>
  <c r="F55" i="6"/>
  <c r="E54" i="6"/>
  <c r="F54" i="6"/>
  <c r="F53" i="6"/>
  <c r="E53" i="6"/>
  <c r="D50" i="6"/>
  <c r="C50" i="6"/>
  <c r="D49" i="6"/>
  <c r="E49" i="6"/>
  <c r="F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D166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E143" i="5"/>
  <c r="E149" i="5"/>
  <c r="D147" i="5"/>
  <c r="D143" i="5"/>
  <c r="D149" i="5"/>
  <c r="C147" i="5"/>
  <c r="C143" i="5"/>
  <c r="C149" i="5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D94" i="5"/>
  <c r="C95" i="5"/>
  <c r="C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C79" i="5"/>
  <c r="E75" i="5"/>
  <c r="E77" i="5"/>
  <c r="E71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E49" i="5"/>
  <c r="D43" i="5"/>
  <c r="E38" i="5"/>
  <c r="E43" i="5"/>
  <c r="D38" i="5"/>
  <c r="D53" i="5"/>
  <c r="D57" i="5"/>
  <c r="D62" i="5"/>
  <c r="C38" i="5"/>
  <c r="C53" i="5"/>
  <c r="E34" i="5"/>
  <c r="E33" i="5"/>
  <c r="D33" i="5"/>
  <c r="D34" i="5"/>
  <c r="E26" i="5"/>
  <c r="D26" i="5"/>
  <c r="C26" i="5"/>
  <c r="E13" i="5"/>
  <c r="E25" i="5"/>
  <c r="E27" i="5"/>
  <c r="D13" i="5"/>
  <c r="D25" i="5"/>
  <c r="D27" i="5"/>
  <c r="C13" i="5"/>
  <c r="C25" i="5"/>
  <c r="C27" i="5"/>
  <c r="E174" i="4"/>
  <c r="F174" i="4"/>
  <c r="D171" i="4"/>
  <c r="C171" i="4"/>
  <c r="F170" i="4"/>
  <c r="E170" i="4"/>
  <c r="F169" i="4"/>
  <c r="E169" i="4"/>
  <c r="F168" i="4"/>
  <c r="E168" i="4"/>
  <c r="E167" i="4"/>
  <c r="F167" i="4"/>
  <c r="F166" i="4"/>
  <c r="E166" i="4"/>
  <c r="F165" i="4"/>
  <c r="E165" i="4"/>
  <c r="E164" i="4"/>
  <c r="F164" i="4"/>
  <c r="E163" i="4"/>
  <c r="F163" i="4"/>
  <c r="E162" i="4"/>
  <c r="F162" i="4"/>
  <c r="E161" i="4"/>
  <c r="F161" i="4"/>
  <c r="E160" i="4"/>
  <c r="F160" i="4"/>
  <c r="E159" i="4"/>
  <c r="F159" i="4"/>
  <c r="E158" i="4"/>
  <c r="F158" i="4"/>
  <c r="D155" i="4"/>
  <c r="C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/>
  <c r="F118" i="4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/>
  <c r="F109" i="4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/>
  <c r="F78" i="4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C41" i="4"/>
  <c r="C83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/>
  <c r="F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E84" i="3"/>
  <c r="F84" i="3"/>
  <c r="C84" i="3"/>
  <c r="C95" i="3"/>
  <c r="D81" i="3"/>
  <c r="C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F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/>
  <c r="F25" i="3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F46" i="2"/>
  <c r="D46" i="2"/>
  <c r="E46" i="2"/>
  <c r="C46" i="2"/>
  <c r="F45" i="2"/>
  <c r="E45" i="2"/>
  <c r="F44" i="2"/>
  <c r="E44" i="2"/>
  <c r="D39" i="2"/>
  <c r="E39" i="2"/>
  <c r="F39" i="2"/>
  <c r="C39" i="2"/>
  <c r="F38" i="2"/>
  <c r="E38" i="2"/>
  <c r="F37" i="2"/>
  <c r="E37" i="2"/>
  <c r="F36" i="2"/>
  <c r="E36" i="2"/>
  <c r="D31" i="2"/>
  <c r="E31" i="2"/>
  <c r="F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D19" i="2"/>
  <c r="C16" i="2"/>
  <c r="C19" i="2"/>
  <c r="F15" i="2"/>
  <c r="E15" i="2"/>
  <c r="F14" i="2"/>
  <c r="E14" i="2"/>
  <c r="F13" i="2"/>
  <c r="E13" i="2"/>
  <c r="F12" i="2"/>
  <c r="E12" i="2"/>
  <c r="D73" i="1"/>
  <c r="E73" i="1"/>
  <c r="F73" i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D65" i="1"/>
  <c r="C61" i="1"/>
  <c r="C65" i="1"/>
  <c r="E60" i="1"/>
  <c r="F60" i="1"/>
  <c r="E59" i="1"/>
  <c r="F59" i="1"/>
  <c r="D56" i="1"/>
  <c r="C56" i="1"/>
  <c r="E56" i="1"/>
  <c r="F56" i="1"/>
  <c r="F55" i="1"/>
  <c r="E55" i="1"/>
  <c r="E54" i="1"/>
  <c r="F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C38" i="1"/>
  <c r="F37" i="1"/>
  <c r="E37" i="1"/>
  <c r="F36" i="1"/>
  <c r="E36" i="1"/>
  <c r="F33" i="1"/>
  <c r="E33" i="1"/>
  <c r="F32" i="1"/>
  <c r="E32" i="1"/>
  <c r="F31" i="1"/>
  <c r="E31" i="1"/>
  <c r="D29" i="1"/>
  <c r="E29" i="1"/>
  <c r="F29" i="1"/>
  <c r="C29" i="1"/>
  <c r="F28" i="1"/>
  <c r="E28" i="1"/>
  <c r="F27" i="1"/>
  <c r="E27" i="1"/>
  <c r="F26" i="1"/>
  <c r="E26" i="1"/>
  <c r="F25" i="1"/>
  <c r="E25" i="1"/>
  <c r="D22" i="1"/>
  <c r="E22" i="1"/>
  <c r="F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230" i="14"/>
  <c r="F297" i="14"/>
  <c r="D285" i="14"/>
  <c r="D286" i="14"/>
  <c r="D277" i="14"/>
  <c r="F47" i="14"/>
  <c r="F58" i="14"/>
  <c r="F283" i="14"/>
  <c r="D261" i="14"/>
  <c r="C75" i="1"/>
  <c r="C41" i="9"/>
  <c r="D21" i="10"/>
  <c r="C25" i="10"/>
  <c r="C27" i="10"/>
  <c r="C15" i="10"/>
  <c r="E59" i="10"/>
  <c r="E61" i="10"/>
  <c r="E57" i="10"/>
  <c r="E48" i="10"/>
  <c r="E42" i="10"/>
  <c r="E37" i="14"/>
  <c r="F37" i="14"/>
  <c r="E192" i="14"/>
  <c r="F192" i="14"/>
  <c r="D95" i="3"/>
  <c r="E95" i="3"/>
  <c r="F95" i="3"/>
  <c r="D176" i="4"/>
  <c r="C57" i="5"/>
  <c r="C62" i="5"/>
  <c r="E61" i="1"/>
  <c r="F61" i="1"/>
  <c r="E16" i="2"/>
  <c r="F16" i="2"/>
  <c r="D15" i="5"/>
  <c r="C43" i="5"/>
  <c r="E53" i="5"/>
  <c r="D77" i="5"/>
  <c r="D71" i="5"/>
  <c r="C121" i="7"/>
  <c r="C41" i="8"/>
  <c r="C43" i="8"/>
  <c r="D75" i="8"/>
  <c r="F127" i="6"/>
  <c r="F203" i="6"/>
  <c r="F59" i="7"/>
  <c r="F72" i="7"/>
  <c r="F107" i="7"/>
  <c r="F114" i="7"/>
  <c r="F118" i="7"/>
  <c r="E15" i="10"/>
  <c r="E25" i="10"/>
  <c r="E27" i="10"/>
  <c r="E21" i="10"/>
  <c r="C48" i="10"/>
  <c r="C42" i="10"/>
  <c r="C59" i="10"/>
  <c r="C61" i="10"/>
  <c r="C57" i="10"/>
  <c r="D52" i="3"/>
  <c r="D41" i="1"/>
  <c r="C49" i="5"/>
  <c r="E57" i="5"/>
  <c r="E62" i="5"/>
  <c r="E50" i="6"/>
  <c r="F50" i="6"/>
  <c r="E41" i="4"/>
  <c r="F41" i="4"/>
  <c r="F89" i="6"/>
  <c r="E102" i="6"/>
  <c r="E114" i="6"/>
  <c r="F114" i="6"/>
  <c r="F128" i="6"/>
  <c r="F192" i="6"/>
  <c r="E198" i="6"/>
  <c r="F198" i="6"/>
  <c r="F200" i="6"/>
  <c r="E202" i="6"/>
  <c r="F202" i="6"/>
  <c r="F204" i="6"/>
  <c r="E206" i="6"/>
  <c r="F206" i="6"/>
  <c r="E23" i="7"/>
  <c r="F23" i="7"/>
  <c r="F36" i="7"/>
  <c r="F60" i="7"/>
  <c r="E71" i="7"/>
  <c r="F71" i="7"/>
  <c r="E83" i="7"/>
  <c r="E95" i="7"/>
  <c r="F108" i="7"/>
  <c r="E113" i="7"/>
  <c r="F113" i="7"/>
  <c r="F115" i="7"/>
  <c r="E117" i="7"/>
  <c r="F117" i="7"/>
  <c r="F119" i="7"/>
  <c r="C122" i="7"/>
  <c r="E122" i="7"/>
  <c r="F22" i="8"/>
  <c r="E38" i="8"/>
  <c r="F38" i="8"/>
  <c r="E61" i="8"/>
  <c r="F61" i="8"/>
  <c r="C65" i="8"/>
  <c r="E65" i="8"/>
  <c r="E73" i="8"/>
  <c r="F73" i="8"/>
  <c r="F16" i="9"/>
  <c r="F39" i="9"/>
  <c r="G31" i="11"/>
  <c r="C33" i="11"/>
  <c r="C36" i="11"/>
  <c r="C38" i="11"/>
  <c r="C40" i="11"/>
  <c r="E30" i="12"/>
  <c r="E115" i="6"/>
  <c r="F115" i="6"/>
  <c r="E166" i="6"/>
  <c r="F193" i="6"/>
  <c r="F201" i="6"/>
  <c r="F205" i="6"/>
  <c r="C208" i="6"/>
  <c r="E24" i="7"/>
  <c r="F24" i="7"/>
  <c r="E35" i="7"/>
  <c r="F35" i="7"/>
  <c r="E47" i="7"/>
  <c r="F112" i="7"/>
  <c r="F116" i="7"/>
  <c r="F120" i="7"/>
  <c r="E29" i="8"/>
  <c r="F29" i="8"/>
  <c r="E56" i="8"/>
  <c r="F56" i="8"/>
  <c r="F31" i="9"/>
  <c r="E46" i="9"/>
  <c r="F33" i="11"/>
  <c r="F36" i="11"/>
  <c r="F38" i="11"/>
  <c r="F40" i="11"/>
  <c r="D36" i="11"/>
  <c r="D38" i="11"/>
  <c r="D40" i="11"/>
  <c r="E16" i="12"/>
  <c r="F16" i="12"/>
  <c r="F23" i="12"/>
  <c r="E37" i="12"/>
  <c r="C285" i="14"/>
  <c r="E204" i="14"/>
  <c r="F204" i="14"/>
  <c r="C269" i="14"/>
  <c r="D284" i="15"/>
  <c r="E109" i="19"/>
  <c r="E108" i="19"/>
  <c r="D175" i="14"/>
  <c r="D62" i="14"/>
  <c r="D105" i="14"/>
  <c r="D90" i="14"/>
  <c r="D160" i="14"/>
  <c r="D288" i="14"/>
  <c r="F17" i="11"/>
  <c r="F92" i="12"/>
  <c r="F13" i="13"/>
  <c r="F21" i="13"/>
  <c r="C31" i="14"/>
  <c r="F35" i="14"/>
  <c r="E53" i="14"/>
  <c r="F53" i="14"/>
  <c r="C60" i="14"/>
  <c r="E67" i="14"/>
  <c r="F67" i="14"/>
  <c r="E100" i="14"/>
  <c r="F100" i="14"/>
  <c r="C111" i="14"/>
  <c r="C124" i="14"/>
  <c r="F129" i="14"/>
  <c r="F155" i="14"/>
  <c r="E159" i="14"/>
  <c r="F159" i="14"/>
  <c r="C161" i="14"/>
  <c r="F171" i="14"/>
  <c r="F188" i="14"/>
  <c r="C190" i="14"/>
  <c r="C199" i="14"/>
  <c r="C215" i="14"/>
  <c r="F229" i="14"/>
  <c r="C290" i="14"/>
  <c r="F294" i="14"/>
  <c r="F296" i="14"/>
  <c r="F298" i="14"/>
  <c r="C252" i="15"/>
  <c r="E302" i="15"/>
  <c r="F36" i="17"/>
  <c r="C146" i="14"/>
  <c r="F144" i="14"/>
  <c r="E226" i="14"/>
  <c r="F226" i="14"/>
  <c r="C227" i="14"/>
  <c r="C99" i="15"/>
  <c r="C95" i="15"/>
  <c r="C88" i="15"/>
  <c r="C84" i="15"/>
  <c r="C258" i="15"/>
  <c r="C98" i="15"/>
  <c r="C87" i="15"/>
  <c r="C83" i="15"/>
  <c r="C101" i="15"/>
  <c r="C97" i="15"/>
  <c r="C86" i="15"/>
  <c r="C100" i="15"/>
  <c r="C96" i="15"/>
  <c r="C89" i="15"/>
  <c r="C85" i="15"/>
  <c r="C90" i="15"/>
  <c r="C46" i="19"/>
  <c r="C40" i="19"/>
  <c r="C36" i="19"/>
  <c r="C30" i="19"/>
  <c r="C111" i="19"/>
  <c r="C54" i="19"/>
  <c r="D109" i="19"/>
  <c r="D108" i="19"/>
  <c r="D254" i="14"/>
  <c r="E75" i="12"/>
  <c r="F75" i="12"/>
  <c r="F17" i="14"/>
  <c r="F30" i="14"/>
  <c r="F36" i="14"/>
  <c r="F59" i="14"/>
  <c r="F85" i="14"/>
  <c r="F94" i="14"/>
  <c r="F145" i="14"/>
  <c r="F164" i="14"/>
  <c r="F165" i="14"/>
  <c r="C282" i="14"/>
  <c r="D287" i="14"/>
  <c r="C193" i="14"/>
  <c r="F123" i="14"/>
  <c r="C277" i="14"/>
  <c r="C261" i="14"/>
  <c r="C254" i="14"/>
  <c r="D320" i="15"/>
  <c r="E320" i="15"/>
  <c r="E316" i="15"/>
  <c r="D330" i="15"/>
  <c r="E330" i="15"/>
  <c r="E326" i="15"/>
  <c r="C108" i="19"/>
  <c r="C109" i="19"/>
  <c r="F84" i="12"/>
  <c r="F99" i="12"/>
  <c r="C68" i="14"/>
  <c r="F110" i="14"/>
  <c r="E158" i="14"/>
  <c r="F158" i="14"/>
  <c r="C200" i="14"/>
  <c r="C214" i="14"/>
  <c r="E214" i="14"/>
  <c r="F214" i="14"/>
  <c r="F237" i="14"/>
  <c r="C255" i="14"/>
  <c r="C274" i="14"/>
  <c r="C300" i="14"/>
  <c r="C295" i="15"/>
  <c r="C77" i="15"/>
  <c r="D76" i="15"/>
  <c r="E76" i="15"/>
  <c r="D41" i="17"/>
  <c r="E290" i="14"/>
  <c r="C283" i="15"/>
  <c r="E283" i="15"/>
  <c r="C22" i="15"/>
  <c r="C284" i="15"/>
  <c r="E33" i="15"/>
  <c r="D104" i="14"/>
  <c r="D174" i="14"/>
  <c r="D207" i="14"/>
  <c r="D138" i="14"/>
  <c r="E264" i="14"/>
  <c r="F264" i="14"/>
  <c r="C126" i="14"/>
  <c r="F130" i="14"/>
  <c r="C172" i="14"/>
  <c r="C239" i="14"/>
  <c r="E239" i="14"/>
  <c r="E32" i="15"/>
  <c r="E54" i="15"/>
  <c r="E60" i="15"/>
  <c r="E70" i="15"/>
  <c r="E139" i="15"/>
  <c r="C145" i="15"/>
  <c r="C181" i="15"/>
  <c r="C156" i="15"/>
  <c r="C157" i="15"/>
  <c r="D157" i="15"/>
  <c r="E157" i="15"/>
  <c r="C163" i="15"/>
  <c r="E163" i="15"/>
  <c r="D175" i="15"/>
  <c r="E188" i="15"/>
  <c r="D210" i="15"/>
  <c r="D217" i="15"/>
  <c r="E218" i="15"/>
  <c r="E233" i="15"/>
  <c r="E251" i="15"/>
  <c r="C253" i="15"/>
  <c r="C260" i="15"/>
  <c r="E260" i="15"/>
  <c r="D261" i="15"/>
  <c r="E261" i="15"/>
  <c r="D289" i="15"/>
  <c r="E289" i="15"/>
  <c r="C37" i="16"/>
  <c r="C38" i="16"/>
  <c r="C127" i="16"/>
  <c r="C129" i="16"/>
  <c r="C133" i="16"/>
  <c r="E16" i="17"/>
  <c r="F16" i="17"/>
  <c r="C20" i="17"/>
  <c r="E25" i="17"/>
  <c r="F25" i="17"/>
  <c r="C39" i="17"/>
  <c r="C40" i="17"/>
  <c r="C46" i="17"/>
  <c r="E22" i="19"/>
  <c r="C33" i="19"/>
  <c r="C101" i="19"/>
  <c r="C103" i="19"/>
  <c r="D193" i="14"/>
  <c r="D267" i="14"/>
  <c r="D306" i="14"/>
  <c r="E306" i="14"/>
  <c r="C168" i="15"/>
  <c r="E215" i="15"/>
  <c r="E219" i="15"/>
  <c r="D222" i="15"/>
  <c r="D223" i="15"/>
  <c r="D229" i="15"/>
  <c r="E229" i="15"/>
  <c r="C239" i="15"/>
  <c r="E239" i="15"/>
  <c r="D240" i="15"/>
  <c r="D252" i="15"/>
  <c r="E252" i="15"/>
  <c r="E240" i="15"/>
  <c r="D244" i="15"/>
  <c r="E244" i="15"/>
  <c r="D303" i="15"/>
  <c r="E314" i="15"/>
  <c r="C49" i="16"/>
  <c r="F19" i="17"/>
  <c r="F33" i="17"/>
  <c r="F44" i="17"/>
  <c r="F45" i="17"/>
  <c r="D22" i="19"/>
  <c r="E23" i="19"/>
  <c r="E46" i="19"/>
  <c r="C34" i="19"/>
  <c r="D124" i="14"/>
  <c r="E124" i="14"/>
  <c r="D200" i="14"/>
  <c r="D206" i="14"/>
  <c r="D262" i="14"/>
  <c r="D266" i="14"/>
  <c r="D274" i="14"/>
  <c r="E274" i="14"/>
  <c r="D280" i="14"/>
  <c r="D284" i="14"/>
  <c r="E36" i="15"/>
  <c r="D65" i="15"/>
  <c r="D294" i="15"/>
  <c r="E294" i="15"/>
  <c r="D144" i="15"/>
  <c r="C211" i="15"/>
  <c r="C235" i="15"/>
  <c r="C222" i="15"/>
  <c r="C246" i="15"/>
  <c r="E231" i="15"/>
  <c r="E324" i="15"/>
  <c r="C22" i="19"/>
  <c r="E33" i="19"/>
  <c r="E101" i="19"/>
  <c r="E103" i="19"/>
  <c r="D199" i="14"/>
  <c r="E199" i="14"/>
  <c r="F199" i="14"/>
  <c r="D205" i="14"/>
  <c r="D215" i="14"/>
  <c r="D279" i="14"/>
  <c r="E221" i="15"/>
  <c r="D21" i="14"/>
  <c r="D190" i="14"/>
  <c r="E190" i="14"/>
  <c r="F190" i="14"/>
  <c r="D255" i="14"/>
  <c r="E255" i="14"/>
  <c r="F255" i="14"/>
  <c r="E215" i="14"/>
  <c r="C45" i="19"/>
  <c r="C39" i="19"/>
  <c r="C35" i="19"/>
  <c r="C29" i="19"/>
  <c r="C110" i="19"/>
  <c r="C53" i="19"/>
  <c r="D53" i="19"/>
  <c r="D45" i="19"/>
  <c r="D39" i="19"/>
  <c r="D35" i="19"/>
  <c r="D29" i="19"/>
  <c r="D110" i="19"/>
  <c r="D270" i="14"/>
  <c r="C169" i="15"/>
  <c r="E172" i="14"/>
  <c r="F172" i="14"/>
  <c r="C173" i="14"/>
  <c r="D66" i="15"/>
  <c r="E54" i="19"/>
  <c r="E40" i="19"/>
  <c r="E30" i="19"/>
  <c r="C287" i="14"/>
  <c r="C284" i="14"/>
  <c r="E277" i="14"/>
  <c r="F277" i="14"/>
  <c r="C56" i="19"/>
  <c r="C48" i="19"/>
  <c r="C38" i="19"/>
  <c r="C113" i="19"/>
  <c r="E285" i="14"/>
  <c r="F285" i="14"/>
  <c r="C286" i="14"/>
  <c r="C21" i="10"/>
  <c r="E200" i="14"/>
  <c r="D271" i="14"/>
  <c r="C223" i="15"/>
  <c r="C247" i="15"/>
  <c r="D300" i="14"/>
  <c r="E300" i="14"/>
  <c r="E156" i="15"/>
  <c r="E20" i="17"/>
  <c r="F20" i="17"/>
  <c r="F290" i="14"/>
  <c r="F124" i="14"/>
  <c r="D140" i="14"/>
  <c r="E284" i="15"/>
  <c r="C75" i="8"/>
  <c r="D43" i="1"/>
  <c r="E110" i="19"/>
  <c r="E53" i="19"/>
  <c r="E45" i="19"/>
  <c r="E39" i="19"/>
  <c r="E35" i="19"/>
  <c r="E29" i="19"/>
  <c r="E210" i="15"/>
  <c r="D234" i="15"/>
  <c r="D211" i="15"/>
  <c r="C127" i="14"/>
  <c r="E261" i="14"/>
  <c r="F261" i="14"/>
  <c r="D291" i="14"/>
  <c r="D289" i="14"/>
  <c r="E287" i="14"/>
  <c r="E254" i="14"/>
  <c r="F254" i="14"/>
  <c r="E227" i="14"/>
  <c r="F227" i="14"/>
  <c r="C162" i="14"/>
  <c r="D63" i="14"/>
  <c r="E41" i="8"/>
  <c r="F41" i="8"/>
  <c r="C24" i="10"/>
  <c r="C20" i="10"/>
  <c r="C17" i="10"/>
  <c r="C28" i="10"/>
  <c r="C70" i="10"/>
  <c r="C72" i="10"/>
  <c r="C69" i="10"/>
  <c r="C48" i="9"/>
  <c r="D268" i="14"/>
  <c r="F239" i="14"/>
  <c r="D265" i="14"/>
  <c r="D139" i="14"/>
  <c r="F200" i="14"/>
  <c r="C304" i="14"/>
  <c r="D77" i="15"/>
  <c r="E208" i="6"/>
  <c r="F208" i="6"/>
  <c r="D145" i="15"/>
  <c r="D180" i="15"/>
  <c r="E180" i="15"/>
  <c r="E144" i="15"/>
  <c r="D168" i="15"/>
  <c r="E168" i="15"/>
  <c r="D246" i="15"/>
  <c r="E246" i="15"/>
  <c r="E222" i="15"/>
  <c r="D194" i="14"/>
  <c r="E193" i="14"/>
  <c r="F193" i="14"/>
  <c r="D126" i="14"/>
  <c r="D91" i="14"/>
  <c r="D49" i="14"/>
  <c r="D196" i="14"/>
  <c r="D161" i="14"/>
  <c r="E21" i="14"/>
  <c r="F21" i="14"/>
  <c r="D272" i="14"/>
  <c r="E39" i="17"/>
  <c r="F39" i="17"/>
  <c r="C41" i="17"/>
  <c r="D241" i="15"/>
  <c r="D208" i="14"/>
  <c r="C126" i="15"/>
  <c r="C122" i="15"/>
  <c r="C115" i="15"/>
  <c r="C111" i="15"/>
  <c r="C125" i="15"/>
  <c r="C121" i="15"/>
  <c r="C114" i="15"/>
  <c r="C110" i="15"/>
  <c r="C124" i="15"/>
  <c r="C113" i="15"/>
  <c r="C109" i="15"/>
  <c r="C127" i="15"/>
  <c r="C123" i="15"/>
  <c r="C112" i="15"/>
  <c r="C194" i="14"/>
  <c r="E146" i="14"/>
  <c r="F146" i="14"/>
  <c r="E60" i="14"/>
  <c r="F60" i="14"/>
  <c r="C61" i="14"/>
  <c r="E31" i="14"/>
  <c r="F31" i="14"/>
  <c r="C32" i="14"/>
  <c r="E269" i="14"/>
  <c r="F269" i="14"/>
  <c r="D24" i="5"/>
  <c r="D17" i="5"/>
  <c r="E284" i="14"/>
  <c r="D263" i="14"/>
  <c r="D253" i="15"/>
  <c r="E253" i="15"/>
  <c r="F274" i="14"/>
  <c r="D282" i="14"/>
  <c r="E282" i="14"/>
  <c r="C102" i="15"/>
  <c r="C103" i="15"/>
  <c r="C254" i="15"/>
  <c r="F215" i="14"/>
  <c r="G33" i="11"/>
  <c r="G36" i="11"/>
  <c r="G38" i="11"/>
  <c r="G40" i="11"/>
  <c r="E75" i="8"/>
  <c r="E43" i="8"/>
  <c r="D306" i="15"/>
  <c r="E303" i="15"/>
  <c r="C216" i="14"/>
  <c r="E68" i="14"/>
  <c r="F68" i="14"/>
  <c r="E111" i="14"/>
  <c r="F111" i="14"/>
  <c r="D106" i="14"/>
  <c r="D176" i="14"/>
  <c r="E17" i="10"/>
  <c r="E28" i="10"/>
  <c r="E70" i="10"/>
  <c r="E72" i="10"/>
  <c r="E69" i="10"/>
  <c r="E24" i="10"/>
  <c r="E20" i="10"/>
  <c r="E121" i="7"/>
  <c r="F121" i="7"/>
  <c r="E40" i="17"/>
  <c r="F40" i="17"/>
  <c r="F282" i="14"/>
  <c r="D216" i="14"/>
  <c r="D125" i="14"/>
  <c r="E22" i="15"/>
  <c r="C266" i="14"/>
  <c r="F65" i="8"/>
  <c r="F122" i="7"/>
  <c r="C62" i="14"/>
  <c r="C175" i="14"/>
  <c r="E32" i="14"/>
  <c r="F32" i="14"/>
  <c r="D162" i="14"/>
  <c r="E161" i="14"/>
  <c r="F161" i="14"/>
  <c r="D127" i="14"/>
  <c r="E126" i="14"/>
  <c r="F126" i="14"/>
  <c r="E286" i="14"/>
  <c r="F286" i="14"/>
  <c r="E173" i="14"/>
  <c r="F173" i="14"/>
  <c r="D47" i="19"/>
  <c r="D37" i="19"/>
  <c r="D112" i="19"/>
  <c r="D55" i="19"/>
  <c r="C128" i="15"/>
  <c r="C129" i="15"/>
  <c r="F75" i="8"/>
  <c r="E223" i="15"/>
  <c r="D210" i="14"/>
  <c r="D209" i="14"/>
  <c r="D92" i="14"/>
  <c r="D305" i="14"/>
  <c r="D235" i="15"/>
  <c r="E235" i="15"/>
  <c r="E211" i="15"/>
  <c r="E66" i="15"/>
  <c r="D295" i="15"/>
  <c r="E295" i="15"/>
  <c r="C112" i="19"/>
  <c r="C55" i="19"/>
  <c r="C47" i="19"/>
  <c r="C37" i="19"/>
  <c r="C22" i="10"/>
  <c r="E22" i="10"/>
  <c r="D247" i="15"/>
  <c r="E247" i="15"/>
  <c r="C265" i="14"/>
  <c r="E265" i="14"/>
  <c r="F265" i="14"/>
  <c r="D310" i="15"/>
  <c r="E310" i="15"/>
  <c r="E306" i="15"/>
  <c r="D112" i="5"/>
  <c r="D111" i="5"/>
  <c r="D28" i="5"/>
  <c r="C174" i="14"/>
  <c r="E61" i="14"/>
  <c r="F61" i="14"/>
  <c r="D50" i="14"/>
  <c r="E194" i="14"/>
  <c r="F194" i="14"/>
  <c r="D195" i="14"/>
  <c r="D181" i="15"/>
  <c r="E181" i="15"/>
  <c r="E145" i="15"/>
  <c r="D169" i="15"/>
  <c r="E169" i="15"/>
  <c r="E47" i="19"/>
  <c r="E37" i="19"/>
  <c r="E112" i="19"/>
  <c r="E55" i="19"/>
  <c r="D141" i="14"/>
  <c r="D304" i="14"/>
  <c r="D273" i="14"/>
  <c r="E216" i="14"/>
  <c r="F216" i="14"/>
  <c r="C116" i="15"/>
  <c r="C117" i="15"/>
  <c r="C131" i="15"/>
  <c r="D281" i="14"/>
  <c r="F284" i="14"/>
  <c r="C196" i="14"/>
  <c r="E196" i="14"/>
  <c r="F196" i="14"/>
  <c r="D197" i="14"/>
  <c r="D127" i="15"/>
  <c r="E127" i="15"/>
  <c r="D123" i="15"/>
  <c r="E123" i="15"/>
  <c r="D112" i="15"/>
  <c r="E112" i="15"/>
  <c r="E77" i="15"/>
  <c r="D126" i="15"/>
  <c r="E126" i="15"/>
  <c r="D122" i="15"/>
  <c r="D128" i="15"/>
  <c r="D115" i="15"/>
  <c r="E115" i="15"/>
  <c r="D111" i="15"/>
  <c r="E111" i="15"/>
  <c r="D125" i="15"/>
  <c r="E125" i="15"/>
  <c r="D121" i="15"/>
  <c r="D114" i="15"/>
  <c r="E114" i="15"/>
  <c r="D110" i="15"/>
  <c r="D116" i="15"/>
  <c r="D124" i="15"/>
  <c r="E124" i="15"/>
  <c r="D113" i="15"/>
  <c r="E113" i="15"/>
  <c r="D109" i="15"/>
  <c r="C197" i="14"/>
  <c r="E197" i="14"/>
  <c r="F287" i="14"/>
  <c r="E48" i="19"/>
  <c r="E38" i="19"/>
  <c r="E113" i="19"/>
  <c r="E56" i="19"/>
  <c r="E266" i="14"/>
  <c r="F266" i="14"/>
  <c r="E121" i="15"/>
  <c r="E122" i="15"/>
  <c r="D309" i="14"/>
  <c r="D324" i="14"/>
  <c r="D113" i="14"/>
  <c r="D183" i="14"/>
  <c r="D323" i="14"/>
  <c r="E162" i="14"/>
  <c r="F162" i="14"/>
  <c r="E109" i="15"/>
  <c r="D310" i="14"/>
  <c r="D312" i="14"/>
  <c r="E304" i="14"/>
  <c r="F304" i="14"/>
  <c r="D99" i="5"/>
  <c r="D101" i="5"/>
  <c r="D98" i="5"/>
  <c r="D22" i="5"/>
  <c r="C63" i="14"/>
  <c r="E63" i="14"/>
  <c r="F63" i="14"/>
  <c r="E62" i="14"/>
  <c r="F62" i="14"/>
  <c r="D322" i="14"/>
  <c r="D70" i="14"/>
  <c r="E174" i="14"/>
  <c r="F174" i="14"/>
  <c r="D211" i="14"/>
  <c r="D148" i="14"/>
  <c r="E127" i="14"/>
  <c r="F127" i="14"/>
  <c r="C176" i="14"/>
  <c r="F176" i="14"/>
  <c r="E175" i="14"/>
  <c r="F175" i="14"/>
  <c r="E176" i="14"/>
  <c r="C183" i="14"/>
  <c r="F183" i="14"/>
  <c r="D325" i="14"/>
  <c r="E183" i="14"/>
  <c r="D313" i="14"/>
  <c r="E116" i="15"/>
  <c r="D117" i="15"/>
  <c r="E128" i="15"/>
  <c r="D129" i="15"/>
  <c r="E129" i="15"/>
  <c r="C323" i="14"/>
  <c r="F197" i="14"/>
  <c r="E110" i="15"/>
  <c r="E41" i="17"/>
  <c r="F41" i="17"/>
  <c r="D254" i="15"/>
  <c r="E254" i="15"/>
  <c r="F300" i="14"/>
  <c r="C91" i="15"/>
  <c r="C105" i="15"/>
  <c r="F43" i="8"/>
  <c r="E65" i="1"/>
  <c r="F65" i="1"/>
  <c r="D75" i="1"/>
  <c r="E75" i="1"/>
  <c r="F75" i="1"/>
  <c r="E19" i="2"/>
  <c r="D33" i="2"/>
  <c r="D20" i="5"/>
  <c r="D21" i="5"/>
  <c r="E21" i="5"/>
  <c r="D140" i="5"/>
  <c r="D139" i="5"/>
  <c r="D138" i="5"/>
  <c r="D137" i="5"/>
  <c r="D136" i="5"/>
  <c r="D135" i="5"/>
  <c r="D141" i="5"/>
  <c r="E136" i="5"/>
  <c r="E139" i="5"/>
  <c r="E138" i="5"/>
  <c r="E137" i="5"/>
  <c r="E140" i="5"/>
  <c r="E135" i="5"/>
  <c r="E141" i="5"/>
  <c r="E155" i="5"/>
  <c r="E157" i="5"/>
  <c r="E156" i="5"/>
  <c r="E154" i="5"/>
  <c r="E153" i="5"/>
  <c r="E152" i="5"/>
  <c r="E158" i="5"/>
  <c r="D157" i="5"/>
  <c r="D156" i="5"/>
  <c r="D155" i="5"/>
  <c r="D153" i="5"/>
  <c r="D152" i="5"/>
  <c r="D154" i="5"/>
  <c r="C33" i="2"/>
  <c r="F19" i="2"/>
  <c r="C21" i="5"/>
  <c r="C140" i="5"/>
  <c r="C135" i="5"/>
  <c r="C137" i="5"/>
  <c r="C139" i="5"/>
  <c r="C138" i="5"/>
  <c r="C136" i="5"/>
  <c r="C153" i="5"/>
  <c r="C152" i="5"/>
  <c r="C154" i="5"/>
  <c r="C156" i="5"/>
  <c r="C155" i="5"/>
  <c r="C157" i="5"/>
  <c r="E38" i="1"/>
  <c r="F38" i="1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68" i="3"/>
  <c r="F68" i="3"/>
  <c r="E81" i="3"/>
  <c r="F81" i="3"/>
  <c r="E155" i="4"/>
  <c r="F155" i="4"/>
  <c r="E171" i="4"/>
  <c r="F171" i="4"/>
  <c r="C15" i="5"/>
  <c r="E15" i="5"/>
  <c r="E88" i="5"/>
  <c r="E90" i="5"/>
  <c r="E86" i="5"/>
  <c r="E23" i="6"/>
  <c r="F23" i="6"/>
  <c r="E24" i="6"/>
  <c r="F24" i="6"/>
  <c r="E207" i="6"/>
  <c r="F207" i="6"/>
  <c r="E111" i="19"/>
  <c r="E36" i="19"/>
  <c r="E65" i="15"/>
  <c r="C41" i="1"/>
  <c r="C52" i="3"/>
  <c r="D83" i="4"/>
  <c r="E83" i="4"/>
  <c r="F83" i="4"/>
  <c r="C176" i="4"/>
  <c r="D49" i="5"/>
  <c r="C77" i="5"/>
  <c r="C71" i="5"/>
  <c r="E88" i="6"/>
  <c r="F88" i="6"/>
  <c r="E140" i="6"/>
  <c r="E141" i="6"/>
  <c r="E153" i="6"/>
  <c r="E154" i="6"/>
  <c r="E48" i="7"/>
  <c r="E84" i="7"/>
  <c r="D15" i="10"/>
  <c r="C48" i="14"/>
  <c r="C89" i="14"/>
  <c r="F120" i="14"/>
  <c r="E120" i="14"/>
  <c r="C137" i="14"/>
  <c r="E136" i="14"/>
  <c r="F179" i="14"/>
  <c r="D19" i="9"/>
  <c r="F29" i="14"/>
  <c r="E88" i="14"/>
  <c r="F88" i="14"/>
  <c r="E95" i="14"/>
  <c r="F95" i="14"/>
  <c r="C102" i="14"/>
  <c r="E101" i="14"/>
  <c r="F101" i="14"/>
  <c r="F109" i="14"/>
  <c r="E135" i="14"/>
  <c r="F135" i="14"/>
  <c r="F136" i="14"/>
  <c r="C259" i="15"/>
  <c r="C263" i="15"/>
  <c r="C264" i="15"/>
  <c r="C266" i="15"/>
  <c r="C267" i="15"/>
  <c r="E179" i="14"/>
  <c r="C181" i="14"/>
  <c r="F189" i="14"/>
  <c r="E203" i="14"/>
  <c r="F203" i="14"/>
  <c r="C205" i="14"/>
  <c r="C262" i="14"/>
  <c r="C278" i="14"/>
  <c r="E299" i="14"/>
  <c r="F299" i="14"/>
  <c r="C234" i="15"/>
  <c r="E234" i="15"/>
  <c r="E76" i="14"/>
  <c r="F76" i="14"/>
  <c r="C206" i="14"/>
  <c r="E206" i="14"/>
  <c r="C280" i="14"/>
  <c r="E191" i="14"/>
  <c r="F191" i="14"/>
  <c r="C267" i="14"/>
  <c r="F307" i="14"/>
  <c r="D43" i="15"/>
  <c r="E72" i="15"/>
  <c r="E189" i="15"/>
  <c r="E243" i="15"/>
  <c r="C175" i="15"/>
  <c r="E175" i="15"/>
  <c r="C217" i="15"/>
  <c r="E43" i="17"/>
  <c r="D33" i="19"/>
  <c r="D23" i="19"/>
  <c r="C241" i="15"/>
  <c r="E241" i="15"/>
  <c r="E217" i="15"/>
  <c r="C281" i="14"/>
  <c r="F280" i="14"/>
  <c r="E280" i="14"/>
  <c r="C263" i="14"/>
  <c r="C272" i="14"/>
  <c r="E262" i="14"/>
  <c r="F262" i="14"/>
  <c r="C269" i="15"/>
  <c r="C268" i="15"/>
  <c r="E102" i="14"/>
  <c r="C103" i="14"/>
  <c r="F102" i="14"/>
  <c r="D33" i="9"/>
  <c r="E19" i="9"/>
  <c r="F19" i="9"/>
  <c r="C138" i="14"/>
  <c r="C207" i="14"/>
  <c r="E137" i="14"/>
  <c r="F137" i="14"/>
  <c r="C160" i="14"/>
  <c r="C49" i="14"/>
  <c r="E48" i="14"/>
  <c r="F48" i="14"/>
  <c r="C90" i="14"/>
  <c r="C125" i="14"/>
  <c r="C195" i="14"/>
  <c r="F176" i="4"/>
  <c r="E52" i="3"/>
  <c r="F52" i="3"/>
  <c r="C24" i="5"/>
  <c r="C20" i="5"/>
  <c r="C17" i="5"/>
  <c r="C158" i="5"/>
  <c r="C141" i="5"/>
  <c r="E176" i="4"/>
  <c r="E323" i="14"/>
  <c r="F323" i="14"/>
  <c r="D315" i="14"/>
  <c r="D256" i="14"/>
  <c r="D314" i="14"/>
  <c r="D251" i="14"/>
  <c r="E267" i="14"/>
  <c r="F267" i="14"/>
  <c r="C271" i="14"/>
  <c r="C268" i="14"/>
  <c r="C270" i="14"/>
  <c r="E181" i="14"/>
  <c r="F181" i="14"/>
  <c r="D46" i="19"/>
  <c r="D54" i="19"/>
  <c r="D40" i="19"/>
  <c r="D111" i="19"/>
  <c r="D30" i="19"/>
  <c r="D36" i="19"/>
  <c r="E46" i="17"/>
  <c r="F46" i="17"/>
  <c r="F43" i="17"/>
  <c r="D44" i="15"/>
  <c r="E43" i="15"/>
  <c r="D259" i="15"/>
  <c r="F206" i="14"/>
  <c r="C288" i="14"/>
  <c r="E278" i="14"/>
  <c r="F278" i="14"/>
  <c r="C279" i="14"/>
  <c r="E89" i="14"/>
  <c r="C91" i="14"/>
  <c r="F89" i="14"/>
  <c r="D24" i="10"/>
  <c r="D20" i="10"/>
  <c r="D17" i="10"/>
  <c r="D28" i="10"/>
  <c r="C43" i="1"/>
  <c r="E24" i="5"/>
  <c r="E20" i="5"/>
  <c r="E17" i="5"/>
  <c r="F33" i="2"/>
  <c r="C41" i="2"/>
  <c r="D158" i="5"/>
  <c r="E33" i="2"/>
  <c r="D41" i="2"/>
  <c r="E41" i="1"/>
  <c r="F41" i="1"/>
  <c r="E205" i="14"/>
  <c r="F205" i="14"/>
  <c r="D131" i="15"/>
  <c r="E131" i="15"/>
  <c r="E117" i="15"/>
  <c r="E41" i="2"/>
  <c r="D48" i="2"/>
  <c r="E288" i="14"/>
  <c r="F288" i="14"/>
  <c r="C289" i="14"/>
  <c r="C291" i="14"/>
  <c r="D263" i="15"/>
  <c r="E263" i="15"/>
  <c r="E259" i="15"/>
  <c r="D89" i="15"/>
  <c r="E89" i="15"/>
  <c r="D85" i="15"/>
  <c r="E85" i="15"/>
  <c r="D99" i="15"/>
  <c r="E99" i="15"/>
  <c r="D95" i="15"/>
  <c r="E44" i="15"/>
  <c r="D98" i="15"/>
  <c r="E98" i="15"/>
  <c r="D87" i="15"/>
  <c r="E87" i="15"/>
  <c r="D83" i="15"/>
  <c r="D100" i="15"/>
  <c r="E100" i="15"/>
  <c r="D96" i="15"/>
  <c r="D88" i="15"/>
  <c r="E88" i="15"/>
  <c r="D84" i="15"/>
  <c r="D258" i="15"/>
  <c r="D101" i="15"/>
  <c r="E101" i="15"/>
  <c r="D97" i="15"/>
  <c r="E97" i="15"/>
  <c r="D86" i="15"/>
  <c r="E86" i="15"/>
  <c r="D56" i="19"/>
  <c r="D38" i="19"/>
  <c r="D113" i="19"/>
  <c r="D48" i="19"/>
  <c r="F268" i="14"/>
  <c r="E268" i="14"/>
  <c r="C112" i="5"/>
  <c r="C111" i="5"/>
  <c r="C28" i="5"/>
  <c r="E125" i="14"/>
  <c r="F125" i="14"/>
  <c r="C50" i="14"/>
  <c r="E49" i="14"/>
  <c r="F49" i="14"/>
  <c r="E272" i="14"/>
  <c r="F272" i="14"/>
  <c r="E263" i="14"/>
  <c r="F263" i="14"/>
  <c r="E43" i="1"/>
  <c r="F43" i="1"/>
  <c r="C92" i="14"/>
  <c r="E91" i="14"/>
  <c r="F91" i="14"/>
  <c r="C48" i="2"/>
  <c r="F41" i="2"/>
  <c r="E112" i="5"/>
  <c r="E111" i="5"/>
  <c r="E28" i="5"/>
  <c r="D70" i="10"/>
  <c r="D72" i="10"/>
  <c r="D69" i="10"/>
  <c r="D22" i="10"/>
  <c r="F279" i="14"/>
  <c r="E279" i="14"/>
  <c r="F270" i="14"/>
  <c r="E270" i="14"/>
  <c r="E271" i="14"/>
  <c r="C273" i="14"/>
  <c r="F271" i="14"/>
  <c r="D318" i="14"/>
  <c r="D257" i="14"/>
  <c r="E195" i="14"/>
  <c r="F195" i="14"/>
  <c r="E90" i="14"/>
  <c r="F90" i="14"/>
  <c r="E160" i="14"/>
  <c r="F160" i="14"/>
  <c r="C208" i="14"/>
  <c r="F207" i="14"/>
  <c r="E207" i="14"/>
  <c r="F138" i="14"/>
  <c r="E138" i="14"/>
  <c r="C139" i="14"/>
  <c r="C140" i="14"/>
  <c r="D41" i="9"/>
  <c r="E33" i="9"/>
  <c r="F33" i="9"/>
  <c r="E103" i="14"/>
  <c r="F103" i="14"/>
  <c r="C105" i="14"/>
  <c r="C104" i="14"/>
  <c r="C271" i="15"/>
  <c r="E281" i="14"/>
  <c r="F281" i="14"/>
  <c r="D48" i="9"/>
  <c r="E48" i="9"/>
  <c r="F48" i="9"/>
  <c r="E41" i="9"/>
  <c r="F41" i="9"/>
  <c r="F104" i="14"/>
  <c r="E104" i="14"/>
  <c r="E140" i="14"/>
  <c r="F140" i="14"/>
  <c r="C141" i="14"/>
  <c r="C209" i="14"/>
  <c r="F208" i="14"/>
  <c r="E208" i="14"/>
  <c r="C210" i="14"/>
  <c r="E273" i="14"/>
  <c r="F273" i="14"/>
  <c r="E22" i="5"/>
  <c r="E99" i="5"/>
  <c r="E101" i="5"/>
  <c r="E98" i="5"/>
  <c r="E92" i="14"/>
  <c r="F92" i="14"/>
  <c r="C22" i="5"/>
  <c r="C99" i="5"/>
  <c r="C101" i="5"/>
  <c r="C98" i="5"/>
  <c r="D90" i="15"/>
  <c r="E90" i="15"/>
  <c r="E84" i="15"/>
  <c r="D102" i="15"/>
  <c r="E102" i="15"/>
  <c r="E96" i="15"/>
  <c r="E83" i="15"/>
  <c r="D91" i="15"/>
  <c r="D103" i="15"/>
  <c r="E103" i="15"/>
  <c r="E95" i="15"/>
  <c r="E289" i="14"/>
  <c r="F289" i="14"/>
  <c r="E48" i="2"/>
  <c r="C106" i="14"/>
  <c r="E105" i="14"/>
  <c r="F105" i="14"/>
  <c r="E139" i="14"/>
  <c r="F139" i="14"/>
  <c r="F48" i="2"/>
  <c r="E50" i="14"/>
  <c r="C70" i="14"/>
  <c r="F50" i="14"/>
  <c r="D264" i="15"/>
  <c r="E258" i="15"/>
  <c r="C305" i="14"/>
  <c r="E291" i="14"/>
  <c r="F291" i="14"/>
  <c r="E305" i="14"/>
  <c r="C309" i="14"/>
  <c r="F305" i="14"/>
  <c r="E264" i="15"/>
  <c r="D266" i="15"/>
  <c r="E70" i="14"/>
  <c r="F70" i="14"/>
  <c r="E209" i="14"/>
  <c r="F209" i="14"/>
  <c r="E106" i="14"/>
  <c r="F106" i="14"/>
  <c r="D105" i="15"/>
  <c r="E105" i="15"/>
  <c r="E91" i="15"/>
  <c r="C324" i="14"/>
  <c r="C113" i="14"/>
  <c r="E210" i="14"/>
  <c r="F210" i="14"/>
  <c r="E141" i="14"/>
  <c r="C211" i="14"/>
  <c r="C322" i="14"/>
  <c r="F141" i="14"/>
  <c r="C148" i="14"/>
  <c r="F148" i="14"/>
  <c r="E148" i="14"/>
  <c r="E322" i="14"/>
  <c r="F322" i="14"/>
  <c r="C325" i="14"/>
  <c r="E324" i="14"/>
  <c r="F324" i="14"/>
  <c r="E309" i="14"/>
  <c r="C310" i="14"/>
  <c r="F309" i="14"/>
  <c r="F211" i="14"/>
  <c r="E211" i="14"/>
  <c r="E113" i="14"/>
  <c r="F113" i="14"/>
  <c r="E266" i="15"/>
  <c r="D267" i="15"/>
  <c r="D269" i="15"/>
  <c r="E269" i="15"/>
  <c r="E267" i="15"/>
  <c r="D268" i="15"/>
  <c r="C312" i="14"/>
  <c r="E310" i="14"/>
  <c r="F310" i="14"/>
  <c r="F325" i="14"/>
  <c r="E325" i="14"/>
  <c r="D271" i="15"/>
  <c r="E271" i="15"/>
  <c r="E268" i="15"/>
  <c r="C313" i="14"/>
  <c r="E312" i="14"/>
  <c r="F312" i="14"/>
  <c r="C251" i="14"/>
  <c r="C314" i="14"/>
  <c r="C315" i="14"/>
  <c r="C256" i="14"/>
  <c r="E313" i="14"/>
  <c r="F313" i="14"/>
  <c r="F315" i="14"/>
  <c r="E315" i="14"/>
  <c r="F251" i="14"/>
  <c r="E251" i="14"/>
  <c r="C318" i="14"/>
  <c r="E314" i="14"/>
  <c r="F314" i="14"/>
  <c r="C257" i="14"/>
  <c r="F256" i="14"/>
  <c r="E256" i="14"/>
  <c r="F257" i="14"/>
  <c r="E257" i="14"/>
  <c r="F318" i="14"/>
  <c r="E318" i="14"/>
</calcChain>
</file>

<file path=xl/sharedStrings.xml><?xml version="1.0" encoding="utf-8"?>
<sst xmlns="http://schemas.openxmlformats.org/spreadsheetml/2006/main" count="2300" uniqueCount="978">
  <si>
    <t>WATERBURY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</si>
  <si>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</si>
  <si>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</si>
  <si>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</si>
  <si>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</si>
  <si>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</si>
  <si>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</si>
  <si>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</si>
  <si>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</si>
  <si>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</si>
  <si>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</si>
  <si>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</si>
  <si>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</si>
  <si>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</si>
  <si>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</si>
  <si>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</si>
  <si>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</si>
  <si>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</si>
  <si>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</si>
  <si>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</si>
  <si>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</si>
  <si>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</si>
  <si>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</si>
  <si>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</si>
  <si>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</si>
  <si>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</si>
  <si>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</si>
  <si>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</si>
  <si>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</si>
  <si>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</si>
  <si>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</si>
  <si>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</si>
  <si>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</si>
  <si>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</si>
  <si>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</si>
  <si>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</si>
  <si>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</si>
  <si>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</si>
  <si>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</si>
  <si>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</si>
  <si>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</si>
  <si>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</si>
  <si>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</si>
  <si>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</si>
  <si>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</si>
  <si>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</si>
  <si>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</si>
  <si>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</si>
  <si>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</si>
  <si>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</si>
  <si>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</si>
  <si>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</si>
  <si>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</si>
  <si>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</si>
  <si>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</si>
  <si>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</si>
  <si>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</si>
  <si>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</si>
  <si>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</si>
  <si>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</si>
  <si>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</si>
  <si>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</si>
  <si>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</si>
  <si>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</si>
  <si>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</si>
  <si>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</si>
  <si>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</si>
  <si>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</si>
  <si>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</si>
  <si>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</si>
  <si>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</si>
  <si>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</si>
  <si>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</si>
  <si>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</si>
  <si>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</si>
  <si>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</si>
  <si>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</si>
  <si>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</si>
  <si>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</si>
  <si>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</si>
  <si>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</si>
  <si>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</si>
  <si>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</si>
  <si>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</si>
  <si>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</si>
  <si>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</si>
  <si>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</si>
  <si>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</si>
  <si>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</si>
  <si>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</si>
  <si>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</si>
  <si>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</si>
  <si>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</si>
  <si>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</si>
  <si>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</si>
  <si>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</si>
  <si>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</si>
  <si>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</si>
  <si>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</si>
  <si>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</si>
  <si>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</si>
  <si>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</si>
  <si>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</si>
  <si>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</si>
  <si>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</si>
  <si>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</si>
  <si>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</si>
  <si>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</si>
  <si>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</si>
  <si>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</si>
  <si>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</si>
  <si>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</si>
  <si>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</si>
  <si>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</si>
  <si>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</si>
  <si>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</si>
  <si>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</si>
  <si>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</si>
  <si>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</si>
  <si>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</si>
  <si>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</si>
  <si>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</si>
  <si>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</si>
  <si>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</si>
  <si>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</si>
  <si>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</si>
  <si>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</si>
  <si>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</si>
  <si>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</si>
  <si>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</si>
  <si>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</si>
  <si>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</si>
  <si>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</si>
  <si>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</si>
  <si>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</si>
  <si>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</si>
  <si>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</si>
  <si>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</si>
  <si>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</si>
  <si>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</si>
  <si>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</si>
  <si>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</si>
  <si>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</si>
  <si>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</si>
  <si>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</si>
  <si>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</si>
  <si>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</si>
  <si>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</si>
  <si>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</si>
  <si>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</si>
  <si>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</si>
  <si>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</si>
  <si>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</si>
  <si>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</si>
  <si>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</si>
  <si>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</si>
  <si>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</si>
  <si>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</si>
  <si>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</si>
  <si>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</si>
  <si>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</si>
  <si>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</si>
  <si>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</si>
  <si>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</si>
  <si>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</si>
  <si>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</si>
  <si>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</si>
  <si>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</si>
  <si>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</si>
  <si>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</si>
  <si>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</si>
  <si>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</si>
  <si>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</si>
  <si>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</si>
  <si>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</si>
  <si>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</si>
  <si>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</si>
  <si>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</si>
  <si>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</si>
  <si>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</si>
  <si>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</si>
  <si>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</si>
  <si>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</si>
  <si>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</si>
  <si>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</si>
  <si>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</si>
  <si>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</si>
  <si>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</si>
  <si>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</si>
  <si>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</si>
  <si>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</si>
  <si>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</si>
  <si>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</si>
  <si>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</si>
  <si>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</si>
  <si>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</si>
  <si>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</si>
  <si>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</si>
  <si>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</si>
  <si>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</si>
  <si>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</si>
  <si>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</si>
  <si>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</si>
  <si>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</si>
  <si>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</si>
  <si>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</si>
  <si>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</si>
  <si>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</si>
  <si>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</si>
  <si>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</si>
  <si>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</si>
  <si>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</si>
  <si>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</si>
  <si>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</si>
  <si>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</si>
  <si>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</si>
  <si>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</si>
  <si>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</si>
  <si>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</si>
  <si>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</si>
  <si>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</si>
  <si>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</si>
  <si>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</si>
  <si>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</si>
  <si>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</si>
  <si>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</si>
  <si>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</si>
  <si>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</si>
  <si>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</si>
  <si>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</si>
  <si>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</si>
  <si>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</si>
  <si>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</si>
  <si>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</si>
  <si>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</si>
  <si>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</si>
  <si>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</si>
  <si>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</si>
  <si>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</si>
  <si>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</si>
  <si>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</si>
  <si>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</si>
  <si>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</si>
  <si>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</si>
  <si>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</si>
  <si>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</si>
  <si>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</si>
  <si>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</si>
  <si>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</si>
  <si>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</si>
  <si>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</si>
  <si>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</si>
  <si>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</si>
  <si>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</si>
  <si>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</si>
  <si>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</si>
  <si>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</si>
  <si>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</si>
  <si>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</si>
  <si>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</si>
  <si>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</si>
  <si>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</si>
  <si>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</si>
  <si>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</si>
  <si>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</si>
  <si>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</si>
  <si>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</si>
  <si>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</si>
  <si>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</si>
  <si>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</si>
  <si>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</si>
  <si>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</si>
  <si>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</si>
  <si>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</si>
  <si>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</si>
  <si>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</si>
  <si>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</si>
  <si>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</si>
  <si>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</si>
  <si>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</si>
  <si>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</si>
  <si>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</si>
  <si>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</si>
  <si>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</si>
  <si>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</si>
  <si>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</si>
  <si>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</si>
  <si>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</si>
  <si>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</si>
  <si>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</si>
  <si>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</si>
  <si>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</si>
  <si>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</si>
  <si>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</si>
  <si>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</si>
  <si>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</si>
  <si>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</si>
  <si>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</si>
  <si>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</si>
  <si>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</si>
  <si>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</si>
  <si>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</si>
  <si>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</si>
  <si>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</si>
  <si>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</si>
  <si>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</si>
  <si>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</si>
  <si>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</si>
  <si>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</si>
  <si>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</si>
  <si>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</si>
  <si>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</si>
  <si>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</si>
  <si>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</si>
  <si>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</si>
  <si>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</si>
  <si>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</si>
  <si>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</si>
  <si>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</si>
  <si>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</si>
  <si>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</si>
  <si>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</si>
  <si>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</si>
  <si>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</si>
  <si>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</si>
  <si>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</si>
  <si>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</si>
  <si>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</si>
  <si>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</si>
  <si>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</si>
  <si>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</si>
  <si>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</si>
  <si>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</si>
  <si>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</si>
  <si>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</si>
  <si>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</si>
  <si>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</si>
  <si>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</si>
  <si>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</si>
  <si>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</si>
  <si>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</si>
  <si>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</si>
  <si>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</si>
  <si>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</si>
  <si>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</si>
  <si>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</si>
  <si>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</si>
  <si>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</si>
  <si>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</si>
  <si>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</si>
  <si>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</si>
  <si>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</si>
  <si>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</si>
  <si>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</si>
  <si>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</si>
  <si>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</si>
  <si>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</si>
  <si>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</si>
  <si>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</si>
  <si>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</si>
  <si>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</si>
  <si>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</si>
  <si>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</si>
  <si>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</si>
  <si>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</si>
  <si>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</si>
  <si>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</si>
  <si>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</si>
  <si>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</si>
  <si>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</si>
  <si>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</si>
  <si>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</si>
  <si>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</si>
  <si>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</si>
  <si>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</si>
  <si>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</si>
  <si>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</si>
  <si>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</si>
  <si>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</si>
  <si>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</si>
  <si>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</si>
  <si>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</si>
  <si>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</si>
  <si>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</si>
  <si>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</si>
  <si>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</si>
  <si>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</si>
  <si>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</si>
  <si>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</si>
  <si>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</si>
  <si>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</si>
  <si>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</si>
  <si>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</si>
  <si>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</si>
  <si>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</si>
  <si>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</si>
  <si>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</si>
  <si>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</si>
  <si>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</si>
  <si>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</si>
  <si>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</si>
  <si>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</si>
  <si>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</si>
  <si>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</si>
  <si>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</si>
  <si>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</si>
  <si>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</si>
  <si>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</si>
  <si>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</si>
  <si>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</si>
  <si>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</si>
  <si>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</si>
  <si>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</si>
  <si>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</si>
  <si>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</si>
  <si>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</si>
  <si>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</si>
  <si>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</si>
  <si>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</si>
  <si>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</si>
  <si>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</si>
  <si>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</si>
  <si>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</si>
  <si>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</si>
  <si>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</si>
  <si>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</si>
  <si>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</si>
  <si>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</si>
  <si>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</si>
  <si>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</si>
  <si>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</si>
  <si>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</si>
  <si>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</si>
  <si>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</si>
  <si>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</si>
  <si>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</si>
  <si>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</si>
  <si>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</si>
  <si>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</si>
  <si>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</si>
  <si>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</si>
  <si>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</si>
  <si>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</si>
  <si>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</si>
  <si>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</si>
  <si>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</si>
  <si>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</si>
  <si>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</si>
  <si>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</si>
  <si>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</si>
  <si>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</si>
  <si>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</si>
  <si>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</si>
  <si>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</si>
  <si>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</si>
  <si>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</si>
  <si>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</si>
  <si>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</si>
  <si>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</si>
  <si>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</si>
  <si>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</si>
  <si>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</si>
  <si>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</si>
  <si>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</si>
  <si>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</si>
  <si>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</si>
  <si>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</si>
  <si>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</si>
  <si>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</si>
  <si>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</si>
  <si>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</si>
  <si>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</si>
  <si>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</si>
  <si>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</si>
  <si>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</si>
  <si>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</si>
  <si>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</si>
  <si>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</si>
  <si>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</si>
  <si>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GREATER WATERBURY HEALTH NETWORK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</si>
  <si>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</si>
  <si>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</si>
  <si>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</si>
  <si>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</si>
  <si>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</si>
  <si>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</si>
  <si>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</si>
  <si>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</si>
  <si>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</si>
  <si>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</si>
  <si>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</si>
  <si>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</si>
  <si>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</si>
  <si>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</si>
  <si>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</si>
  <si>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</si>
  <si>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</si>
  <si>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</si>
  <si>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</si>
  <si>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</si>
  <si>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</si>
  <si>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</si>
  <si>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</si>
  <si>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</si>
  <si>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</si>
  <si>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</si>
  <si>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</si>
  <si>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</si>
  <si>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</si>
  <si>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</si>
  <si>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</si>
  <si>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</si>
  <si>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</si>
  <si>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</si>
  <si>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</si>
  <si>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</si>
  <si>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</si>
  <si>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</si>
  <si>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</si>
  <si>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</si>
  <si>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</si>
  <si>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</si>
  <si>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</si>
  <si>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</si>
  <si>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</si>
  <si>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</si>
  <si>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</si>
  <si>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</si>
  <si>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</si>
  <si>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</si>
  <si>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</si>
  <si>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</si>
  <si>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</si>
  <si>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</si>
  <si>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</si>
  <si>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</si>
  <si>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</si>
  <si>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</si>
  <si>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</si>
  <si>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</si>
  <si>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</si>
  <si>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</si>
  <si>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</si>
  <si>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</si>
  <si>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</si>
  <si>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</si>
  <si>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</si>
  <si>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</si>
  <si>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</si>
  <si>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</si>
  <si>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</si>
  <si>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</si>
  <si>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</si>
  <si>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</si>
  <si>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</si>
  <si>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</si>
  <si>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</si>
  <si>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</si>
  <si>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</si>
  <si>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</si>
  <si>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</si>
  <si>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</si>
  <si>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</si>
  <si>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</si>
  <si>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</si>
  <si>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</si>
  <si>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</si>
  <si>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</si>
  <si>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</si>
  <si>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</si>
  <si>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</si>
  <si>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</si>
  <si>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</si>
  <si>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</si>
  <si>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</si>
  <si>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</si>
  <si>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</si>
  <si>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</si>
  <si>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</si>
  <si>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</si>
  <si>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</si>
  <si>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</si>
  <si>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</si>
  <si>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Waterbury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</si>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</sst>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A8" sqref="A8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14657330</v>
      </c>
      <c r="D13" s="23">
        <v>16243349</v>
      </c>
      <c r="E13" s="23">
        <f t="shared" ref="E13:E22" si="0">D13-C13</f>
        <v>1586019</v>
      </c>
      <c r="F13" s="24">
        <f t="shared" ref="F13:F22" si="1">IF(C13=0,0,E13/C13)</f>
        <v>0.10820654239210006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9.25" customHeight="1" x14ac:dyDescent="0.2">
      <c r="A15" s="21">
        <v>3</v>
      </c>
      <c r="B15" s="22" t="s">
        <v>18</v>
      </c>
      <c r="C15" s="23">
        <v>30390471</v>
      </c>
      <c r="D15" s="23">
        <v>27764677</v>
      </c>
      <c r="E15" s="23">
        <f t="shared" si="0"/>
        <v>-2625794</v>
      </c>
      <c r="F15" s="24">
        <f t="shared" si="1"/>
        <v>-8.640188564369404E-2</v>
      </c>
    </row>
    <row r="16" spans="1:8" ht="24" customHeight="1" x14ac:dyDescent="0.2">
      <c r="A16" s="21">
        <v>4</v>
      </c>
      <c r="B16" s="22" t="s">
        <v>19</v>
      </c>
      <c r="C16" s="23">
        <v>573887</v>
      </c>
      <c r="D16" s="23">
        <v>582693</v>
      </c>
      <c r="E16" s="23">
        <f t="shared" si="0"/>
        <v>8806</v>
      </c>
      <c r="F16" s="24">
        <f t="shared" si="1"/>
        <v>1.5344484192881177E-2</v>
      </c>
    </row>
    <row r="17" spans="1:11" ht="24" customHeight="1" x14ac:dyDescent="0.2">
      <c r="A17" s="21">
        <v>5</v>
      </c>
      <c r="B17" s="22" t="s">
        <v>20</v>
      </c>
      <c r="C17" s="23">
        <v>902115</v>
      </c>
      <c r="D17" s="23">
        <v>752190</v>
      </c>
      <c r="E17" s="23">
        <f t="shared" si="0"/>
        <v>-149925</v>
      </c>
      <c r="F17" s="24">
        <f t="shared" si="1"/>
        <v>-0.16619278029962919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584339</v>
      </c>
      <c r="D19" s="23">
        <v>634324</v>
      </c>
      <c r="E19" s="23">
        <f t="shared" si="0"/>
        <v>49985</v>
      </c>
      <c r="F19" s="24">
        <f t="shared" si="1"/>
        <v>8.5541098574628771E-2</v>
      </c>
    </row>
    <row r="20" spans="1:11" ht="24" customHeight="1" x14ac:dyDescent="0.2">
      <c r="A20" s="21">
        <v>8</v>
      </c>
      <c r="B20" s="22" t="s">
        <v>23</v>
      </c>
      <c r="C20" s="23">
        <v>1248474</v>
      </c>
      <c r="D20" s="23">
        <v>1161757</v>
      </c>
      <c r="E20" s="23">
        <f t="shared" si="0"/>
        <v>-86717</v>
      </c>
      <c r="F20" s="24">
        <f t="shared" si="1"/>
        <v>-6.9458394808382076E-2</v>
      </c>
    </row>
    <row r="21" spans="1:11" ht="24" customHeight="1" x14ac:dyDescent="0.2">
      <c r="A21" s="21">
        <v>9</v>
      </c>
      <c r="B21" s="22" t="s">
        <v>24</v>
      </c>
      <c r="C21" s="23">
        <v>1208850</v>
      </c>
      <c r="D21" s="23">
        <v>1773357</v>
      </c>
      <c r="E21" s="23">
        <f t="shared" si="0"/>
        <v>564507</v>
      </c>
      <c r="F21" s="24">
        <f t="shared" si="1"/>
        <v>0.46697853331678868</v>
      </c>
    </row>
    <row r="22" spans="1:11" ht="24" customHeight="1" x14ac:dyDescent="0.25">
      <c r="A22" s="25"/>
      <c r="B22" s="26" t="s">
        <v>25</v>
      </c>
      <c r="C22" s="27">
        <f>SUM(C13:C21)</f>
        <v>49565466</v>
      </c>
      <c r="D22" s="27">
        <f>SUM(D13:D21)</f>
        <v>48912347</v>
      </c>
      <c r="E22" s="27">
        <f t="shared" si="0"/>
        <v>-653119</v>
      </c>
      <c r="F22" s="28">
        <f t="shared" si="1"/>
        <v>-1.3176896188164557E-2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37864978</v>
      </c>
      <c r="D25" s="23">
        <v>39561090</v>
      </c>
      <c r="E25" s="23">
        <f>D25-C25</f>
        <v>1696112</v>
      </c>
      <c r="F25" s="24">
        <f>IF(C25=0,0,E25/C25)</f>
        <v>4.479368771850336E-2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2673155</v>
      </c>
      <c r="D26" s="23">
        <v>2787502</v>
      </c>
      <c r="E26" s="23">
        <f>D26-C26</f>
        <v>114347</v>
      </c>
      <c r="F26" s="24">
        <f>IF(C26=0,0,E26/C26)</f>
        <v>4.2776045534209578E-2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2003239</v>
      </c>
      <c r="D27" s="23">
        <v>2020082</v>
      </c>
      <c r="E27" s="23">
        <f>D27-C27</f>
        <v>16843</v>
      </c>
      <c r="F27" s="24">
        <f>IF(C27=0,0,E27/C27)</f>
        <v>8.4078834327806114E-3</v>
      </c>
    </row>
    <row r="28" spans="1:11" ht="24" customHeight="1" x14ac:dyDescent="0.2">
      <c r="A28" s="21">
        <v>4</v>
      </c>
      <c r="B28" s="22" t="s">
        <v>31</v>
      </c>
      <c r="C28" s="23">
        <v>16843</v>
      </c>
      <c r="D28" s="23">
        <v>0</v>
      </c>
      <c r="E28" s="23">
        <f>D28-C28</f>
        <v>-16843</v>
      </c>
      <c r="F28" s="24">
        <f>IF(C28=0,0,E28/C28)</f>
        <v>-1</v>
      </c>
    </row>
    <row r="29" spans="1:11" ht="24" customHeight="1" x14ac:dyDescent="0.25">
      <c r="A29" s="25"/>
      <c r="B29" s="26" t="s">
        <v>32</v>
      </c>
      <c r="C29" s="27">
        <f>SUM(C25:C28)</f>
        <v>42558215</v>
      </c>
      <c r="D29" s="27">
        <f>SUM(D25:D28)</f>
        <v>44368674</v>
      </c>
      <c r="E29" s="27">
        <f>D29-C29</f>
        <v>1810459</v>
      </c>
      <c r="F29" s="28">
        <f>IF(C29=0,0,E29/C29)</f>
        <v>4.2540764456404014E-2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9558064</v>
      </c>
      <c r="D32" s="23">
        <v>12235187</v>
      </c>
      <c r="E32" s="23">
        <f>D32-C32</f>
        <v>2677123</v>
      </c>
      <c r="F32" s="24">
        <f>IF(C32=0,0,E32/C32)</f>
        <v>0.28009050786853906</v>
      </c>
    </row>
    <row r="33" spans="1:8" ht="24" customHeight="1" x14ac:dyDescent="0.2">
      <c r="A33" s="21">
        <v>7</v>
      </c>
      <c r="B33" s="22" t="s">
        <v>35</v>
      </c>
      <c r="C33" s="23">
        <v>6278831</v>
      </c>
      <c r="D33" s="23">
        <v>6407782</v>
      </c>
      <c r="E33" s="23">
        <f>D33-C33</f>
        <v>128951</v>
      </c>
      <c r="F33" s="24">
        <f>IF(C33=0,0,E33/C33)</f>
        <v>2.0537421695216832E-2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240623424</v>
      </c>
      <c r="D36" s="23">
        <v>243761756</v>
      </c>
      <c r="E36" s="23">
        <f>D36-C36</f>
        <v>3138332</v>
      </c>
      <c r="F36" s="24">
        <f>IF(C36=0,0,E36/C36)</f>
        <v>1.3042504124619223E-2</v>
      </c>
    </row>
    <row r="37" spans="1:8" ht="24" customHeight="1" x14ac:dyDescent="0.2">
      <c r="A37" s="21">
        <v>2</v>
      </c>
      <c r="B37" s="22" t="s">
        <v>39</v>
      </c>
      <c r="C37" s="23">
        <v>197380797</v>
      </c>
      <c r="D37" s="23">
        <v>206294646</v>
      </c>
      <c r="E37" s="23">
        <f>D37-C37</f>
        <v>8913849</v>
      </c>
      <c r="F37" s="24">
        <f>IF(C37=0,0,E37/C37)</f>
        <v>4.5160669809231745E-2</v>
      </c>
    </row>
    <row r="38" spans="1:8" ht="24" customHeight="1" x14ac:dyDescent="0.25">
      <c r="A38" s="25"/>
      <c r="B38" s="26" t="s">
        <v>40</v>
      </c>
      <c r="C38" s="27">
        <f>C36-C37</f>
        <v>43242627</v>
      </c>
      <c r="D38" s="27">
        <f>D36-D37</f>
        <v>37467110</v>
      </c>
      <c r="E38" s="27">
        <f>D38-C38</f>
        <v>-5775517</v>
      </c>
      <c r="F38" s="28">
        <f>IF(C38=0,0,E38/C38)</f>
        <v>-0.13356073394893422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93916</v>
      </c>
      <c r="D40" s="23">
        <v>1070830</v>
      </c>
      <c r="E40" s="23">
        <f>D40-C40</f>
        <v>976914</v>
      </c>
      <c r="F40" s="24">
        <f>IF(C40=0,0,E40/C40)</f>
        <v>10.401997529707398</v>
      </c>
    </row>
    <row r="41" spans="1:8" ht="24" customHeight="1" x14ac:dyDescent="0.25">
      <c r="A41" s="25"/>
      <c r="B41" s="26" t="s">
        <v>42</v>
      </c>
      <c r="C41" s="27">
        <f>+C38+C40</f>
        <v>43336543</v>
      </c>
      <c r="D41" s="27">
        <f>+D38+D40</f>
        <v>38537940</v>
      </c>
      <c r="E41" s="27">
        <f>D41-C41</f>
        <v>-4798603</v>
      </c>
      <c r="F41" s="28">
        <f>IF(C41=0,0,E41/C41)</f>
        <v>-0.11072879071134031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151297119</v>
      </c>
      <c r="D43" s="27">
        <f>D22+D29+D31+D32+D33+D41</f>
        <v>150461930</v>
      </c>
      <c r="E43" s="27">
        <f>D43-C43</f>
        <v>-835189</v>
      </c>
      <c r="F43" s="28">
        <f>IF(C43=0,0,E43/C43)</f>
        <v>-5.5201910354948664E-3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14976895</v>
      </c>
      <c r="D49" s="23">
        <v>18516046</v>
      </c>
      <c r="E49" s="23">
        <f t="shared" ref="E49:E56" si="2">D49-C49</f>
        <v>3539151</v>
      </c>
      <c r="F49" s="24">
        <f t="shared" ref="F49:F56" si="3">IF(C49=0,0,E49/C49)</f>
        <v>0.23630739215304641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7919991</v>
      </c>
      <c r="D50" s="23">
        <v>7688690</v>
      </c>
      <c r="E50" s="23">
        <f t="shared" si="2"/>
        <v>-231301</v>
      </c>
      <c r="F50" s="24">
        <f t="shared" si="3"/>
        <v>-2.9204704904336382E-2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1023178</v>
      </c>
      <c r="D51" s="23">
        <v>230310</v>
      </c>
      <c r="E51" s="23">
        <f t="shared" si="2"/>
        <v>-792868</v>
      </c>
      <c r="F51" s="24">
        <f t="shared" si="3"/>
        <v>-0.77490720089759557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820000</v>
      </c>
      <c r="D53" s="23">
        <v>865000</v>
      </c>
      <c r="E53" s="23">
        <f t="shared" si="2"/>
        <v>45000</v>
      </c>
      <c r="F53" s="24">
        <f t="shared" si="3"/>
        <v>5.4878048780487805E-2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83754</v>
      </c>
      <c r="D54" s="23">
        <v>64625</v>
      </c>
      <c r="E54" s="23">
        <f t="shared" si="2"/>
        <v>-19129</v>
      </c>
      <c r="F54" s="24">
        <f t="shared" si="3"/>
        <v>-0.22839506172839505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24823818</v>
      </c>
      <c r="D56" s="27">
        <f>SUM(D49:D55)</f>
        <v>27364671</v>
      </c>
      <c r="E56" s="27">
        <f t="shared" si="2"/>
        <v>2540853</v>
      </c>
      <c r="F56" s="28">
        <f t="shared" si="3"/>
        <v>0.10235544749804401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18984928</v>
      </c>
      <c r="D59" s="23">
        <v>18142716</v>
      </c>
      <c r="E59" s="23">
        <f>D59-C59</f>
        <v>-842212</v>
      </c>
      <c r="F59" s="24">
        <f>IF(C59=0,0,E59/C59)</f>
        <v>-4.4362138218275046E-2</v>
      </c>
    </row>
    <row r="60" spans="1:6" ht="24" customHeight="1" x14ac:dyDescent="0.2">
      <c r="A60" s="21">
        <v>2</v>
      </c>
      <c r="B60" s="22" t="s">
        <v>57</v>
      </c>
      <c r="C60" s="23">
        <v>64625</v>
      </c>
      <c r="D60" s="23">
        <v>0</v>
      </c>
      <c r="E60" s="23">
        <f>D60-C60</f>
        <v>-64625</v>
      </c>
      <c r="F60" s="24">
        <f>IF(C60=0,0,E60/C60)</f>
        <v>-1</v>
      </c>
    </row>
    <row r="61" spans="1:6" ht="24" customHeight="1" x14ac:dyDescent="0.25">
      <c r="A61" s="25"/>
      <c r="B61" s="26" t="s">
        <v>58</v>
      </c>
      <c r="C61" s="27">
        <f>SUM(C59:C60)</f>
        <v>19049553</v>
      </c>
      <c r="D61" s="27">
        <f>SUM(D59:D60)</f>
        <v>18142716</v>
      </c>
      <c r="E61" s="27">
        <f>D61-C61</f>
        <v>-906837</v>
      </c>
      <c r="F61" s="28">
        <f>IF(C61=0,0,E61/C61)</f>
        <v>-4.760410913578917E-2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14365164</v>
      </c>
      <c r="D64" s="23">
        <v>14200723</v>
      </c>
      <c r="E64" s="23">
        <f>D64-C64</f>
        <v>-164441</v>
      </c>
      <c r="F64" s="24">
        <f>IF(C64=0,0,E64/C64)</f>
        <v>-1.1447206589496646E-2</v>
      </c>
    </row>
    <row r="65" spans="1:6" ht="24" customHeight="1" x14ac:dyDescent="0.25">
      <c r="A65" s="25"/>
      <c r="B65" s="26" t="s">
        <v>61</v>
      </c>
      <c r="C65" s="27">
        <f>SUM(C61:C64)</f>
        <v>33414717</v>
      </c>
      <c r="D65" s="27">
        <f>SUM(D61:D64)</f>
        <v>32343439</v>
      </c>
      <c r="E65" s="27">
        <f>D65-C65</f>
        <v>-1071278</v>
      </c>
      <c r="F65" s="28">
        <f>IF(C65=0,0,E65/C65)</f>
        <v>-3.2060065030627076E-2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44636663</v>
      </c>
      <c r="D70" s="23">
        <v>40084846</v>
      </c>
      <c r="E70" s="23">
        <f>D70-C70</f>
        <v>-4551817</v>
      </c>
      <c r="F70" s="24">
        <f>IF(C70=0,0,E70/C70)</f>
        <v>-0.10197484968802439</v>
      </c>
    </row>
    <row r="71" spans="1:6" ht="24" customHeight="1" x14ac:dyDescent="0.2">
      <c r="A71" s="21">
        <v>2</v>
      </c>
      <c r="B71" s="22" t="s">
        <v>65</v>
      </c>
      <c r="C71" s="23">
        <v>7764952</v>
      </c>
      <c r="D71" s="23">
        <v>8315873</v>
      </c>
      <c r="E71" s="23">
        <f>D71-C71</f>
        <v>550921</v>
      </c>
      <c r="F71" s="24">
        <f>IF(C71=0,0,E71/C71)</f>
        <v>7.0949698079266946E-2</v>
      </c>
    </row>
    <row r="72" spans="1:6" ht="24" customHeight="1" x14ac:dyDescent="0.2">
      <c r="A72" s="21">
        <v>3</v>
      </c>
      <c r="B72" s="22" t="s">
        <v>66</v>
      </c>
      <c r="C72" s="23">
        <v>40656969</v>
      </c>
      <c r="D72" s="23">
        <v>42353101</v>
      </c>
      <c r="E72" s="23">
        <f>D72-C72</f>
        <v>1696132</v>
      </c>
      <c r="F72" s="24">
        <f>IF(C72=0,0,E72/C72)</f>
        <v>4.1718112336411504E-2</v>
      </c>
    </row>
    <row r="73" spans="1:6" ht="24" customHeight="1" x14ac:dyDescent="0.25">
      <c r="A73" s="21"/>
      <c r="B73" s="26" t="s">
        <v>67</v>
      </c>
      <c r="C73" s="27">
        <f>SUM(C70:C72)</f>
        <v>93058584</v>
      </c>
      <c r="D73" s="27">
        <f>SUM(D70:D72)</f>
        <v>90753820</v>
      </c>
      <c r="E73" s="27">
        <f>D73-C73</f>
        <v>-2304764</v>
      </c>
      <c r="F73" s="28">
        <f>IF(C73=0,0,E73/C73)</f>
        <v>-2.4766807111528798E-2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151297119</v>
      </c>
      <c r="D75" s="27">
        <f>D56+D65+D67+D73</f>
        <v>150461930</v>
      </c>
      <c r="E75" s="27">
        <f>D75-C75</f>
        <v>-835189</v>
      </c>
      <c r="F75" s="28">
        <f>IF(C75=0,0,E75/C75)</f>
        <v>-5.5201910354948664E-3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238471436</v>
      </c>
      <c r="D11" s="51">
        <v>258121071</v>
      </c>
      <c r="E11" s="51">
        <v>259811962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20646611</v>
      </c>
      <c r="D12" s="49">
        <v>18263331</v>
      </c>
      <c r="E12" s="49">
        <v>15954248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259118047</v>
      </c>
      <c r="D13" s="51">
        <f>+D11+D12</f>
        <v>276384402</v>
      </c>
      <c r="E13" s="51">
        <f>+E11+E12</f>
        <v>275766210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273973251</v>
      </c>
      <c r="D14" s="49">
        <v>281577387</v>
      </c>
      <c r="E14" s="49">
        <v>279944679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-14855204</v>
      </c>
      <c r="D15" s="51">
        <f>+D13-D14</f>
        <v>-5192985</v>
      </c>
      <c r="E15" s="51">
        <f>+E13-E14</f>
        <v>-4178469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-2972183</v>
      </c>
      <c r="D16" s="49">
        <v>1888849</v>
      </c>
      <c r="E16" s="49">
        <v>1697405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-17827387</v>
      </c>
      <c r="D17" s="51">
        <f>D15+D16</f>
        <v>-3304136</v>
      </c>
      <c r="E17" s="51">
        <f>E15+E16</f>
        <v>-2481064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-5.7995096106646486E-2</v>
      </c>
      <c r="D20" s="169">
        <f>IF(+D27=0,0,+D24/+D27)</f>
        <v>-1.8661459487530837E-2</v>
      </c>
      <c r="E20" s="169">
        <f>IF(+E27=0,0,+E24/+E27)</f>
        <v>-1.5059520506859972E-2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-1.1603478399323285E-2</v>
      </c>
      <c r="D21" s="169">
        <f>IF(+D27=0,0,+D26/+D27)</f>
        <v>6.7877490675523101E-3</v>
      </c>
      <c r="E21" s="169">
        <f>IF(+E27=0,0,+E26/+E27)</f>
        <v>6.1175768938208346E-3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-6.9598574505969776E-2</v>
      </c>
      <c r="D22" s="169">
        <f>IF(+D27=0,0,+D28/+D27)</f>
        <v>-1.1873710419978527E-2</v>
      </c>
      <c r="E22" s="169">
        <f>IF(+E27=0,0,+E28/+E27)</f>
        <v>-8.9419436130391359E-3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-14855204</v>
      </c>
      <c r="D24" s="51">
        <f>+D15</f>
        <v>-5192985</v>
      </c>
      <c r="E24" s="51">
        <f>+E15</f>
        <v>-4178469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259118047</v>
      </c>
      <c r="D25" s="51">
        <f>+D13</f>
        <v>276384402</v>
      </c>
      <c r="E25" s="51">
        <f>+E13</f>
        <v>275766210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-2972183</v>
      </c>
      <c r="D26" s="51">
        <f>+D16</f>
        <v>1888849</v>
      </c>
      <c r="E26" s="51">
        <f>+E16</f>
        <v>1697405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256145864</v>
      </c>
      <c r="D27" s="51">
        <f>SUM(D25:D26)</f>
        <v>278273251</v>
      </c>
      <c r="E27" s="51">
        <f>SUM(E25:E26)</f>
        <v>277463615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-17827387</v>
      </c>
      <c r="D28" s="51">
        <f>+D17</f>
        <v>-3304136</v>
      </c>
      <c r="E28" s="51">
        <f>+E17</f>
        <v>-2481064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76183050</v>
      </c>
      <c r="D31" s="51">
        <v>69255238</v>
      </c>
      <c r="E31" s="52">
        <v>65190041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128225998</v>
      </c>
      <c r="D32" s="51">
        <v>117677159</v>
      </c>
      <c r="E32" s="51">
        <v>115859015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-32105672</v>
      </c>
      <c r="D33" s="51">
        <f>+D32-C32</f>
        <v>-10548839</v>
      </c>
      <c r="E33" s="51">
        <f>+E32-D32</f>
        <v>-1818144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0.79969999999999997</v>
      </c>
      <c r="D34" s="171">
        <f>IF(C32=0,0,+D33/C32)</f>
        <v>-8.226755232585517E-2</v>
      </c>
      <c r="E34" s="171">
        <f>IF(D32=0,0,+E33/D32)</f>
        <v>-1.5450271024982852E-2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1.6606653825363942</v>
      </c>
      <c r="D38" s="269">
        <f>IF(+D40=0,0,+D39/+D40)</f>
        <v>2.1243374671552933</v>
      </c>
      <c r="E38" s="269">
        <f>IF(+E40=0,0,+E39/+E40)</f>
        <v>1.9792495012271851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61632369</v>
      </c>
      <c r="D39" s="270">
        <v>58536223</v>
      </c>
      <c r="E39" s="270">
        <v>60539447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37113057</v>
      </c>
      <c r="D40" s="270">
        <v>27555049</v>
      </c>
      <c r="E40" s="270">
        <v>30587072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21.312332865510971</v>
      </c>
      <c r="D42" s="271">
        <f>IF((D48/365)=0,0,+D45/(D48/365))</f>
        <v>27.091659965094895</v>
      </c>
      <c r="E42" s="271">
        <f>IF((E48/365)=0,0,+E45/(E48/365))</f>
        <v>31.334577126445321</v>
      </c>
    </row>
    <row r="43" spans="1:14" ht="24" customHeight="1" x14ac:dyDescent="0.2">
      <c r="A43" s="17">
        <v>5</v>
      </c>
      <c r="B43" s="188" t="s">
        <v>16</v>
      </c>
      <c r="C43" s="272">
        <v>14837426</v>
      </c>
      <c r="D43" s="272">
        <v>19343506</v>
      </c>
      <c r="E43" s="272">
        <v>22269814</v>
      </c>
    </row>
    <row r="44" spans="1:14" ht="24" customHeight="1" x14ac:dyDescent="0.2">
      <c r="A44" s="17">
        <v>6</v>
      </c>
      <c r="B44" s="273" t="s">
        <v>17</v>
      </c>
      <c r="C44" s="274">
        <v>548261</v>
      </c>
      <c r="D44" s="274">
        <v>819938</v>
      </c>
      <c r="E44" s="274">
        <v>920291</v>
      </c>
    </row>
    <row r="45" spans="1:14" ht="24" customHeight="1" x14ac:dyDescent="0.2">
      <c r="A45" s="17">
        <v>7</v>
      </c>
      <c r="B45" s="45" t="s">
        <v>346</v>
      </c>
      <c r="C45" s="270">
        <f>+C43+C44</f>
        <v>15385687</v>
      </c>
      <c r="D45" s="270">
        <f>+D43+D44</f>
        <v>20163444</v>
      </c>
      <c r="E45" s="270">
        <f>+E43+E44</f>
        <v>23190105</v>
      </c>
    </row>
    <row r="46" spans="1:14" ht="24" customHeight="1" x14ac:dyDescent="0.2">
      <c r="A46" s="17">
        <v>8</v>
      </c>
      <c r="B46" s="45" t="s">
        <v>324</v>
      </c>
      <c r="C46" s="270">
        <f>+C14</f>
        <v>273973251</v>
      </c>
      <c r="D46" s="270">
        <f>+D14</f>
        <v>281577387</v>
      </c>
      <c r="E46" s="270">
        <f>+E14</f>
        <v>279944679</v>
      </c>
    </row>
    <row r="47" spans="1:14" ht="24" customHeight="1" x14ac:dyDescent="0.2">
      <c r="A47" s="17">
        <v>9</v>
      </c>
      <c r="B47" s="45" t="s">
        <v>347</v>
      </c>
      <c r="C47" s="270">
        <v>10474375</v>
      </c>
      <c r="D47" s="270">
        <v>9919723</v>
      </c>
      <c r="E47" s="270">
        <v>9815349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263498876</v>
      </c>
      <c r="D48" s="270">
        <f>+D46-D47</f>
        <v>271657664</v>
      </c>
      <c r="E48" s="270">
        <f>+E46-E47</f>
        <v>270129330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58.580321250717837</v>
      </c>
      <c r="D50" s="278">
        <f>IF((D55/365)=0,0,+D54/(D55/365))</f>
        <v>46.575700187606927</v>
      </c>
      <c r="E50" s="278">
        <f>IF((E55/365)=0,0,+E54/(E55/365))</f>
        <v>47.650626879142699</v>
      </c>
    </row>
    <row r="51" spans="1:5" ht="24" customHeight="1" x14ac:dyDescent="0.2">
      <c r="A51" s="17">
        <v>12</v>
      </c>
      <c r="B51" s="188" t="s">
        <v>350</v>
      </c>
      <c r="C51" s="279">
        <v>37698199</v>
      </c>
      <c r="D51" s="279">
        <v>34132488</v>
      </c>
      <c r="E51" s="279">
        <v>34332910</v>
      </c>
    </row>
    <row r="52" spans="1:5" ht="24" customHeight="1" x14ac:dyDescent="0.2">
      <c r="A52" s="17">
        <v>13</v>
      </c>
      <c r="B52" s="188" t="s">
        <v>21</v>
      </c>
      <c r="C52" s="270">
        <v>575043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1195037</v>
      </c>
      <c r="E53" s="270">
        <v>414546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38273242</v>
      </c>
      <c r="D54" s="280">
        <f>+D51+D52-D53</f>
        <v>32937451</v>
      </c>
      <c r="E54" s="280">
        <f>+E51+E52-E53</f>
        <v>33918364</v>
      </c>
    </row>
    <row r="55" spans="1:5" ht="24" customHeight="1" x14ac:dyDescent="0.2">
      <c r="A55" s="17">
        <v>16</v>
      </c>
      <c r="B55" s="45" t="s">
        <v>75</v>
      </c>
      <c r="C55" s="270">
        <f>+C11</f>
        <v>238471436</v>
      </c>
      <c r="D55" s="270">
        <f>+D11</f>
        <v>258121071</v>
      </c>
      <c r="E55" s="270">
        <f>+E11</f>
        <v>259811962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51.409197680979858</v>
      </c>
      <c r="D57" s="283">
        <f>IF((D61/365)=0,0,+D58/(D61/365))</f>
        <v>37.023041194228931</v>
      </c>
      <c r="E57" s="283">
        <f>IF((E61/365)=0,0,+E58/(E61/365))</f>
        <v>41.329393146608702</v>
      </c>
    </row>
    <row r="58" spans="1:5" ht="24" customHeight="1" x14ac:dyDescent="0.2">
      <c r="A58" s="17">
        <v>18</v>
      </c>
      <c r="B58" s="45" t="s">
        <v>54</v>
      </c>
      <c r="C58" s="281">
        <f>+C40</f>
        <v>37113057</v>
      </c>
      <c r="D58" s="281">
        <f>+D40</f>
        <v>27555049</v>
      </c>
      <c r="E58" s="281">
        <f>+E40</f>
        <v>30587072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273973251</v>
      </c>
      <c r="D59" s="281">
        <f t="shared" si="0"/>
        <v>281577387</v>
      </c>
      <c r="E59" s="281">
        <f t="shared" si="0"/>
        <v>279944679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10474375</v>
      </c>
      <c r="D60" s="176">
        <f t="shared" si="0"/>
        <v>9919723</v>
      </c>
      <c r="E60" s="176">
        <f t="shared" si="0"/>
        <v>9815349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263498876</v>
      </c>
      <c r="D61" s="281">
        <f>+D59-D60</f>
        <v>271657664</v>
      </c>
      <c r="E61" s="281">
        <f>+E59-E60</f>
        <v>270129330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64.912874261382285</v>
      </c>
      <c r="D65" s="284">
        <f>IF(D67=0,0,(D66/D67)*100)</f>
        <v>64.1958632742829</v>
      </c>
      <c r="E65" s="284">
        <f>IF(E67=0,0,(E66/E67)*100)</f>
        <v>62.815855537701736</v>
      </c>
    </row>
    <row r="66" spans="1:5" ht="24" customHeight="1" x14ac:dyDescent="0.2">
      <c r="A66" s="17">
        <v>2</v>
      </c>
      <c r="B66" s="45" t="s">
        <v>67</v>
      </c>
      <c r="C66" s="281">
        <f>+C32</f>
        <v>128225998</v>
      </c>
      <c r="D66" s="281">
        <f>+D32</f>
        <v>117677159</v>
      </c>
      <c r="E66" s="281">
        <f>+E32</f>
        <v>115859015</v>
      </c>
    </row>
    <row r="67" spans="1:5" ht="24" customHeight="1" x14ac:dyDescent="0.2">
      <c r="A67" s="17">
        <v>3</v>
      </c>
      <c r="B67" s="45" t="s">
        <v>43</v>
      </c>
      <c r="C67" s="281">
        <v>197535542</v>
      </c>
      <c r="D67" s="281">
        <v>183309567</v>
      </c>
      <c r="E67" s="281">
        <v>184442310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-12.448787240719891</v>
      </c>
      <c r="D69" s="284">
        <f>IF(D75=0,0,(D72/D75)*100)</f>
        <v>13.574082749909877</v>
      </c>
      <c r="E69" s="284">
        <f>IF(E75=0,0,(E72/E75)*100)</f>
        <v>14.384950278627464</v>
      </c>
    </row>
    <row r="70" spans="1:5" ht="24" customHeight="1" x14ac:dyDescent="0.2">
      <c r="A70" s="17">
        <v>5</v>
      </c>
      <c r="B70" s="45" t="s">
        <v>358</v>
      </c>
      <c r="C70" s="281">
        <f>+C28</f>
        <v>-17827387</v>
      </c>
      <c r="D70" s="281">
        <f>+D28</f>
        <v>-3304136</v>
      </c>
      <c r="E70" s="281">
        <f>+E28</f>
        <v>-2481064</v>
      </c>
    </row>
    <row r="71" spans="1:5" ht="24" customHeight="1" x14ac:dyDescent="0.2">
      <c r="A71" s="17">
        <v>6</v>
      </c>
      <c r="B71" s="45" t="s">
        <v>347</v>
      </c>
      <c r="C71" s="176">
        <f>+C47</f>
        <v>10474375</v>
      </c>
      <c r="D71" s="176">
        <f>+D47</f>
        <v>9919723</v>
      </c>
      <c r="E71" s="176">
        <f>+E47</f>
        <v>9815349</v>
      </c>
    </row>
    <row r="72" spans="1:5" ht="24" customHeight="1" x14ac:dyDescent="0.2">
      <c r="A72" s="17">
        <v>7</v>
      </c>
      <c r="B72" s="45" t="s">
        <v>359</v>
      </c>
      <c r="C72" s="281">
        <f>+C70+C71</f>
        <v>-7353012</v>
      </c>
      <c r="D72" s="281">
        <f>+D70+D71</f>
        <v>6615587</v>
      </c>
      <c r="E72" s="281">
        <f>+E70+E71</f>
        <v>7334285</v>
      </c>
    </row>
    <row r="73" spans="1:5" ht="24" customHeight="1" x14ac:dyDescent="0.2">
      <c r="A73" s="17">
        <v>8</v>
      </c>
      <c r="B73" s="45" t="s">
        <v>54</v>
      </c>
      <c r="C73" s="270">
        <f>+C40</f>
        <v>37113057</v>
      </c>
      <c r="D73" s="270">
        <f>+D40</f>
        <v>27555049</v>
      </c>
      <c r="E73" s="270">
        <f>+E40</f>
        <v>30587072</v>
      </c>
    </row>
    <row r="74" spans="1:5" ht="24" customHeight="1" x14ac:dyDescent="0.2">
      <c r="A74" s="17">
        <v>9</v>
      </c>
      <c r="B74" s="45" t="s">
        <v>58</v>
      </c>
      <c r="C74" s="281">
        <v>21953034</v>
      </c>
      <c r="D74" s="281">
        <v>21181850</v>
      </c>
      <c r="E74" s="281">
        <v>20398749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59066091</v>
      </c>
      <c r="D75" s="270">
        <f>+D73+D74</f>
        <v>48736899</v>
      </c>
      <c r="E75" s="270">
        <f>+E73+E74</f>
        <v>50985821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14.617908843626054</v>
      </c>
      <c r="D77" s="286">
        <f>IF(D80=0,0,(D78/D80)*100)</f>
        <v>15.254213718319134</v>
      </c>
      <c r="E77" s="286">
        <f>IF(E80=0,0,(E78/E80)*100)</f>
        <v>14.970705816073718</v>
      </c>
    </row>
    <row r="78" spans="1:5" ht="24" customHeight="1" x14ac:dyDescent="0.2">
      <c r="A78" s="17">
        <v>12</v>
      </c>
      <c r="B78" s="45" t="s">
        <v>58</v>
      </c>
      <c r="C78" s="270">
        <f>+C74</f>
        <v>21953034</v>
      </c>
      <c r="D78" s="270">
        <f>+D74</f>
        <v>21181850</v>
      </c>
      <c r="E78" s="270">
        <f>+E74</f>
        <v>20398749</v>
      </c>
    </row>
    <row r="79" spans="1:5" ht="24" customHeight="1" x14ac:dyDescent="0.2">
      <c r="A79" s="17">
        <v>13</v>
      </c>
      <c r="B79" s="45" t="s">
        <v>67</v>
      </c>
      <c r="C79" s="270">
        <f>+C32</f>
        <v>128225998</v>
      </c>
      <c r="D79" s="270">
        <f>+D32</f>
        <v>117677159</v>
      </c>
      <c r="E79" s="270">
        <f>+E32</f>
        <v>115859015</v>
      </c>
    </row>
    <row r="80" spans="1:5" ht="24" customHeight="1" x14ac:dyDescent="0.2">
      <c r="A80" s="17">
        <v>14</v>
      </c>
      <c r="B80" s="45" t="s">
        <v>362</v>
      </c>
      <c r="C80" s="270">
        <f>+C78+C79</f>
        <v>150179032</v>
      </c>
      <c r="D80" s="270">
        <f>+D78+D79</f>
        <v>138859009</v>
      </c>
      <c r="E80" s="270">
        <f>+E78+E79</f>
        <v>136257764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FILING&amp;R&amp;8GREATER WATERBURY HEALTH NETWORK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39527</v>
      </c>
      <c r="D11" s="297">
        <v>118</v>
      </c>
      <c r="E11" s="297">
        <v>171</v>
      </c>
      <c r="F11" s="298">
        <f>IF(D11=0,0,$C11/(D11*365))</f>
        <v>0.91773856512653817</v>
      </c>
      <c r="G11" s="298">
        <f>IF(E11=0,0,$C11/(E11*365))</f>
        <v>0.63329327885924858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4890</v>
      </c>
      <c r="D13" s="297">
        <v>16</v>
      </c>
      <c r="E13" s="297">
        <v>20</v>
      </c>
      <c r="F13" s="298">
        <f>IF(D13=0,0,$C13/(D13*365))</f>
        <v>0.83732876712328763</v>
      </c>
      <c r="G13" s="298">
        <f>IF(E13=0,0,$C13/(E13*365))</f>
        <v>0.66986301369863011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1145</v>
      </c>
      <c r="D15" s="297">
        <v>5</v>
      </c>
      <c r="E15" s="297">
        <v>5</v>
      </c>
      <c r="F15" s="298">
        <f t="shared" ref="F15:G17" si="0">IF(D15=0,0,$C15/(D15*365))</f>
        <v>0.62739726027397258</v>
      </c>
      <c r="G15" s="298">
        <f t="shared" si="0"/>
        <v>0.62739726027397258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5588</v>
      </c>
      <c r="D16" s="297">
        <v>25</v>
      </c>
      <c r="E16" s="297">
        <v>25</v>
      </c>
      <c r="F16" s="298">
        <f t="shared" si="0"/>
        <v>0.61238356164383556</v>
      </c>
      <c r="G16" s="298">
        <f t="shared" si="0"/>
        <v>0.61238356164383556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6733</v>
      </c>
      <c r="D17" s="300">
        <f>SUM(D15:D16)</f>
        <v>30</v>
      </c>
      <c r="E17" s="300">
        <f>SUM(E15:E16)</f>
        <v>30</v>
      </c>
      <c r="F17" s="301">
        <f t="shared" si="0"/>
        <v>0.61488584474885843</v>
      </c>
      <c r="G17" s="301">
        <f t="shared" si="0"/>
        <v>0.61488584474885843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3095</v>
      </c>
      <c r="D21" s="297">
        <v>10</v>
      </c>
      <c r="E21" s="297">
        <v>27</v>
      </c>
      <c r="F21" s="298">
        <f>IF(D21=0,0,$C21/(D21*365))</f>
        <v>0.84794520547945207</v>
      </c>
      <c r="G21" s="298">
        <f>IF(E21=0,0,$C21/(E21*365))</f>
        <v>0.31405377980720445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2166</v>
      </c>
      <c r="D23" s="297">
        <v>10</v>
      </c>
      <c r="E23" s="297">
        <v>36</v>
      </c>
      <c r="F23" s="298">
        <f>IF(D23=0,0,$C23/(D23*365))</f>
        <v>0.59342465753424656</v>
      </c>
      <c r="G23" s="298">
        <f>IF(E23=0,0,$C23/(E23*365))</f>
        <v>0.16484018264840183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1386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1474</v>
      </c>
      <c r="D29" s="297">
        <v>8</v>
      </c>
      <c r="E29" s="297">
        <v>8</v>
      </c>
      <c r="F29" s="298">
        <f>IF(D29=0,0,$C29/(D29*365))</f>
        <v>0.50479452054794516</v>
      </c>
      <c r="G29" s="298">
        <f>IF(E29=0,0,$C29/(E29*365))</f>
        <v>0.50479452054794516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57105</v>
      </c>
      <c r="D31" s="300">
        <f>SUM(D10:D29)-D17-D23</f>
        <v>182</v>
      </c>
      <c r="E31" s="300">
        <f>SUM(E10:E29)-E17-E23</f>
        <v>256</v>
      </c>
      <c r="F31" s="301">
        <f>IF(D31=0,0,$C31/(D31*365))</f>
        <v>0.85962667469516785</v>
      </c>
      <c r="G31" s="301">
        <f>IF(E31=0,0,$C31/(E31*365))</f>
        <v>0.61114083904109584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59271</v>
      </c>
      <c r="D33" s="300">
        <f>SUM(D10:D29)-D17</f>
        <v>192</v>
      </c>
      <c r="E33" s="300">
        <f>SUM(E10:E29)-E17</f>
        <v>292</v>
      </c>
      <c r="F33" s="301">
        <f>IF(D33=0,0,$C33/(D33*365))</f>
        <v>0.84576198630136989</v>
      </c>
      <c r="G33" s="301">
        <f>IF(E33=0,0,$C33/(E33*365))</f>
        <v>0.55611747044473636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59271</v>
      </c>
      <c r="D36" s="300">
        <f>+D33</f>
        <v>192</v>
      </c>
      <c r="E36" s="300">
        <f>+E33</f>
        <v>292</v>
      </c>
      <c r="F36" s="301">
        <f>+F33</f>
        <v>0.84576198630136989</v>
      </c>
      <c r="G36" s="301">
        <f>+G33</f>
        <v>0.55611747044473636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67682</v>
      </c>
      <c r="D37" s="302">
        <v>214</v>
      </c>
      <c r="E37" s="302">
        <v>292</v>
      </c>
      <c r="F37" s="301">
        <f>IF(D37=0,0,$C37/(D37*365))</f>
        <v>0.86649596722570732</v>
      </c>
      <c r="G37" s="301">
        <f>IF(E37=0,0,$C37/(E37*365))</f>
        <v>0.63503471570651149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-8411</v>
      </c>
      <c r="D38" s="300">
        <f>+D36-D37</f>
        <v>-22</v>
      </c>
      <c r="E38" s="300">
        <f>+E36-E37</f>
        <v>0</v>
      </c>
      <c r="F38" s="301">
        <f>+F36-F37</f>
        <v>-2.0733980924337425E-2</v>
      </c>
      <c r="G38" s="301">
        <f>+G36-G37</f>
        <v>-7.8917245261775126E-2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-0.12427233237788482</v>
      </c>
      <c r="D40" s="148">
        <f>IF(D37=0,0,D38/D37)</f>
        <v>-0.10280373831775701</v>
      </c>
      <c r="E40" s="148">
        <f>IF(E37=0,0,E38/E37)</f>
        <v>0</v>
      </c>
      <c r="F40" s="148">
        <f>IF(F37=0,0,F38/F37)</f>
        <v>-2.3928537129517393E-2</v>
      </c>
      <c r="G40" s="148">
        <f>IF(G37=0,0,G38/G37)</f>
        <v>-0.12427233237788472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393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FILING&amp;RWATERBURY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9426</v>
      </c>
      <c r="D12" s="296">
        <v>8278</v>
      </c>
      <c r="E12" s="296">
        <f>+D12-C12</f>
        <v>-1148</v>
      </c>
      <c r="F12" s="316">
        <f>IF(C12=0,0,+E12/C12)</f>
        <v>-0.1217907914279652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4514</v>
      </c>
      <c r="D13" s="296">
        <v>3581</v>
      </c>
      <c r="E13" s="296">
        <f>+D13-C13</f>
        <v>-933</v>
      </c>
      <c r="F13" s="316">
        <f>IF(C13=0,0,+E13/C13)</f>
        <v>-0.20669029685423129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8495</v>
      </c>
      <c r="D14" s="296">
        <v>9405</v>
      </c>
      <c r="E14" s="296">
        <f>+D14-C14</f>
        <v>910</v>
      </c>
      <c r="F14" s="316">
        <f>IF(C14=0,0,+E14/C14)</f>
        <v>0.10712183637433785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22435</v>
      </c>
      <c r="D16" s="300">
        <f>SUM(D12:D15)</f>
        <v>21264</v>
      </c>
      <c r="E16" s="300">
        <f>+D16-C16</f>
        <v>-1171</v>
      </c>
      <c r="F16" s="309">
        <f>IF(C16=0,0,+E16/C16)</f>
        <v>-5.219523066636951E-2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0</v>
      </c>
      <c r="D19" s="296">
        <v>0</v>
      </c>
      <c r="E19" s="296">
        <f>+D19-C19</f>
        <v>0</v>
      </c>
      <c r="F19" s="316">
        <f>IF(C19=0,0,+E19/C19)</f>
        <v>0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0</v>
      </c>
      <c r="D20" s="296">
        <v>0</v>
      </c>
      <c r="E20" s="296">
        <f>+D20-C20</f>
        <v>0</v>
      </c>
      <c r="F20" s="316">
        <f>IF(C20=0,0,+E20/C20)</f>
        <v>0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0</v>
      </c>
      <c r="D21" s="296">
        <v>0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2631</v>
      </c>
      <c r="D22" s="296">
        <v>2361</v>
      </c>
      <c r="E22" s="296">
        <f>+D22-C22</f>
        <v>-270</v>
      </c>
      <c r="F22" s="316">
        <f>IF(C22=0,0,+E22/C22)</f>
        <v>-0.10262257696693272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2631</v>
      </c>
      <c r="D23" s="300">
        <f>SUM(D19:D22)</f>
        <v>2361</v>
      </c>
      <c r="E23" s="300">
        <f>+D23-C23</f>
        <v>-270</v>
      </c>
      <c r="F23" s="309">
        <f>IF(C23=0,0,+E23/C23)</f>
        <v>-0.10262257696693272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681</v>
      </c>
      <c r="D48" s="296">
        <v>608</v>
      </c>
      <c r="E48" s="296">
        <f>+D48-C48</f>
        <v>-73</v>
      </c>
      <c r="F48" s="316">
        <f>IF(C48=0,0,+E48/C48)</f>
        <v>-0.10719530102790015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278</v>
      </c>
      <c r="D49" s="296">
        <v>318</v>
      </c>
      <c r="E49" s="296">
        <f>+D49-C49</f>
        <v>40</v>
      </c>
      <c r="F49" s="316">
        <f>IF(C49=0,0,+E49/C49)</f>
        <v>0.14388489208633093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959</v>
      </c>
      <c r="D50" s="300">
        <f>SUM(D48:D49)</f>
        <v>926</v>
      </c>
      <c r="E50" s="300">
        <f>+D50-C50</f>
        <v>-33</v>
      </c>
      <c r="F50" s="309">
        <f>IF(C50=0,0,+E50/C50)</f>
        <v>-3.4410844629822732E-2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156</v>
      </c>
      <c r="D53" s="296">
        <v>122</v>
      </c>
      <c r="E53" s="296">
        <f>+D53-C53</f>
        <v>-34</v>
      </c>
      <c r="F53" s="316">
        <f>IF(C53=0,0,+E53/C53)</f>
        <v>-0.21794871794871795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206</v>
      </c>
      <c r="D54" s="296">
        <v>240</v>
      </c>
      <c r="E54" s="296">
        <f>+D54-C54</f>
        <v>34</v>
      </c>
      <c r="F54" s="316">
        <f>IF(C54=0,0,+E54/C54)</f>
        <v>0.1650485436893204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362</v>
      </c>
      <c r="D55" s="300">
        <f>SUM(D53:D54)</f>
        <v>362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3557</v>
      </c>
      <c r="D63" s="296">
        <v>3272</v>
      </c>
      <c r="E63" s="296">
        <f>+D63-C63</f>
        <v>-285</v>
      </c>
      <c r="F63" s="316">
        <f>IF(C63=0,0,+E63/C63)</f>
        <v>-8.0123699746977792E-2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5156</v>
      </c>
      <c r="D64" s="296">
        <v>4504</v>
      </c>
      <c r="E64" s="296">
        <f>+D64-C64</f>
        <v>-652</v>
      </c>
      <c r="F64" s="316">
        <f>IF(C64=0,0,+E64/C64)</f>
        <v>-0.12645461598138091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8713</v>
      </c>
      <c r="D65" s="300">
        <f>SUM(D63:D64)</f>
        <v>7776</v>
      </c>
      <c r="E65" s="300">
        <f>+D65-C65</f>
        <v>-937</v>
      </c>
      <c r="F65" s="309">
        <f>IF(C65=0,0,+E65/C65)</f>
        <v>-0.10754045678870654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859</v>
      </c>
      <c r="D68" s="296">
        <v>869</v>
      </c>
      <c r="E68" s="296">
        <f>+D68-C68</f>
        <v>10</v>
      </c>
      <c r="F68" s="316">
        <f>IF(C68=0,0,+E68/C68)</f>
        <v>1.1641443538998836E-2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2474</v>
      </c>
      <c r="D69" s="296">
        <v>2455</v>
      </c>
      <c r="E69" s="296">
        <f>+D69-C69</f>
        <v>-19</v>
      </c>
      <c r="F69" s="318">
        <f>IF(C69=0,0,+E69/C69)</f>
        <v>-7.679870654810024E-3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3333</v>
      </c>
      <c r="D70" s="300">
        <f>SUM(D68:D69)</f>
        <v>3324</v>
      </c>
      <c r="E70" s="300">
        <f>+D70-C70</f>
        <v>-9</v>
      </c>
      <c r="F70" s="309">
        <f>IF(C70=0,0,+E70/C70)</f>
        <v>-2.7002700270027003E-3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8895</v>
      </c>
      <c r="D73" s="319">
        <v>8340</v>
      </c>
      <c r="E73" s="296">
        <f>+D73-C73</f>
        <v>-555</v>
      </c>
      <c r="F73" s="316">
        <f>IF(C73=0,0,+E73/C73)</f>
        <v>-6.2394603709949412E-2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49237</v>
      </c>
      <c r="D74" s="319">
        <v>49393</v>
      </c>
      <c r="E74" s="296">
        <f>+D74-C74</f>
        <v>156</v>
      </c>
      <c r="F74" s="316">
        <f>IF(C74=0,0,+E74/C74)</f>
        <v>3.1683490058289497E-3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58132</v>
      </c>
      <c r="D75" s="300">
        <f>SUM(D73:D74)</f>
        <v>57733</v>
      </c>
      <c r="E75" s="300">
        <f>SUM(E73:E74)</f>
        <v>-399</v>
      </c>
      <c r="F75" s="309">
        <f>IF(C75=0,0,+E75/C75)</f>
        <v>-6.8636895341636275E-3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29060</v>
      </c>
      <c r="D81" s="319">
        <v>27272</v>
      </c>
      <c r="E81" s="296">
        <f t="shared" si="0"/>
        <v>-1788</v>
      </c>
      <c r="F81" s="316">
        <f t="shared" si="1"/>
        <v>-6.1527873365450791E-2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29060</v>
      </c>
      <c r="D84" s="320">
        <f>SUM(D79:D83)</f>
        <v>27272</v>
      </c>
      <c r="E84" s="300">
        <f t="shared" si="0"/>
        <v>-1788</v>
      </c>
      <c r="F84" s="309">
        <f t="shared" si="1"/>
        <v>-6.1527873365450791E-2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0</v>
      </c>
      <c r="D87" s="322">
        <v>0</v>
      </c>
      <c r="E87" s="323">
        <f t="shared" ref="E87:E92" si="2">+D87-C87</f>
        <v>0</v>
      </c>
      <c r="F87" s="318">
        <f t="shared" ref="F87:F92" si="3">IF(C87=0,0,+E87/C87)</f>
        <v>0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3625</v>
      </c>
      <c r="D88" s="322">
        <v>3635</v>
      </c>
      <c r="E88" s="296">
        <f t="shared" si="2"/>
        <v>10</v>
      </c>
      <c r="F88" s="316">
        <f t="shared" si="3"/>
        <v>2.7586206896551722E-3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2181</v>
      </c>
      <c r="D90" s="322">
        <v>2015</v>
      </c>
      <c r="E90" s="296">
        <f t="shared" si="2"/>
        <v>-166</v>
      </c>
      <c r="F90" s="316">
        <f t="shared" si="3"/>
        <v>-7.6111875286565794E-2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120220</v>
      </c>
      <c r="D91" s="322">
        <v>109945</v>
      </c>
      <c r="E91" s="296">
        <f t="shared" si="2"/>
        <v>-10275</v>
      </c>
      <c r="F91" s="316">
        <f t="shared" si="3"/>
        <v>-8.5468308101813342E-2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126026</v>
      </c>
      <c r="D92" s="320">
        <f>SUM(D87:D91)</f>
        <v>115595</v>
      </c>
      <c r="E92" s="300">
        <f t="shared" si="2"/>
        <v>-10431</v>
      </c>
      <c r="F92" s="309">
        <f t="shared" si="3"/>
        <v>-8.2768635043562439E-2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381</v>
      </c>
      <c r="D96" s="325">
        <v>361.5</v>
      </c>
      <c r="E96" s="326">
        <f>+D96-C96</f>
        <v>-19.5</v>
      </c>
      <c r="F96" s="316">
        <f>IF(C96=0,0,+E96/C96)</f>
        <v>-5.1181102362204724E-2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120.8</v>
      </c>
      <c r="D97" s="325">
        <v>86.7</v>
      </c>
      <c r="E97" s="326">
        <f>+D97-C97</f>
        <v>-34.099999999999994</v>
      </c>
      <c r="F97" s="316">
        <f>IF(C97=0,0,+E97/C97)</f>
        <v>-0.2822847682119205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1087.4000000000001</v>
      </c>
      <c r="D98" s="325">
        <v>1064.9000000000001</v>
      </c>
      <c r="E98" s="326">
        <f>+D98-C98</f>
        <v>-22.5</v>
      </c>
      <c r="F98" s="316">
        <f>IF(C98=0,0,+E98/C98)</f>
        <v>-2.0691557844399484E-2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1589.2</v>
      </c>
      <c r="D99" s="327">
        <f>SUM(D96:D98)</f>
        <v>1513.1000000000001</v>
      </c>
      <c r="E99" s="327">
        <f>+D99-C99</f>
        <v>-76.099999999999909</v>
      </c>
      <c r="F99" s="309">
        <f>IF(C99=0,0,+E99/C99)</f>
        <v>-4.7885728668512401E-2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FILING&amp;RWATERBURY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5156</v>
      </c>
      <c r="D12" s="296">
        <v>4504</v>
      </c>
      <c r="E12" s="296">
        <f>+D12-C12</f>
        <v>-652</v>
      </c>
      <c r="F12" s="316">
        <f>IF(C12=0,0,+E12/C12)</f>
        <v>-0.12645461598138091</v>
      </c>
    </row>
    <row r="13" spans="1:16" ht="15.75" customHeight="1" x14ac:dyDescent="0.25">
      <c r="A13" s="294"/>
      <c r="B13" s="135" t="s">
        <v>584</v>
      </c>
      <c r="C13" s="300">
        <f>SUM(C11:C12)</f>
        <v>5156</v>
      </c>
      <c r="D13" s="300">
        <f>SUM(D11:D12)</f>
        <v>4504</v>
      </c>
      <c r="E13" s="300">
        <f>+D13-C13</f>
        <v>-652</v>
      </c>
      <c r="F13" s="309">
        <f>IF(C13=0,0,+E13/C13)</f>
        <v>-0.12645461598138091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2474</v>
      </c>
      <c r="D16" s="296">
        <v>2455</v>
      </c>
      <c r="E16" s="296">
        <f>+D16-C16</f>
        <v>-19</v>
      </c>
      <c r="F16" s="316">
        <f>IF(C16=0,0,+E16/C16)</f>
        <v>-7.679870654810024E-3</v>
      </c>
    </row>
    <row r="17" spans="1:6" ht="15.75" customHeight="1" x14ac:dyDescent="0.25">
      <c r="A17" s="294"/>
      <c r="B17" s="135" t="s">
        <v>585</v>
      </c>
      <c r="C17" s="300">
        <f>SUM(C15:C16)</f>
        <v>2474</v>
      </c>
      <c r="D17" s="300">
        <f>SUM(D15:D16)</f>
        <v>2455</v>
      </c>
      <c r="E17" s="300">
        <f>+D17-C17</f>
        <v>-19</v>
      </c>
      <c r="F17" s="309">
        <f>IF(C17=0,0,+E17/C17)</f>
        <v>-7.679870654810024E-3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49237</v>
      </c>
      <c r="D20" s="296">
        <v>49393</v>
      </c>
      <c r="E20" s="296">
        <f>+D20-C20</f>
        <v>156</v>
      </c>
      <c r="F20" s="316">
        <f>IF(C20=0,0,+E20/C20)</f>
        <v>3.1683490058289497E-3</v>
      </c>
    </row>
    <row r="21" spans="1:6" ht="15.75" customHeight="1" x14ac:dyDescent="0.25">
      <c r="A21" s="294"/>
      <c r="B21" s="135" t="s">
        <v>587</v>
      </c>
      <c r="C21" s="300">
        <f>SUM(C19:C20)</f>
        <v>49237</v>
      </c>
      <c r="D21" s="300">
        <f>SUM(D19:D20)</f>
        <v>49393</v>
      </c>
      <c r="E21" s="300">
        <f>+D21-C21</f>
        <v>156</v>
      </c>
      <c r="F21" s="309">
        <f>IF(C21=0,0,+E21/C21)</f>
        <v>3.1683490058289497E-3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FILING&amp;RWATERBURY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602</v>
      </c>
      <c r="C15" s="361">
        <v>306685830</v>
      </c>
      <c r="D15" s="361">
        <v>289293480</v>
      </c>
      <c r="E15" s="361">
        <f t="shared" ref="E15:E24" si="0">D15-C15</f>
        <v>-17392350</v>
      </c>
      <c r="F15" s="362">
        <f t="shared" ref="F15:F24" si="1">IF(C15=0,0,E15/C15)</f>
        <v>-5.6710640983967206E-2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85316492</v>
      </c>
      <c r="D16" s="361">
        <v>80921944</v>
      </c>
      <c r="E16" s="361">
        <f t="shared" si="0"/>
        <v>-4394548</v>
      </c>
      <c r="F16" s="362">
        <f t="shared" si="1"/>
        <v>-5.1508775114663646E-2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0.2781885684121761</v>
      </c>
      <c r="D17" s="366">
        <f>IF(LN_IA1=0,0,LN_IA2/LN_IA1)</f>
        <v>0.27972266779050808</v>
      </c>
      <c r="E17" s="367">
        <f t="shared" si="0"/>
        <v>1.5340993783319878E-3</v>
      </c>
      <c r="F17" s="362">
        <f t="shared" si="1"/>
        <v>5.5146025125626316E-3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6496</v>
      </c>
      <c r="D18" s="369">
        <v>6077</v>
      </c>
      <c r="E18" s="369">
        <f t="shared" si="0"/>
        <v>-419</v>
      </c>
      <c r="F18" s="362">
        <f t="shared" si="1"/>
        <v>-6.4501231527093597E-2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1.5927</v>
      </c>
      <c r="D19" s="372">
        <v>1.66675</v>
      </c>
      <c r="E19" s="373">
        <f t="shared" si="0"/>
        <v>7.4049999999999949E-2</v>
      </c>
      <c r="F19" s="362">
        <f t="shared" si="1"/>
        <v>4.6493376028128301E-2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10346.1792</v>
      </c>
      <c r="D20" s="376">
        <f>LN_IA4*LN_IA5</f>
        <v>10128.839749999999</v>
      </c>
      <c r="E20" s="376">
        <f t="shared" si="0"/>
        <v>-217.33945000000131</v>
      </c>
      <c r="F20" s="362">
        <f t="shared" si="1"/>
        <v>-2.1006735510631914E-2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8246.1834799845728</v>
      </c>
      <c r="D21" s="378">
        <f>IF(LN_IA6=0,0,LN_IA2/LN_IA6)</f>
        <v>7989.2609615035135</v>
      </c>
      <c r="E21" s="378">
        <f t="shared" si="0"/>
        <v>-256.92251848105934</v>
      </c>
      <c r="F21" s="362">
        <f t="shared" si="1"/>
        <v>-3.1156536730557929E-2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38627</v>
      </c>
      <c r="D22" s="369">
        <v>32894</v>
      </c>
      <c r="E22" s="369">
        <f t="shared" si="0"/>
        <v>-5733</v>
      </c>
      <c r="F22" s="362">
        <f t="shared" si="1"/>
        <v>-0.14841949931395138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2208.7268490951924</v>
      </c>
      <c r="D23" s="378">
        <f>IF(LN_IA8=0,0,LN_IA2/LN_IA8)</f>
        <v>2460.0822034413573</v>
      </c>
      <c r="E23" s="378">
        <f t="shared" si="0"/>
        <v>251.35535434616486</v>
      </c>
      <c r="F23" s="362">
        <f t="shared" si="1"/>
        <v>0.11380101366954129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5.9462746305418719</v>
      </c>
      <c r="D24" s="379">
        <f>IF(LN_IA4=0,0,LN_IA8/LN_IA4)</f>
        <v>5.4128681915418788</v>
      </c>
      <c r="E24" s="379">
        <f t="shared" si="0"/>
        <v>-0.53340643899999307</v>
      </c>
      <c r="F24" s="362">
        <f t="shared" si="1"/>
        <v>-8.9704305996943984E-2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98041033</v>
      </c>
      <c r="D27" s="361">
        <v>99103375</v>
      </c>
      <c r="E27" s="361">
        <f t="shared" ref="E27:E32" si="2">D27-C27</f>
        <v>1062342</v>
      </c>
      <c r="F27" s="362">
        <f t="shared" ref="F27:F32" si="3">IF(C27=0,0,E27/C27)</f>
        <v>1.0835687543194287E-2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20105533</v>
      </c>
      <c r="D28" s="361">
        <v>18596203</v>
      </c>
      <c r="E28" s="361">
        <f t="shared" si="2"/>
        <v>-1509330</v>
      </c>
      <c r="F28" s="362">
        <f t="shared" si="3"/>
        <v>-7.5070379880006172E-2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0.20507263525058941</v>
      </c>
      <c r="D29" s="366">
        <f>IF(LN_IA11=0,0,LN_IA12/LN_IA11)</f>
        <v>0.18764449747548961</v>
      </c>
      <c r="E29" s="367">
        <f t="shared" si="2"/>
        <v>-1.74281377750998E-2</v>
      </c>
      <c r="F29" s="362">
        <f t="shared" si="3"/>
        <v>-8.4985194410767725E-2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0.31967904418668447</v>
      </c>
      <c r="D30" s="366">
        <f>IF(LN_IA1=0,0,LN_IA11/LN_IA1)</f>
        <v>0.34257037178992072</v>
      </c>
      <c r="E30" s="367">
        <f t="shared" si="2"/>
        <v>2.2891327603236256E-2</v>
      </c>
      <c r="F30" s="362">
        <f t="shared" si="3"/>
        <v>7.1607219864772559E-2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2076.6350710367024</v>
      </c>
      <c r="D31" s="376">
        <f>LN_IA14*LN_IA4</f>
        <v>2081.8001493673482</v>
      </c>
      <c r="E31" s="376">
        <f t="shared" si="2"/>
        <v>5.1650783306458834</v>
      </c>
      <c r="F31" s="362">
        <f t="shared" si="3"/>
        <v>2.4872344701697452E-3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9681.7843830225174</v>
      </c>
      <c r="D32" s="378">
        <f>IF(LN_IA15=0,0,LN_IA12/LN_IA15)</f>
        <v>8932.7513045146625</v>
      </c>
      <c r="E32" s="378">
        <f t="shared" si="2"/>
        <v>-749.03307850785495</v>
      </c>
      <c r="F32" s="362">
        <f t="shared" si="3"/>
        <v>-7.7365188985340463E-2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404726863</v>
      </c>
      <c r="D35" s="361">
        <f>LN_IA1+LN_IA11</f>
        <v>388396855</v>
      </c>
      <c r="E35" s="361">
        <f>D35-C35</f>
        <v>-16330008</v>
      </c>
      <c r="F35" s="362">
        <f>IF(C35=0,0,E35/C35)</f>
        <v>-4.0348218744254691E-2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105422025</v>
      </c>
      <c r="D36" s="361">
        <f>LN_IA2+LN_IA12</f>
        <v>99518147</v>
      </c>
      <c r="E36" s="361">
        <f>D36-C36</f>
        <v>-5903878</v>
      </c>
      <c r="F36" s="362">
        <f>IF(C36=0,0,E36/C36)</f>
        <v>-5.6002320198269763E-2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299304838</v>
      </c>
      <c r="D37" s="361">
        <f>LN_IA17-LN_IA18</f>
        <v>288878708</v>
      </c>
      <c r="E37" s="361">
        <f>D37-C37</f>
        <v>-10426130</v>
      </c>
      <c r="F37" s="362">
        <f>IF(C37=0,0,E37/C37)</f>
        <v>-3.4834485368392211E-2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151040234</v>
      </c>
      <c r="D42" s="361">
        <v>148946176</v>
      </c>
      <c r="E42" s="361">
        <f t="shared" ref="E42:E53" si="4">D42-C42</f>
        <v>-2094058</v>
      </c>
      <c r="F42" s="362">
        <f t="shared" ref="F42:F53" si="5">IF(C42=0,0,E42/C42)</f>
        <v>-1.3864239643590594E-2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51625908</v>
      </c>
      <c r="D43" s="361">
        <v>50858087</v>
      </c>
      <c r="E43" s="361">
        <f t="shared" si="4"/>
        <v>-767821</v>
      </c>
      <c r="F43" s="362">
        <f t="shared" si="5"/>
        <v>-1.4872784416692488E-2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0.34180235711234397</v>
      </c>
      <c r="D44" s="366">
        <f>IF(LN_IB1=0,0,LN_IB2/LN_IB1)</f>
        <v>0.34145278761638032</v>
      </c>
      <c r="E44" s="367">
        <f t="shared" si="4"/>
        <v>-3.4956949596365305E-4</v>
      </c>
      <c r="F44" s="362">
        <f t="shared" si="5"/>
        <v>-1.0227240646229839E-3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4524</v>
      </c>
      <c r="D45" s="369">
        <v>3968</v>
      </c>
      <c r="E45" s="369">
        <f t="shared" si="4"/>
        <v>-556</v>
      </c>
      <c r="F45" s="362">
        <f t="shared" si="5"/>
        <v>-0.1229000884173298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1.29365</v>
      </c>
      <c r="D46" s="372">
        <v>1.3151600000000001</v>
      </c>
      <c r="E46" s="373">
        <f t="shared" si="4"/>
        <v>2.151000000000014E-2</v>
      </c>
      <c r="F46" s="362">
        <f t="shared" si="5"/>
        <v>1.6627372164032112E-2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5852.4726000000001</v>
      </c>
      <c r="D47" s="376">
        <f>LN_IB4*LN_IB5</f>
        <v>5218.5548800000006</v>
      </c>
      <c r="E47" s="376">
        <f t="shared" si="4"/>
        <v>-633.91771999999946</v>
      </c>
      <c r="F47" s="362">
        <f t="shared" si="5"/>
        <v>-0.10831622176240509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8821.2131057221868</v>
      </c>
      <c r="D48" s="378">
        <f>IF(LN_IB6=0,0,LN_IB2/LN_IB6)</f>
        <v>9745.626551693942</v>
      </c>
      <c r="E48" s="378">
        <f t="shared" si="4"/>
        <v>924.41344597175521</v>
      </c>
      <c r="F48" s="362">
        <f t="shared" si="5"/>
        <v>0.10479436727042704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-575.02962573761397</v>
      </c>
      <c r="D49" s="378">
        <f>LN_IA7-LN_IB7</f>
        <v>-1756.3655901904285</v>
      </c>
      <c r="E49" s="378">
        <f t="shared" si="4"/>
        <v>-1181.3359644528146</v>
      </c>
      <c r="F49" s="362">
        <f t="shared" si="5"/>
        <v>2.054391481025811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-3365345.1288176407</v>
      </c>
      <c r="D50" s="391">
        <f>LN_IB8*LN_IB6</f>
        <v>-9165690.2217523418</v>
      </c>
      <c r="E50" s="391">
        <f t="shared" si="4"/>
        <v>-5800345.0929347016</v>
      </c>
      <c r="F50" s="362">
        <f t="shared" si="5"/>
        <v>1.7235513360178183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16368</v>
      </c>
      <c r="D51" s="369">
        <v>14259</v>
      </c>
      <c r="E51" s="369">
        <f t="shared" si="4"/>
        <v>-2109</v>
      </c>
      <c r="F51" s="362">
        <f t="shared" si="5"/>
        <v>-0.12884897360703812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3154.0755131964811</v>
      </c>
      <c r="D52" s="378">
        <f>IF(LN_IB10=0,0,LN_IB2/LN_IB10)</f>
        <v>3566.7358861070202</v>
      </c>
      <c r="E52" s="378">
        <f t="shared" si="4"/>
        <v>412.66037291053908</v>
      </c>
      <c r="F52" s="362">
        <f t="shared" si="5"/>
        <v>0.1308340181406534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3.6180371352785148</v>
      </c>
      <c r="D53" s="379">
        <f>IF(LN_IB4=0,0,LN_IB10/LN_IB4)</f>
        <v>3.5934979838709675</v>
      </c>
      <c r="E53" s="379">
        <f t="shared" si="4"/>
        <v>-2.4539151407547255E-2</v>
      </c>
      <c r="F53" s="362">
        <f t="shared" si="5"/>
        <v>-6.7824487394760368E-3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144321726</v>
      </c>
      <c r="D56" s="361">
        <v>131790935</v>
      </c>
      <c r="E56" s="361">
        <f t="shared" ref="E56:E63" si="6">D56-C56</f>
        <v>-12530791</v>
      </c>
      <c r="F56" s="362">
        <f t="shared" ref="F56:F63" si="7">IF(C56=0,0,E56/C56)</f>
        <v>-8.6825395921332038E-2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41891765</v>
      </c>
      <c r="D57" s="361">
        <v>38274902</v>
      </c>
      <c r="E57" s="361">
        <f t="shared" si="6"/>
        <v>-3616863</v>
      </c>
      <c r="F57" s="362">
        <f t="shared" si="7"/>
        <v>-8.6338281521439839E-2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0.29026651884692678</v>
      </c>
      <c r="D58" s="366">
        <f>IF(LN_IB13=0,0,LN_IB14/LN_IB13)</f>
        <v>0.29042135561144627</v>
      </c>
      <c r="E58" s="367">
        <f t="shared" si="6"/>
        <v>1.548367645194948E-4</v>
      </c>
      <c r="F58" s="362">
        <f t="shared" si="7"/>
        <v>5.3342963954154351E-4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0.95551842166769951</v>
      </c>
      <c r="D59" s="366">
        <f>IF(LN_IB1=0,0,LN_IB13/LN_IB1)</f>
        <v>0.88482254824722728</v>
      </c>
      <c r="E59" s="367">
        <f t="shared" si="6"/>
        <v>-7.0695873420472233E-2</v>
      </c>
      <c r="F59" s="362">
        <f t="shared" si="7"/>
        <v>-7.3986928788964915E-2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4322.7653396246724</v>
      </c>
      <c r="D60" s="376">
        <f>LN_IB16*LN_IB4</f>
        <v>3510.9758714449977</v>
      </c>
      <c r="E60" s="376">
        <f t="shared" si="6"/>
        <v>-811.78946817967471</v>
      </c>
      <c r="F60" s="362">
        <f t="shared" si="7"/>
        <v>-0.18779401711640423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9690.9643963318358</v>
      </c>
      <c r="D61" s="378">
        <f>IF(LN_IB17=0,0,LN_IB14/LN_IB17)</f>
        <v>10901.499583432727</v>
      </c>
      <c r="E61" s="378">
        <f t="shared" si="6"/>
        <v>1210.5351871008916</v>
      </c>
      <c r="F61" s="362">
        <f t="shared" si="7"/>
        <v>0.12491379986486133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-9.1800133093183831</v>
      </c>
      <c r="D62" s="378">
        <f>LN_IA16-LN_IB18</f>
        <v>-1968.7482789180649</v>
      </c>
      <c r="E62" s="378">
        <f t="shared" si="6"/>
        <v>-1959.5682656087465</v>
      </c>
      <c r="F62" s="362">
        <f t="shared" si="7"/>
        <v>213.46028590390407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-39683.043350814696</v>
      </c>
      <c r="D63" s="361">
        <f>LN_IB19*LN_IB17</f>
        <v>-6912227.7042301921</v>
      </c>
      <c r="E63" s="361">
        <f t="shared" si="6"/>
        <v>-6872544.6608793773</v>
      </c>
      <c r="F63" s="362">
        <f t="shared" si="7"/>
        <v>173.18592730207735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295361960</v>
      </c>
      <c r="D66" s="361">
        <f>LN_IB1+LN_IB13</f>
        <v>280737111</v>
      </c>
      <c r="E66" s="361">
        <f>D66-C66</f>
        <v>-14624849</v>
      </c>
      <c r="F66" s="362">
        <f>IF(C66=0,0,E66/C66)</f>
        <v>-4.9515005249829734E-2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93517673</v>
      </c>
      <c r="D67" s="361">
        <f>LN_IB2+LN_IB14</f>
        <v>89132989</v>
      </c>
      <c r="E67" s="361">
        <f>D67-C67</f>
        <v>-4384684</v>
      </c>
      <c r="F67" s="362">
        <f>IF(C67=0,0,E67/C67)</f>
        <v>-4.6886153807526844E-2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201844287</v>
      </c>
      <c r="D68" s="361">
        <f>LN_IB21-LN_IB22</f>
        <v>191604122</v>
      </c>
      <c r="E68" s="361">
        <f>D68-C68</f>
        <v>-10240165</v>
      </c>
      <c r="F68" s="362">
        <f>IF(C68=0,0,E68/C68)</f>
        <v>-5.0732993993533246E-2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-3405028.1721684556</v>
      </c>
      <c r="D70" s="353">
        <f>LN_IB9+LN_IB20</f>
        <v>-16077917.925982535</v>
      </c>
      <c r="E70" s="361">
        <f>D70-C70</f>
        <v>-12672889.753814079</v>
      </c>
      <c r="F70" s="362">
        <f>IF(C70=0,0,E70/C70)</f>
        <v>3.7218164176725401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275365397</v>
      </c>
      <c r="D73" s="400">
        <v>264386049</v>
      </c>
      <c r="E73" s="400">
        <f>D73-C73</f>
        <v>-10979348</v>
      </c>
      <c r="F73" s="401">
        <f>IF(C73=0,0,E73/C73)</f>
        <v>-3.9871923341188727E-2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89650520</v>
      </c>
      <c r="D74" s="400">
        <v>89678587</v>
      </c>
      <c r="E74" s="400">
        <f>D74-C74</f>
        <v>28067</v>
      </c>
      <c r="F74" s="401">
        <f>IF(C74=0,0,E74/C74)</f>
        <v>3.1307124598942647E-4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185714877</v>
      </c>
      <c r="D76" s="353">
        <f>LN_IB32-LN_IB33</f>
        <v>174707462</v>
      </c>
      <c r="E76" s="400">
        <f>D76-C76</f>
        <v>-11007415</v>
      </c>
      <c r="F76" s="401">
        <f>IF(C76=0,0,E76/C76)</f>
        <v>-5.9270507445668988E-2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0.67443069834950975</v>
      </c>
      <c r="D77" s="366">
        <f>IF(LN_IB1=0,0,LN_IB34/LN_IB32)</f>
        <v>0.66080439062803953</v>
      </c>
      <c r="E77" s="405">
        <f>D77-C77</f>
        <v>-1.3626307721470221E-2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8867028</v>
      </c>
      <c r="D83" s="361">
        <v>7496163</v>
      </c>
      <c r="E83" s="361">
        <f t="shared" ref="E83:E95" si="8">D83-C83</f>
        <v>-1370865</v>
      </c>
      <c r="F83" s="362">
        <f t="shared" ref="F83:F95" si="9">IF(C83=0,0,E83/C83)</f>
        <v>-0.15460253424258952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1031285</v>
      </c>
      <c r="D84" s="361">
        <v>105638</v>
      </c>
      <c r="E84" s="361">
        <f t="shared" si="8"/>
        <v>-925647</v>
      </c>
      <c r="F84" s="362">
        <f t="shared" si="9"/>
        <v>-0.89756662804171494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0.11630559867409915</v>
      </c>
      <c r="D85" s="366">
        <f>IF(LN_IC1=0,0,LN_IC2/LN_IC1)</f>
        <v>1.4092276275209063E-2</v>
      </c>
      <c r="E85" s="367">
        <f t="shared" si="8"/>
        <v>-0.10221332239889008</v>
      </c>
      <c r="F85" s="362">
        <f t="shared" si="9"/>
        <v>-0.87883406787065221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265</v>
      </c>
      <c r="D86" s="369">
        <v>216</v>
      </c>
      <c r="E86" s="369">
        <f t="shared" si="8"/>
        <v>-49</v>
      </c>
      <c r="F86" s="362">
        <f t="shared" si="9"/>
        <v>-0.18490566037735848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1.1466000000000001</v>
      </c>
      <c r="D87" s="372">
        <v>1.1609</v>
      </c>
      <c r="E87" s="373">
        <f t="shared" si="8"/>
        <v>1.4299999999999979E-2</v>
      </c>
      <c r="F87" s="362">
        <f t="shared" si="9"/>
        <v>1.2471655328798167E-2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303.84899999999999</v>
      </c>
      <c r="D88" s="376">
        <f>LN_IC4*LN_IC5</f>
        <v>250.7544</v>
      </c>
      <c r="E88" s="376">
        <f t="shared" si="8"/>
        <v>-53.094599999999986</v>
      </c>
      <c r="F88" s="362">
        <f t="shared" si="9"/>
        <v>-0.17474008471313049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3394.0707390842163</v>
      </c>
      <c r="D89" s="378">
        <f>IF(LN_IC6=0,0,LN_IC2/LN_IC6)</f>
        <v>421.28074322923146</v>
      </c>
      <c r="E89" s="378">
        <f t="shared" si="8"/>
        <v>-2972.7899958549847</v>
      </c>
      <c r="F89" s="362">
        <f t="shared" si="9"/>
        <v>-0.87587744168735238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5427.1423666379706</v>
      </c>
      <c r="D90" s="378">
        <f>LN_IB7-LN_IC7</f>
        <v>9324.34580846471</v>
      </c>
      <c r="E90" s="378">
        <f t="shared" si="8"/>
        <v>3897.2034418267394</v>
      </c>
      <c r="F90" s="362">
        <f t="shared" si="9"/>
        <v>0.71809493441407468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4852.1127409003566</v>
      </c>
      <c r="D91" s="378">
        <f>LN_IA7-LN_IC7</f>
        <v>7567.9802182742824</v>
      </c>
      <c r="E91" s="378">
        <f t="shared" si="8"/>
        <v>2715.8674773739258</v>
      </c>
      <c r="F91" s="362">
        <f t="shared" si="9"/>
        <v>0.55972884852423488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1474309.6042098324</v>
      </c>
      <c r="D92" s="353">
        <f>LN_IC9*LN_IC6</f>
        <v>1897704.3388452367</v>
      </c>
      <c r="E92" s="353">
        <f t="shared" si="8"/>
        <v>423394.73463540431</v>
      </c>
      <c r="F92" s="362">
        <f t="shared" si="9"/>
        <v>0.28718169740359656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1146</v>
      </c>
      <c r="D93" s="369">
        <v>824</v>
      </c>
      <c r="E93" s="369">
        <f t="shared" si="8"/>
        <v>-322</v>
      </c>
      <c r="F93" s="362">
        <f t="shared" si="9"/>
        <v>-0.28097731239092494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899.89965095986042</v>
      </c>
      <c r="D94" s="411">
        <f>IF(LN_IC11=0,0,LN_IC2/LN_IC11)</f>
        <v>128.20145631067962</v>
      </c>
      <c r="E94" s="411">
        <f t="shared" si="8"/>
        <v>-771.69819464918078</v>
      </c>
      <c r="F94" s="362">
        <f t="shared" si="9"/>
        <v>-0.85753805307743358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4.3245283018867928</v>
      </c>
      <c r="D95" s="379">
        <f>IF(LN_IC4=0,0,LN_IC11/LN_IC4)</f>
        <v>3.8148148148148149</v>
      </c>
      <c r="E95" s="379">
        <f t="shared" si="8"/>
        <v>-0.50971348707197794</v>
      </c>
      <c r="F95" s="362">
        <f t="shared" si="9"/>
        <v>-0.11786568418331077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11129535</v>
      </c>
      <c r="D98" s="361">
        <v>8854899</v>
      </c>
      <c r="E98" s="361">
        <f t="shared" ref="E98:E106" si="10">D98-C98</f>
        <v>-2274636</v>
      </c>
      <c r="F98" s="362">
        <f t="shared" ref="F98:F106" si="11">IF(C98=0,0,E98/C98)</f>
        <v>-0.20437835003888302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3642339</v>
      </c>
      <c r="D99" s="361">
        <v>608463</v>
      </c>
      <c r="E99" s="361">
        <f t="shared" si="10"/>
        <v>-3033876</v>
      </c>
      <c r="F99" s="362">
        <f t="shared" si="11"/>
        <v>-0.8329471803695373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0.32726785081317411</v>
      </c>
      <c r="D100" s="366">
        <f>IF(LN_IC14=0,0,LN_IC15/LN_IC14)</f>
        <v>6.8714843613687751E-2</v>
      </c>
      <c r="E100" s="367">
        <f t="shared" si="10"/>
        <v>-0.25855300719948637</v>
      </c>
      <c r="F100" s="362">
        <f t="shared" si="11"/>
        <v>-0.79003484930478352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1.2551595641741518</v>
      </c>
      <c r="D101" s="366">
        <f>IF(LN_IC1=0,0,LN_IC14/LN_IC1)</f>
        <v>1.1812575313530402</v>
      </c>
      <c r="E101" s="367">
        <f t="shared" si="10"/>
        <v>-7.3902032821111519E-2</v>
      </c>
      <c r="F101" s="362">
        <f t="shared" si="11"/>
        <v>-5.8878595941493944E-2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332.61728450615021</v>
      </c>
      <c r="D102" s="376">
        <f>LN_IC17*LN_IC4</f>
        <v>255.15162677225669</v>
      </c>
      <c r="E102" s="376">
        <f t="shared" si="10"/>
        <v>-77.465657733893522</v>
      </c>
      <c r="F102" s="362">
        <f t="shared" si="11"/>
        <v>-0.23289727065419882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10950.540364755614</v>
      </c>
      <c r="D103" s="378">
        <f>IF(LN_IC18=0,0,LN_IC15/LN_IC18)</f>
        <v>2384.7114270727425</v>
      </c>
      <c r="E103" s="378">
        <f t="shared" si="10"/>
        <v>-8565.8289376828725</v>
      </c>
      <c r="F103" s="362">
        <f t="shared" si="11"/>
        <v>-0.78222888116572298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-1259.5759684237782</v>
      </c>
      <c r="D104" s="378">
        <f>LN_IB18-LN_IC19</f>
        <v>8516.788156359984</v>
      </c>
      <c r="E104" s="378">
        <f t="shared" si="10"/>
        <v>9776.3641247837622</v>
      </c>
      <c r="F104" s="362">
        <f t="shared" si="11"/>
        <v>-7.7616311916603289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-1268.7559817330966</v>
      </c>
      <c r="D105" s="378">
        <f>LN_IA16-LN_IC19</f>
        <v>6548.03987744192</v>
      </c>
      <c r="E105" s="378">
        <f t="shared" si="10"/>
        <v>7816.7958591750166</v>
      </c>
      <c r="F105" s="362">
        <f t="shared" si="11"/>
        <v>-6.1609923198134773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-422010.16934499732</v>
      </c>
      <c r="D106" s="361">
        <f>LN_IC21*LN_IC18</f>
        <v>1670743.0268989142</v>
      </c>
      <c r="E106" s="361">
        <f t="shared" si="10"/>
        <v>2092753.1962439115</v>
      </c>
      <c r="F106" s="362">
        <f t="shared" si="11"/>
        <v>-4.9590112946616358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19996563</v>
      </c>
      <c r="D109" s="361">
        <f>LN_IC1+LN_IC14</f>
        <v>16351062</v>
      </c>
      <c r="E109" s="361">
        <f>D109-C109</f>
        <v>-3645501</v>
      </c>
      <c r="F109" s="362">
        <f>IF(C109=0,0,E109/C109)</f>
        <v>-0.18230637935129151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4673624</v>
      </c>
      <c r="D110" s="361">
        <f>LN_IC2+LN_IC15</f>
        <v>714101</v>
      </c>
      <c r="E110" s="361">
        <f>D110-C110</f>
        <v>-3959523</v>
      </c>
      <c r="F110" s="362">
        <f>IF(C110=0,0,E110/C110)</f>
        <v>-0.84720615094410678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15322939</v>
      </c>
      <c r="D111" s="361">
        <f>LN_IC23-LN_IC24</f>
        <v>15636961</v>
      </c>
      <c r="E111" s="361">
        <f>D111-C111</f>
        <v>314022</v>
      </c>
      <c r="F111" s="362">
        <f>IF(C111=0,0,E111/C111)</f>
        <v>2.049358807732642E-2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1052299.4348648351</v>
      </c>
      <c r="D113" s="361">
        <f>LN_IC10+LN_IC22</f>
        <v>3568447.3657441512</v>
      </c>
      <c r="E113" s="361">
        <f>D113-C113</f>
        <v>2516147.9308793163</v>
      </c>
      <c r="F113" s="362">
        <f>IF(C113=0,0,E113/C113)</f>
        <v>2.3910950129917237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56278557</v>
      </c>
      <c r="D118" s="361">
        <v>57681344</v>
      </c>
      <c r="E118" s="361">
        <f t="shared" ref="E118:E130" si="12">D118-C118</f>
        <v>1402787</v>
      </c>
      <c r="F118" s="362">
        <f t="shared" ref="F118:F130" si="13">IF(C118=0,0,E118/C118)</f>
        <v>2.4925781234938202E-2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12098394</v>
      </c>
      <c r="D119" s="361">
        <v>10693504</v>
      </c>
      <c r="E119" s="361">
        <f t="shared" si="12"/>
        <v>-1404890</v>
      </c>
      <c r="F119" s="362">
        <f t="shared" si="13"/>
        <v>-0.11612202412981426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0.21497342229297031</v>
      </c>
      <c r="D120" s="366">
        <f>IF(LN_ID1=0,0,LN_1D2/LN_ID1)</f>
        <v>0.18538930022157599</v>
      </c>
      <c r="E120" s="367">
        <f t="shared" si="12"/>
        <v>-2.9584122071394325E-2</v>
      </c>
      <c r="F120" s="362">
        <f t="shared" si="13"/>
        <v>-0.13761757967957761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2363</v>
      </c>
      <c r="D121" s="369">
        <v>2411</v>
      </c>
      <c r="E121" s="369">
        <f t="shared" si="12"/>
        <v>48</v>
      </c>
      <c r="F121" s="362">
        <f t="shared" si="13"/>
        <v>2.031316123571731E-2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1.8863000000000001</v>
      </c>
      <c r="D122" s="372">
        <v>0.99880000000000002</v>
      </c>
      <c r="E122" s="373">
        <f t="shared" si="12"/>
        <v>-0.88750000000000007</v>
      </c>
      <c r="F122" s="362">
        <f t="shared" si="13"/>
        <v>-0.47049779992578067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4457.3269</v>
      </c>
      <c r="D123" s="376">
        <f>LN_ID4*LN_ID5</f>
        <v>2408.1068</v>
      </c>
      <c r="E123" s="376">
        <f t="shared" si="12"/>
        <v>-2049.2201</v>
      </c>
      <c r="F123" s="362">
        <f t="shared" si="13"/>
        <v>-0.45974193636100597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2714.2711924494479</v>
      </c>
      <c r="D124" s="378">
        <f>IF(LN_ID6=0,0,LN_1D2/LN_ID6)</f>
        <v>4440.6269688703178</v>
      </c>
      <c r="E124" s="378">
        <f t="shared" si="12"/>
        <v>1726.3557764208699</v>
      </c>
      <c r="F124" s="362">
        <f t="shared" si="13"/>
        <v>0.63602921521741884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6106.9419132727389</v>
      </c>
      <c r="D125" s="378">
        <f>LN_IB7-LN_ID7</f>
        <v>5304.9995828236242</v>
      </c>
      <c r="E125" s="378">
        <f t="shared" si="12"/>
        <v>-801.94233044911471</v>
      </c>
      <c r="F125" s="362">
        <f t="shared" si="13"/>
        <v>-0.13131651517860107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5531.912287535125</v>
      </c>
      <c r="D126" s="378">
        <f>LN_IA7-LN_ID7</f>
        <v>3548.6339926331957</v>
      </c>
      <c r="E126" s="378">
        <f t="shared" si="12"/>
        <v>-1983.2782949019293</v>
      </c>
      <c r="F126" s="362">
        <f t="shared" si="13"/>
        <v>-0.35851586066734731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24657541.447670847</v>
      </c>
      <c r="D127" s="391">
        <f>LN_ID9*LN_ID6</f>
        <v>8545489.6483711489</v>
      </c>
      <c r="E127" s="391">
        <f t="shared" si="12"/>
        <v>-16112051.799299698</v>
      </c>
      <c r="F127" s="362">
        <f t="shared" si="13"/>
        <v>-0.65343302102901435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9943</v>
      </c>
      <c r="D128" s="369">
        <v>9412</v>
      </c>
      <c r="E128" s="369">
        <f t="shared" si="12"/>
        <v>-531</v>
      </c>
      <c r="F128" s="362">
        <f t="shared" si="13"/>
        <v>-5.3404405109121998E-2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1216.7750176003219</v>
      </c>
      <c r="D129" s="378">
        <f>IF(LN_ID11=0,0,LN_1D2/LN_ID11)</f>
        <v>1136.1563960900978</v>
      </c>
      <c r="E129" s="378">
        <f t="shared" si="12"/>
        <v>-80.618621510224102</v>
      </c>
      <c r="F129" s="362">
        <f t="shared" si="13"/>
        <v>-6.6255980229785724E-2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4.2077867118070253</v>
      </c>
      <c r="D130" s="379">
        <f>IF(LN_ID4=0,0,LN_ID11/LN_ID4)</f>
        <v>3.9037743674823724</v>
      </c>
      <c r="E130" s="379">
        <f t="shared" si="12"/>
        <v>-0.30401234432465296</v>
      </c>
      <c r="F130" s="362">
        <f t="shared" si="13"/>
        <v>-7.2249941631213399E-2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51257026</v>
      </c>
      <c r="D133" s="361">
        <v>51001212</v>
      </c>
      <c r="E133" s="361">
        <f t="shared" ref="E133:E141" si="14">D133-C133</f>
        <v>-255814</v>
      </c>
      <c r="F133" s="362">
        <f t="shared" ref="F133:F141" si="15">IF(C133=0,0,E133/C133)</f>
        <v>-4.9908084796023867E-3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9525170</v>
      </c>
      <c r="D134" s="361">
        <v>8793978</v>
      </c>
      <c r="E134" s="361">
        <f t="shared" si="14"/>
        <v>-731192</v>
      </c>
      <c r="F134" s="362">
        <f t="shared" si="15"/>
        <v>-7.6764194234853547E-2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0.18583149947092131</v>
      </c>
      <c r="D135" s="366">
        <f>IF(LN_ID14=0,0,LN_ID15/LN_ID14)</f>
        <v>0.17242684350324852</v>
      </c>
      <c r="E135" s="367">
        <f t="shared" si="14"/>
        <v>-1.3404655967672791E-2</v>
      </c>
      <c r="F135" s="362">
        <f t="shared" si="15"/>
        <v>-7.2133389688169278E-2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0.91077363621814256</v>
      </c>
      <c r="D136" s="366">
        <f>IF(LN_ID1=0,0,LN_ID14/LN_ID1)</f>
        <v>0.88418903692674011</v>
      </c>
      <c r="E136" s="367">
        <f t="shared" si="14"/>
        <v>-2.6584599291402444E-2</v>
      </c>
      <c r="F136" s="362">
        <f t="shared" si="15"/>
        <v>-2.9189030330073227E-2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2152.158102383471</v>
      </c>
      <c r="D137" s="376">
        <f>LN_ID17*LN_ID4</f>
        <v>2131.7797680303706</v>
      </c>
      <c r="E137" s="376">
        <f t="shared" si="14"/>
        <v>-20.378334353100399</v>
      </c>
      <c r="F137" s="362">
        <f t="shared" si="15"/>
        <v>-9.4687905737649153E-3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4425.8690797163408</v>
      </c>
      <c r="D138" s="378">
        <f>IF(LN_ID18=0,0,LN_ID15/LN_ID18)</f>
        <v>4125.181283676915</v>
      </c>
      <c r="E138" s="378">
        <f t="shared" si="14"/>
        <v>-300.68779603942585</v>
      </c>
      <c r="F138" s="362">
        <f t="shared" si="15"/>
        <v>-6.7938700992641488E-2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5265.095316615495</v>
      </c>
      <c r="D139" s="378">
        <f>LN_IB18-LN_ID19</f>
        <v>6776.3182997558124</v>
      </c>
      <c r="E139" s="378">
        <f t="shared" si="14"/>
        <v>1511.2229831403174</v>
      </c>
      <c r="F139" s="362">
        <f t="shared" si="15"/>
        <v>0.28702670934963448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5255.9153033061766</v>
      </c>
      <c r="D140" s="378">
        <f>LN_IA16-LN_ID19</f>
        <v>4807.5700208377475</v>
      </c>
      <c r="E140" s="378">
        <f t="shared" si="14"/>
        <v>-448.3452824684291</v>
      </c>
      <c r="F140" s="362">
        <f t="shared" si="15"/>
        <v>-8.5302988460716322E-2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11311560.705451667</v>
      </c>
      <c r="D141" s="353">
        <f>LN_ID21*LN_ID18</f>
        <v>10248680.503811257</v>
      </c>
      <c r="E141" s="353">
        <f t="shared" si="14"/>
        <v>-1062880.2016404103</v>
      </c>
      <c r="F141" s="362">
        <f t="shared" si="15"/>
        <v>-9.3964062901430528E-2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107535583</v>
      </c>
      <c r="D144" s="361">
        <f>LN_ID1+LN_ID14</f>
        <v>108682556</v>
      </c>
      <c r="E144" s="361">
        <f>D144-C144</f>
        <v>1146973</v>
      </c>
      <c r="F144" s="362">
        <f>IF(C144=0,0,E144/C144)</f>
        <v>1.0665985788164649E-2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21623564</v>
      </c>
      <c r="D145" s="361">
        <f>LN_1D2+LN_ID15</f>
        <v>19487482</v>
      </c>
      <c r="E145" s="361">
        <f>D145-C145</f>
        <v>-2136082</v>
      </c>
      <c r="F145" s="362">
        <f>IF(C145=0,0,E145/C145)</f>
        <v>-9.8784918156877372E-2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85912019</v>
      </c>
      <c r="D146" s="361">
        <f>LN_ID23-LN_ID24</f>
        <v>89195074</v>
      </c>
      <c r="E146" s="361">
        <f>D146-C146</f>
        <v>3283055</v>
      </c>
      <c r="F146" s="362">
        <f>IF(C146=0,0,E146/C146)</f>
        <v>3.821415255064603E-2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35969102.153122514</v>
      </c>
      <c r="D148" s="361">
        <f>LN_ID10+LN_ID22</f>
        <v>18794170.152182408</v>
      </c>
      <c r="E148" s="361">
        <f>D148-C148</f>
        <v>-17174932.000940107</v>
      </c>
      <c r="F148" s="415">
        <f>IF(C148=0,0,E148/C148)</f>
        <v>-0.47749126257935059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19981018</v>
      </c>
      <c r="D153" s="361">
        <v>21017773</v>
      </c>
      <c r="E153" s="361">
        <f t="shared" ref="E153:E165" si="16">D153-C153</f>
        <v>1036755</v>
      </c>
      <c r="F153" s="362">
        <f t="shared" ref="F153:F165" si="17">IF(C153=0,0,E153/C153)</f>
        <v>5.1886995947854106E-2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1538371</v>
      </c>
      <c r="D154" s="361">
        <v>2291206</v>
      </c>
      <c r="E154" s="361">
        <f t="shared" si="16"/>
        <v>752835</v>
      </c>
      <c r="F154" s="362">
        <f t="shared" si="17"/>
        <v>0.48937154951568901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7.6991622749151223E-2</v>
      </c>
      <c r="D155" s="366">
        <f>IF(LN_IE1=0,0,LN_IE2/LN_IE1)</f>
        <v>0.10901278646410351</v>
      </c>
      <c r="E155" s="367">
        <f t="shared" si="16"/>
        <v>3.2021163714952283E-2</v>
      </c>
      <c r="F155" s="362">
        <f t="shared" si="17"/>
        <v>0.41590451755097335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518</v>
      </c>
      <c r="D156" s="419">
        <v>580</v>
      </c>
      <c r="E156" s="419">
        <f t="shared" si="16"/>
        <v>62</v>
      </c>
      <c r="F156" s="362">
        <f t="shared" si="17"/>
        <v>0.11969111969111969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1.1616</v>
      </c>
      <c r="D157" s="372">
        <v>1.1731</v>
      </c>
      <c r="E157" s="373">
        <f t="shared" si="16"/>
        <v>1.1500000000000066E-2</v>
      </c>
      <c r="F157" s="362">
        <f t="shared" si="17"/>
        <v>9.9001377410468886E-3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601.7088</v>
      </c>
      <c r="D158" s="376">
        <f>LN_IE4*LN_IE5</f>
        <v>680.39800000000002</v>
      </c>
      <c r="E158" s="376">
        <f t="shared" si="16"/>
        <v>78.689200000000028</v>
      </c>
      <c r="F158" s="362">
        <f t="shared" si="17"/>
        <v>0.13077621600348877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2556.6702697384517</v>
      </c>
      <c r="D159" s="378">
        <f>IF(LN_IE6=0,0,LN_IE2/LN_IE6)</f>
        <v>3367.4496397696639</v>
      </c>
      <c r="E159" s="378">
        <f t="shared" si="16"/>
        <v>810.77937003121224</v>
      </c>
      <c r="F159" s="362">
        <f t="shared" si="17"/>
        <v>0.31712316587236539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6264.5428359837351</v>
      </c>
      <c r="D160" s="378">
        <f>LN_IB7-LN_IE7</f>
        <v>6378.1769119242781</v>
      </c>
      <c r="E160" s="378">
        <f t="shared" si="16"/>
        <v>113.63407594054297</v>
      </c>
      <c r="F160" s="362">
        <f t="shared" si="17"/>
        <v>1.813924478061275E-2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5689.5132102461212</v>
      </c>
      <c r="D161" s="378">
        <f>LN_IA7-LN_IE7</f>
        <v>4621.8113217338496</v>
      </c>
      <c r="E161" s="378">
        <f t="shared" si="16"/>
        <v>-1067.7018885122716</v>
      </c>
      <c r="F161" s="362">
        <f t="shared" si="17"/>
        <v>-0.18766137788193732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3423430.1663213414</v>
      </c>
      <c r="D162" s="391">
        <f>LN_IE9*LN_IE6</f>
        <v>3144671.1796850679</v>
      </c>
      <c r="E162" s="391">
        <f t="shared" si="16"/>
        <v>-278758.98663627356</v>
      </c>
      <c r="F162" s="362">
        <f t="shared" si="17"/>
        <v>-8.142680676784915E-2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2625</v>
      </c>
      <c r="D163" s="369">
        <v>2664</v>
      </c>
      <c r="E163" s="419">
        <f t="shared" si="16"/>
        <v>39</v>
      </c>
      <c r="F163" s="362">
        <f t="shared" si="17"/>
        <v>1.4857142857142857E-2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586.04609523809529</v>
      </c>
      <c r="D164" s="378">
        <f>IF(LN_IE11=0,0,LN_IE2/LN_IE11)</f>
        <v>860.06231231231232</v>
      </c>
      <c r="E164" s="378">
        <f t="shared" si="16"/>
        <v>274.01621707421702</v>
      </c>
      <c r="F164" s="362">
        <f t="shared" si="17"/>
        <v>0.46756768674124749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5.0675675675675675</v>
      </c>
      <c r="D165" s="379">
        <f>IF(LN_IE4=0,0,LN_IE11/LN_IE4)</f>
        <v>4.5931034482758619</v>
      </c>
      <c r="E165" s="379">
        <f t="shared" si="16"/>
        <v>-0.47446411929170562</v>
      </c>
      <c r="F165" s="362">
        <f t="shared" si="17"/>
        <v>-9.3627586206896582E-2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16041941</v>
      </c>
      <c r="D168" s="424">
        <v>16059756</v>
      </c>
      <c r="E168" s="424">
        <f t="shared" ref="E168:E176" si="18">D168-C168</f>
        <v>17815</v>
      </c>
      <c r="F168" s="362">
        <f t="shared" ref="F168:F176" si="19">IF(C168=0,0,E168/C168)</f>
        <v>1.1105264631006933E-3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1401067</v>
      </c>
      <c r="D169" s="424">
        <v>1314373</v>
      </c>
      <c r="E169" s="424">
        <f t="shared" si="18"/>
        <v>-86694</v>
      </c>
      <c r="F169" s="362">
        <f t="shared" si="19"/>
        <v>-6.187712650429994E-2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8.7337747969525634E-2</v>
      </c>
      <c r="D170" s="366">
        <f>IF(LN_IE14=0,0,LN_IE15/LN_IE14)</f>
        <v>8.1842650660445895E-2</v>
      </c>
      <c r="E170" s="367">
        <f t="shared" si="18"/>
        <v>-5.4950973090797384E-3</v>
      </c>
      <c r="F170" s="362">
        <f t="shared" si="19"/>
        <v>-6.2917781106482371E-2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0.80285904351820314</v>
      </c>
      <c r="D171" s="366">
        <f>IF(LN_IE1=0,0,LN_IE14/LN_IE1)</f>
        <v>0.76410359936802053</v>
      </c>
      <c r="E171" s="367">
        <f t="shared" si="18"/>
        <v>-3.8755444150182616E-2</v>
      </c>
      <c r="F171" s="362">
        <f t="shared" si="19"/>
        <v>-4.8271791247879142E-2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415.88098454242925</v>
      </c>
      <c r="D172" s="376">
        <f>LN_IE17*LN_IE4</f>
        <v>443.18008763345188</v>
      </c>
      <c r="E172" s="376">
        <f t="shared" si="18"/>
        <v>27.29910309102263</v>
      </c>
      <c r="F172" s="362">
        <f t="shared" si="19"/>
        <v>6.5641623699285792E-2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3368.9133479894886</v>
      </c>
      <c r="D173" s="378">
        <f>IF(LN_IE18=0,0,LN_IE15/LN_IE18)</f>
        <v>2965.7762987923315</v>
      </c>
      <c r="E173" s="378">
        <f t="shared" si="18"/>
        <v>-403.13704919715701</v>
      </c>
      <c r="F173" s="362">
        <f t="shared" si="19"/>
        <v>-0.11966382259067082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6322.0510483423477</v>
      </c>
      <c r="D174" s="378">
        <f>LN_IB18-LN_IE19</f>
        <v>7935.7232846403958</v>
      </c>
      <c r="E174" s="378">
        <f t="shared" si="18"/>
        <v>1613.6722362980481</v>
      </c>
      <c r="F174" s="362">
        <f t="shared" si="19"/>
        <v>0.25524505005715759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6312.8710350330293</v>
      </c>
      <c r="D175" s="378">
        <f>LN_IA16-LN_IE19</f>
        <v>5966.9750057223309</v>
      </c>
      <c r="E175" s="378">
        <f t="shared" si="18"/>
        <v>-345.8960293106984</v>
      </c>
      <c r="F175" s="362">
        <f t="shared" si="19"/>
        <v>-5.4792190018006386E-2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2625403.0213389206</v>
      </c>
      <c r="D176" s="353">
        <f>LN_IE21*LN_IE18</f>
        <v>2644444.5059426394</v>
      </c>
      <c r="E176" s="353">
        <f t="shared" si="18"/>
        <v>19041.484603718854</v>
      </c>
      <c r="F176" s="362">
        <f t="shared" si="19"/>
        <v>7.2527853624575894E-3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36022959</v>
      </c>
      <c r="D179" s="361">
        <f>LN_IE1+LN_IE14</f>
        <v>37077529</v>
      </c>
      <c r="E179" s="361">
        <f>D179-C179</f>
        <v>1054570</v>
      </c>
      <c r="F179" s="362">
        <f>IF(C179=0,0,E179/C179)</f>
        <v>2.9274941017477216E-2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2939438</v>
      </c>
      <c r="D180" s="361">
        <f>LN_IE15+LN_IE2</f>
        <v>3605579</v>
      </c>
      <c r="E180" s="361">
        <f>D180-C180</f>
        <v>666141</v>
      </c>
      <c r="F180" s="362">
        <f>IF(C180=0,0,E180/C180)</f>
        <v>0.22662189166772695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33083521</v>
      </c>
      <c r="D181" s="361">
        <f>LN_IE23-LN_IE24</f>
        <v>33471950</v>
      </c>
      <c r="E181" s="361">
        <f>D181-C181</f>
        <v>388429</v>
      </c>
      <c r="F181" s="362">
        <f>IF(C181=0,0,E181/C181)</f>
        <v>1.174086035159317E-2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6048833.187660262</v>
      </c>
      <c r="D183" s="361">
        <f>LN_IE10+LN_IE22</f>
        <v>5789115.6856277073</v>
      </c>
      <c r="E183" s="353">
        <f>D183-C183</f>
        <v>-259717.50203255471</v>
      </c>
      <c r="F183" s="362">
        <f>IF(C183=0,0,E183/C183)</f>
        <v>-4.2936793588949272E-2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76259575</v>
      </c>
      <c r="D188" s="361">
        <f>LN_ID1+LN_IE1</f>
        <v>78699117</v>
      </c>
      <c r="E188" s="361">
        <f t="shared" ref="E188:E200" si="20">D188-C188</f>
        <v>2439542</v>
      </c>
      <c r="F188" s="362">
        <f t="shared" ref="F188:F200" si="21">IF(C188=0,0,E188/C188)</f>
        <v>3.1989976340675907E-2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13636765</v>
      </c>
      <c r="D189" s="361">
        <f>LN_1D2+LN_IE2</f>
        <v>12984710</v>
      </c>
      <c r="E189" s="361">
        <f t="shared" si="20"/>
        <v>-652055</v>
      </c>
      <c r="F189" s="362">
        <f t="shared" si="21"/>
        <v>-4.7815959283598421E-2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0.17882036452471706</v>
      </c>
      <c r="D190" s="366">
        <f>IF(LN_IF1=0,0,LN_IF2/LN_IF1)</f>
        <v>0.16499181305935109</v>
      </c>
      <c r="E190" s="367">
        <f t="shared" si="20"/>
        <v>-1.3828551465365962E-2</v>
      </c>
      <c r="F190" s="362">
        <f t="shared" si="21"/>
        <v>-7.7332084084050401E-2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2881</v>
      </c>
      <c r="D191" s="369">
        <f>LN_ID4+LN_IE4</f>
        <v>2991</v>
      </c>
      <c r="E191" s="369">
        <f t="shared" si="20"/>
        <v>110</v>
      </c>
      <c r="F191" s="362">
        <f t="shared" si="21"/>
        <v>3.8181187087816731E-2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1.7559998958694898</v>
      </c>
      <c r="D192" s="372">
        <f>IF((LN_ID4+LN_IE4)=0,0,(LN_ID6+LN_IE6)/(LN_ID4+LN_IE4))</f>
        <v>1.0325993981945838</v>
      </c>
      <c r="E192" s="373">
        <f t="shared" si="20"/>
        <v>-0.723400497674906</v>
      </c>
      <c r="F192" s="362">
        <f t="shared" si="21"/>
        <v>-0.41195930556517008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5059.0357000000004</v>
      </c>
      <c r="D193" s="376">
        <f>LN_IF4*LN_IF5</f>
        <v>3088.5048000000002</v>
      </c>
      <c r="E193" s="376">
        <f t="shared" si="20"/>
        <v>-1970.5309000000002</v>
      </c>
      <c r="F193" s="362">
        <f t="shared" si="21"/>
        <v>-0.38950721379570419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2695.5265407595361</v>
      </c>
      <c r="D194" s="378">
        <f>IF(LN_IF6=0,0,LN_IF2/LN_IF6)</f>
        <v>4204.2058668647687</v>
      </c>
      <c r="E194" s="378">
        <f t="shared" si="20"/>
        <v>1508.6793261052326</v>
      </c>
      <c r="F194" s="362">
        <f t="shared" si="21"/>
        <v>0.55969744808378774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6125.6865649626507</v>
      </c>
      <c r="D195" s="378">
        <f>LN_IB7-LN_IF7</f>
        <v>5541.4206848291733</v>
      </c>
      <c r="E195" s="378">
        <f t="shared" si="20"/>
        <v>-584.26588013347737</v>
      </c>
      <c r="F195" s="362">
        <f t="shared" si="21"/>
        <v>-9.537965645766594E-2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5550.6569392250367</v>
      </c>
      <c r="D196" s="378">
        <f>LN_IA7-LN_IF7</f>
        <v>3785.0550946387448</v>
      </c>
      <c r="E196" s="378">
        <f t="shared" si="20"/>
        <v>-1765.6018445862919</v>
      </c>
      <c r="F196" s="362">
        <f t="shared" si="21"/>
        <v>-0.31808880713006182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28080971.613992188</v>
      </c>
      <c r="D197" s="391">
        <f>LN_IF9*LN_IF6</f>
        <v>11690160.828056218</v>
      </c>
      <c r="E197" s="391">
        <f t="shared" si="20"/>
        <v>-16390810.78593597</v>
      </c>
      <c r="F197" s="362">
        <f t="shared" si="21"/>
        <v>-0.58369813592093645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12568</v>
      </c>
      <c r="D198" s="369">
        <f>LN_ID11+LN_IE11</f>
        <v>12076</v>
      </c>
      <c r="E198" s="369">
        <f t="shared" si="20"/>
        <v>-492</v>
      </c>
      <c r="F198" s="362">
        <f t="shared" si="21"/>
        <v>-3.9147040101845956E-2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1085.0385900700192</v>
      </c>
      <c r="D199" s="432">
        <f>IF(LN_IF11=0,0,LN_IF2/LN_IF11)</f>
        <v>1075.2492547201059</v>
      </c>
      <c r="E199" s="432">
        <f t="shared" si="20"/>
        <v>-9.7893353499132445</v>
      </c>
      <c r="F199" s="362">
        <f t="shared" si="21"/>
        <v>-9.0221080056530744E-3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4.3623741756334606</v>
      </c>
      <c r="D200" s="379">
        <f>IF(LN_IF4=0,0,LN_IF11/LN_IF4)</f>
        <v>4.0374456703443666</v>
      </c>
      <c r="E200" s="379">
        <f t="shared" si="20"/>
        <v>-0.32492850528909401</v>
      </c>
      <c r="F200" s="362">
        <f t="shared" si="21"/>
        <v>-7.4484327159283881E-2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67298967</v>
      </c>
      <c r="D203" s="361">
        <f>LN_ID14+LN_IE14</f>
        <v>67060968</v>
      </c>
      <c r="E203" s="361">
        <f t="shared" ref="E203:E211" si="22">D203-C203</f>
        <v>-237999</v>
      </c>
      <c r="F203" s="362">
        <f t="shared" ref="F203:F211" si="23">IF(C203=0,0,E203/C203)</f>
        <v>-3.5364435831533639E-3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10926237</v>
      </c>
      <c r="D204" s="361">
        <f>LN_ID15+LN_IE15</f>
        <v>10108351</v>
      </c>
      <c r="E204" s="361">
        <f t="shared" si="22"/>
        <v>-817886</v>
      </c>
      <c r="F204" s="362">
        <f t="shared" si="23"/>
        <v>-7.485523149461247E-2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0.16235371042173649</v>
      </c>
      <c r="D205" s="366">
        <f>IF(LN_IF14=0,0,LN_IF15/LN_IF14)</f>
        <v>0.15073374723729011</v>
      </c>
      <c r="E205" s="367">
        <f t="shared" si="22"/>
        <v>-1.1619963184446386E-2</v>
      </c>
      <c r="F205" s="362">
        <f t="shared" si="23"/>
        <v>-7.1571897890488026E-2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0.88249858460396613</v>
      </c>
      <c r="D206" s="366">
        <f>IF(LN_IF1=0,0,LN_IF14/LN_IF1)</f>
        <v>0.8521184297404506</v>
      </c>
      <c r="E206" s="367">
        <f t="shared" si="22"/>
        <v>-3.0380154863515529E-2</v>
      </c>
      <c r="F206" s="362">
        <f t="shared" si="23"/>
        <v>-3.4425159873937995E-2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2568.0390869259004</v>
      </c>
      <c r="D207" s="376">
        <f>LN_ID18+LN_IE18</f>
        <v>2574.9598556638225</v>
      </c>
      <c r="E207" s="376">
        <f t="shared" si="22"/>
        <v>6.920768737922117</v>
      </c>
      <c r="F207" s="362">
        <f t="shared" si="23"/>
        <v>2.6949623832270794E-3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4254.7004271182541</v>
      </c>
      <c r="D208" s="378">
        <f>IF(LN_IF18=0,0,LN_IF15/LN_IF18)</f>
        <v>3925.6344046552431</v>
      </c>
      <c r="E208" s="378">
        <f t="shared" si="22"/>
        <v>-329.066022463011</v>
      </c>
      <c r="F208" s="362">
        <f t="shared" si="23"/>
        <v>-7.7341760741987259E-2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5436.2639692135817</v>
      </c>
      <c r="D209" s="378">
        <f>LN_IB18-LN_IF19</f>
        <v>6975.8651787774843</v>
      </c>
      <c r="E209" s="378">
        <f t="shared" si="22"/>
        <v>1539.6012095639026</v>
      </c>
      <c r="F209" s="362">
        <f t="shared" si="23"/>
        <v>0.28320942807098892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5427.0839559042633</v>
      </c>
      <c r="D210" s="378">
        <f>LN_IA16-LN_IF19</f>
        <v>5007.1168998594194</v>
      </c>
      <c r="E210" s="378">
        <f t="shared" si="22"/>
        <v>-419.96705604484396</v>
      </c>
      <c r="F210" s="362">
        <f t="shared" si="23"/>
        <v>-7.7383556152277891E-2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13936963.726790588</v>
      </c>
      <c r="D211" s="353">
        <f>LN_IF21*LN_IF18</f>
        <v>12893125.009753898</v>
      </c>
      <c r="E211" s="353">
        <f t="shared" si="22"/>
        <v>-1043838.7170366906</v>
      </c>
      <c r="F211" s="362">
        <f t="shared" si="23"/>
        <v>-7.4897139541961505E-2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143558542</v>
      </c>
      <c r="D214" s="361">
        <f>LN_IF1+LN_IF14</f>
        <v>145760085</v>
      </c>
      <c r="E214" s="361">
        <f>D214-C214</f>
        <v>2201543</v>
      </c>
      <c r="F214" s="362">
        <f>IF(C214=0,0,E214/C214)</f>
        <v>1.5335506820625136E-2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24563002</v>
      </c>
      <c r="D215" s="361">
        <f>LN_IF2+LN_IF15</f>
        <v>23093061</v>
      </c>
      <c r="E215" s="361">
        <f>D215-C215</f>
        <v>-1469941</v>
      </c>
      <c r="F215" s="362">
        <f>IF(C215=0,0,E215/C215)</f>
        <v>-5.9843703143451277E-2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118995540</v>
      </c>
      <c r="D216" s="361">
        <f>LN_IF23-LN_IF24</f>
        <v>122667024</v>
      </c>
      <c r="E216" s="361">
        <f>D216-C216</f>
        <v>3671484</v>
      </c>
      <c r="F216" s="362">
        <f>IF(C216=0,0,E216/C216)</f>
        <v>3.0853963098112752E-2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803012</v>
      </c>
      <c r="D221" s="361">
        <v>433901</v>
      </c>
      <c r="E221" s="361">
        <f t="shared" ref="E221:E230" si="24">D221-C221</f>
        <v>-369111</v>
      </c>
      <c r="F221" s="362">
        <f t="shared" ref="F221:F230" si="25">IF(C221=0,0,E221/C221)</f>
        <v>-0.45965813711376668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106979</v>
      </c>
      <c r="D222" s="361">
        <v>100569</v>
      </c>
      <c r="E222" s="361">
        <f t="shared" si="24"/>
        <v>-6410</v>
      </c>
      <c r="F222" s="362">
        <f t="shared" si="25"/>
        <v>-5.9918301722768019E-2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0.13322216853546398</v>
      </c>
      <c r="D223" s="366">
        <f>IF(LN_IG1=0,0,LN_IG2/LN_IG1)</f>
        <v>0.23177867762461943</v>
      </c>
      <c r="E223" s="367">
        <f t="shared" si="24"/>
        <v>9.8556509089155447E-2</v>
      </c>
      <c r="F223" s="362">
        <f t="shared" si="25"/>
        <v>0.73979060821937848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15</v>
      </c>
      <c r="D224" s="369">
        <v>10</v>
      </c>
      <c r="E224" s="369">
        <f t="shared" si="24"/>
        <v>-5</v>
      </c>
      <c r="F224" s="362">
        <f t="shared" si="25"/>
        <v>-0.33333333333333331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1.6600999999999999</v>
      </c>
      <c r="D225" s="372">
        <v>1.7150000000000001</v>
      </c>
      <c r="E225" s="373">
        <f t="shared" si="24"/>
        <v>5.4900000000000171E-2</v>
      </c>
      <c r="F225" s="362">
        <f t="shared" si="25"/>
        <v>3.3070296970062148E-2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24.901499999999999</v>
      </c>
      <c r="D226" s="376">
        <f>LN_IG3*LN_IG4</f>
        <v>17.150000000000002</v>
      </c>
      <c r="E226" s="376">
        <f t="shared" si="24"/>
        <v>-7.7514999999999965</v>
      </c>
      <c r="F226" s="362">
        <f t="shared" si="25"/>
        <v>-0.31128646868662518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4296.0865811296508</v>
      </c>
      <c r="D227" s="378">
        <f>IF(LN_IG5=0,0,LN_IG2/LN_IG5)</f>
        <v>5864.0816326530603</v>
      </c>
      <c r="E227" s="378">
        <f t="shared" si="24"/>
        <v>1567.9950515234095</v>
      </c>
      <c r="F227" s="362">
        <f t="shared" si="25"/>
        <v>0.36498218132072818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119</v>
      </c>
      <c r="D228" s="369">
        <v>42</v>
      </c>
      <c r="E228" s="369">
        <f t="shared" si="24"/>
        <v>-77</v>
      </c>
      <c r="F228" s="362">
        <f t="shared" si="25"/>
        <v>-0.6470588235294118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898.98319327731087</v>
      </c>
      <c r="D229" s="378">
        <f>IF(LN_IG6=0,0,LN_IG2/LN_IG6)</f>
        <v>2394.5</v>
      </c>
      <c r="E229" s="378">
        <f t="shared" si="24"/>
        <v>1495.5168067226891</v>
      </c>
      <c r="F229" s="362">
        <f t="shared" si="25"/>
        <v>1.6635648117854906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7.9333333333333336</v>
      </c>
      <c r="D230" s="379">
        <f>IF(LN_IG3=0,0,LN_IG6/LN_IG3)</f>
        <v>4.2</v>
      </c>
      <c r="E230" s="379">
        <f t="shared" si="24"/>
        <v>-3.7333333333333334</v>
      </c>
      <c r="F230" s="362">
        <f t="shared" si="25"/>
        <v>-0.47058823529411764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463890</v>
      </c>
      <c r="D233" s="361">
        <v>439975</v>
      </c>
      <c r="E233" s="361">
        <f>D233-C233</f>
        <v>-23915</v>
      </c>
      <c r="F233" s="362">
        <f>IF(C233=0,0,E233/C233)</f>
        <v>-5.1553169932527107E-2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137976</v>
      </c>
      <c r="D234" s="361">
        <v>97339</v>
      </c>
      <c r="E234" s="361">
        <f>D234-C234</f>
        <v>-40637</v>
      </c>
      <c r="F234" s="362">
        <f>IF(C234=0,0,E234/C234)</f>
        <v>-0.29452223575114511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1266902</v>
      </c>
      <c r="D237" s="361">
        <f>LN_IG1+LN_IG9</f>
        <v>873876</v>
      </c>
      <c r="E237" s="361">
        <f>D237-C237</f>
        <v>-393026</v>
      </c>
      <c r="F237" s="362">
        <f>IF(C237=0,0,E237/C237)</f>
        <v>-0.31022604747644256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244955</v>
      </c>
      <c r="D238" s="361">
        <f>LN_IG2+LN_IG10</f>
        <v>197908</v>
      </c>
      <c r="E238" s="361">
        <f>D238-C238</f>
        <v>-47047</v>
      </c>
      <c r="F238" s="362">
        <f>IF(C238=0,0,E238/C238)</f>
        <v>-0.19206384846196239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1021947</v>
      </c>
      <c r="D239" s="361">
        <f>LN_IG13-LN_IG14</f>
        <v>675968</v>
      </c>
      <c r="E239" s="361">
        <f>D239-C239</f>
        <v>-345979</v>
      </c>
      <c r="F239" s="362">
        <f>IF(C239=0,0,E239/C239)</f>
        <v>-0.33854886799413275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13073722</v>
      </c>
      <c r="D243" s="361">
        <v>10576444</v>
      </c>
      <c r="E243" s="353">
        <f>D243-C243</f>
        <v>-2497278</v>
      </c>
      <c r="F243" s="415">
        <f>IF(C243=0,0,E243/C243)</f>
        <v>-0.19101507589040059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253532594</v>
      </c>
      <c r="D244" s="361">
        <v>237519576</v>
      </c>
      <c r="E244" s="353">
        <f>D244-C244</f>
        <v>-16013018</v>
      </c>
      <c r="F244" s="415">
        <f>IF(C244=0,0,E244/C244)</f>
        <v>-6.3159603060740976E-2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1753777</v>
      </c>
      <c r="D245" s="400">
        <v>1673113</v>
      </c>
      <c r="E245" s="400">
        <f>D245-C245</f>
        <v>-80664</v>
      </c>
      <c r="F245" s="401">
        <f>IF(C245=0,0,E245/C245)</f>
        <v>-4.5994445131849714E-2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1809921</v>
      </c>
      <c r="D248" s="353">
        <v>1910845</v>
      </c>
      <c r="E248" s="353">
        <f>D248-C248</f>
        <v>100924</v>
      </c>
      <c r="F248" s="362">
        <f>IF(C248=0,0,E248/C248)</f>
        <v>5.576154981350015E-2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14319487</v>
      </c>
      <c r="D249" s="353">
        <v>14985815</v>
      </c>
      <c r="E249" s="353">
        <f>D249-C249</f>
        <v>666328</v>
      </c>
      <c r="F249" s="362">
        <f>IF(C249=0,0,E249/C249)</f>
        <v>4.6532951913710319E-2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16129408</v>
      </c>
      <c r="D250" s="353">
        <f>LN_IH4+LN_IH5</f>
        <v>16896660</v>
      </c>
      <c r="E250" s="353">
        <f>D250-C250</f>
        <v>767252</v>
      </c>
      <c r="F250" s="362">
        <f>IF(C250=0,0,E250/C250)</f>
        <v>4.7568515843854901E-2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4304820.9453079011</v>
      </c>
      <c r="D251" s="353">
        <f>LN_IH6*LN_III10</f>
        <v>4424522.6980735175</v>
      </c>
      <c r="E251" s="353">
        <f>D251-C251</f>
        <v>119701.7527656164</v>
      </c>
      <c r="F251" s="362">
        <f>IF(C251=0,0,E251/C251)</f>
        <v>2.7806441728101833E-2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143558542</v>
      </c>
      <c r="D254" s="353">
        <f>LN_IF23</f>
        <v>145760085</v>
      </c>
      <c r="E254" s="353">
        <f>D254-C254</f>
        <v>2201543</v>
      </c>
      <c r="F254" s="362">
        <f>IF(C254=0,0,E254/C254)</f>
        <v>1.5335506820625136E-2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24563002</v>
      </c>
      <c r="D255" s="353">
        <f>LN_IF24</f>
        <v>23093061</v>
      </c>
      <c r="E255" s="353">
        <f>D255-C255</f>
        <v>-1469941</v>
      </c>
      <c r="F255" s="362">
        <f>IF(C255=0,0,E255/C255)</f>
        <v>-5.9843703143451277E-2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38314724.165912598</v>
      </c>
      <c r="D256" s="353">
        <f>LN_IH8*LN_III10</f>
        <v>38168419.35362523</v>
      </c>
      <c r="E256" s="353">
        <f>D256-C256</f>
        <v>-146304.81228736788</v>
      </c>
      <c r="F256" s="362">
        <f>IF(C256=0,0,E256/C256)</f>
        <v>-3.8185009933473738E-3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13751722.165912598</v>
      </c>
      <c r="D257" s="353">
        <f>LN_IH10-LN_IH9</f>
        <v>15075358.35362523</v>
      </c>
      <c r="E257" s="353">
        <f>D257-C257</f>
        <v>1323636.1877126321</v>
      </c>
      <c r="F257" s="362">
        <f>IF(C257=0,0,E257/C257)</f>
        <v>9.6252394554161819E-2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534788651</v>
      </c>
      <c r="D261" s="361">
        <f>LN_IA1+LN_IB1+LN_IF1+LN_IG1</f>
        <v>517372674</v>
      </c>
      <c r="E261" s="361">
        <f t="shared" ref="E261:E274" si="26">D261-C261</f>
        <v>-17415977</v>
      </c>
      <c r="F261" s="415">
        <f t="shared" ref="F261:F274" si="27">IF(C261=0,0,E261/C261)</f>
        <v>-3.2566093105068528E-2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150686144</v>
      </c>
      <c r="D262" s="361">
        <f>+LN_IA2+LN_IB2+LN_IF2+LN_IG2</f>
        <v>144865310</v>
      </c>
      <c r="E262" s="361">
        <f t="shared" si="26"/>
        <v>-5820834</v>
      </c>
      <c r="F262" s="415">
        <f t="shared" si="27"/>
        <v>-3.8628860262029135E-2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0.28176765478891957</v>
      </c>
      <c r="D263" s="366">
        <f>IF(LN_IIA1=0,0,LN_IIA2/LN_IIA1)</f>
        <v>0.28000185800303784</v>
      </c>
      <c r="E263" s="367">
        <f t="shared" si="26"/>
        <v>-1.7657967858817347E-3</v>
      </c>
      <c r="F263" s="371">
        <f t="shared" si="27"/>
        <v>-6.2668541114293081E-3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13916</v>
      </c>
      <c r="D264" s="369">
        <f>LN_IA4+LN_IB4+LN_IF4+LN_IG3</f>
        <v>13046</v>
      </c>
      <c r="E264" s="369">
        <f t="shared" si="26"/>
        <v>-870</v>
      </c>
      <c r="F264" s="415">
        <f t="shared" si="27"/>
        <v>-6.2517964932451847E-2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1.5293610951422822</v>
      </c>
      <c r="D265" s="439">
        <f>IF(LN_IIA4=0,0,LN_IIA6/LN_IIA4)</f>
        <v>1.414460327303388</v>
      </c>
      <c r="E265" s="439">
        <f t="shared" si="26"/>
        <v>-0.11490076783889425</v>
      </c>
      <c r="F265" s="415">
        <f t="shared" si="27"/>
        <v>-7.5129914186946534E-2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21282.589</v>
      </c>
      <c r="D266" s="376">
        <f>LN_IA6+LN_IB6+LN_IF6+LN_IG5</f>
        <v>18453.049429999999</v>
      </c>
      <c r="E266" s="376">
        <f t="shared" si="26"/>
        <v>-2829.5395700000008</v>
      </c>
      <c r="F266" s="415">
        <f t="shared" si="27"/>
        <v>-0.1329509097788808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310125616</v>
      </c>
      <c r="D267" s="361">
        <f>LN_IA11+LN_IB13+LN_IF14+LN_IG9</f>
        <v>298395253</v>
      </c>
      <c r="E267" s="361">
        <f t="shared" si="26"/>
        <v>-11730363</v>
      </c>
      <c r="F267" s="415">
        <f t="shared" si="27"/>
        <v>-3.782455364796438E-2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0.57990313635133595</v>
      </c>
      <c r="D268" s="366">
        <f>IF(LN_IIA1=0,0,LN_IIA7/LN_IIA1)</f>
        <v>0.57675108871327829</v>
      </c>
      <c r="E268" s="367">
        <f t="shared" si="26"/>
        <v>-3.1520476380576534E-3</v>
      </c>
      <c r="F268" s="371">
        <f t="shared" si="27"/>
        <v>-5.4354726513290942E-3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73061511</v>
      </c>
      <c r="D269" s="361">
        <f>LN_IA12+LN_IB14+LN_IF15+LN_IG10</f>
        <v>67076795</v>
      </c>
      <c r="E269" s="361">
        <f t="shared" si="26"/>
        <v>-5984716</v>
      </c>
      <c r="F269" s="415">
        <f t="shared" si="27"/>
        <v>-8.1913389390482219E-2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0.23558683072474734</v>
      </c>
      <c r="D270" s="366">
        <f>IF(LN_IIA7=0,0,LN_IIA9/LN_IIA7)</f>
        <v>0.22479176302446072</v>
      </c>
      <c r="E270" s="367">
        <f t="shared" si="26"/>
        <v>-1.0795067700286626E-2</v>
      </c>
      <c r="F270" s="371">
        <f t="shared" si="27"/>
        <v>-4.5822033715030797E-2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844914267</v>
      </c>
      <c r="D271" s="353">
        <f>LN_IIA1+LN_IIA7</f>
        <v>815767927</v>
      </c>
      <c r="E271" s="353">
        <f t="shared" si="26"/>
        <v>-29146340</v>
      </c>
      <c r="F271" s="415">
        <f t="shared" si="27"/>
        <v>-3.4496210016063088E-2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223747655</v>
      </c>
      <c r="D272" s="353">
        <f>LN_IIA2+LN_IIA9</f>
        <v>211942105</v>
      </c>
      <c r="E272" s="353">
        <f t="shared" si="26"/>
        <v>-11805550</v>
      </c>
      <c r="F272" s="415">
        <f t="shared" si="27"/>
        <v>-5.2762787614466844E-2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0.26481699237302619</v>
      </c>
      <c r="D273" s="366">
        <f>IF(LN_IIA11=0,0,LN_IIA12/LN_IIA11)</f>
        <v>0.25980686171301265</v>
      </c>
      <c r="E273" s="367">
        <f t="shared" si="26"/>
        <v>-5.0101306600135453E-3</v>
      </c>
      <c r="F273" s="371">
        <f t="shared" si="27"/>
        <v>-1.8919218948594437E-2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67682</v>
      </c>
      <c r="D274" s="421">
        <f>LN_IA8+LN_IB10+LN_IF11+LN_IG6</f>
        <v>59271</v>
      </c>
      <c r="E274" s="442">
        <f t="shared" si="26"/>
        <v>-8411</v>
      </c>
      <c r="F274" s="371">
        <f t="shared" si="27"/>
        <v>-0.12427233237788482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383748417</v>
      </c>
      <c r="D277" s="361">
        <f>LN_IA1+LN_IF1+LN_IG1</f>
        <v>368426498</v>
      </c>
      <c r="E277" s="361">
        <f t="shared" ref="E277:E291" si="28">D277-C277</f>
        <v>-15321919</v>
      </c>
      <c r="F277" s="415">
        <f t="shared" ref="F277:F291" si="29">IF(C277=0,0,E277/C277)</f>
        <v>-3.9926989457783224E-2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99060236</v>
      </c>
      <c r="D278" s="361">
        <f>LN_IA2+LN_IF2+LN_IG2</f>
        <v>94007223</v>
      </c>
      <c r="E278" s="361">
        <f t="shared" si="28"/>
        <v>-5053013</v>
      </c>
      <c r="F278" s="415">
        <f t="shared" si="29"/>
        <v>-5.1009498907311303E-2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0.25813848764358549</v>
      </c>
      <c r="D279" s="366">
        <f>IF(D277=0,0,LN_IIB2/D277)</f>
        <v>0.25515869111021433</v>
      </c>
      <c r="E279" s="367">
        <f t="shared" si="28"/>
        <v>-2.9797965333711596E-3</v>
      </c>
      <c r="F279" s="371">
        <f t="shared" si="29"/>
        <v>-1.1543402770242444E-2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9392</v>
      </c>
      <c r="D280" s="369">
        <f>LN_IA4+LN_IF4+LN_IG3</f>
        <v>9078</v>
      </c>
      <c r="E280" s="369">
        <f t="shared" si="28"/>
        <v>-314</v>
      </c>
      <c r="F280" s="415">
        <f t="shared" si="29"/>
        <v>-3.3432708688245313E-2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1.6428999574105623</v>
      </c>
      <c r="D281" s="439">
        <f>IF(LN_IIB4=0,0,LN_IIB6/LN_IIB4)</f>
        <v>1.4578645681868252</v>
      </c>
      <c r="E281" s="439">
        <f t="shared" si="28"/>
        <v>-0.18503538922373708</v>
      </c>
      <c r="F281" s="415">
        <f t="shared" si="29"/>
        <v>-0.11262730173502376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15430.116400000001</v>
      </c>
      <c r="D282" s="376">
        <f>LN_IA6+LN_IF6+LN_IG5</f>
        <v>13234.494549999999</v>
      </c>
      <c r="E282" s="376">
        <f t="shared" si="28"/>
        <v>-2195.6218500000014</v>
      </c>
      <c r="F282" s="415">
        <f t="shared" si="29"/>
        <v>-0.1422945746540189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165803890</v>
      </c>
      <c r="D283" s="361">
        <f>LN_IA11+LN_IF14+LN_IG9</f>
        <v>166604318</v>
      </c>
      <c r="E283" s="361">
        <f t="shared" si="28"/>
        <v>800428</v>
      </c>
      <c r="F283" s="415">
        <f t="shared" si="29"/>
        <v>4.8275586296557937E-3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0.43206403637099566</v>
      </c>
      <c r="D284" s="366">
        <f>IF(D277=0,0,LN_IIB7/D277)</f>
        <v>0.45220503656607242</v>
      </c>
      <c r="E284" s="367">
        <f t="shared" si="28"/>
        <v>2.0141000195076753E-2</v>
      </c>
      <c r="F284" s="371">
        <f t="shared" si="29"/>
        <v>4.6615775671230597E-2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31169746</v>
      </c>
      <c r="D285" s="361">
        <f>LN_IA12+LN_IF15+LN_IG10</f>
        <v>28801893</v>
      </c>
      <c r="E285" s="361">
        <f t="shared" si="28"/>
        <v>-2367853</v>
      </c>
      <c r="F285" s="415">
        <f t="shared" si="29"/>
        <v>-7.5966387406557631E-2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0.18799164482811592</v>
      </c>
      <c r="D286" s="366">
        <f>IF(LN_IIB7=0,0,LN_IIB9/LN_IIB7)</f>
        <v>0.17287602953964254</v>
      </c>
      <c r="E286" s="367">
        <f t="shared" si="28"/>
        <v>-1.5115615288473383E-2</v>
      </c>
      <c r="F286" s="371">
        <f t="shared" si="29"/>
        <v>-8.0405782407478033E-2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549552307</v>
      </c>
      <c r="D287" s="353">
        <f>D277+LN_IIB7</f>
        <v>535030816</v>
      </c>
      <c r="E287" s="353">
        <f t="shared" si="28"/>
        <v>-14521491</v>
      </c>
      <c r="F287" s="415">
        <f t="shared" si="29"/>
        <v>-2.6424219887771303E-2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130229982</v>
      </c>
      <c r="D288" s="353">
        <f>LN_IIB2+LN_IIB9</f>
        <v>122809116</v>
      </c>
      <c r="E288" s="353">
        <f t="shared" si="28"/>
        <v>-7420866</v>
      </c>
      <c r="F288" s="415">
        <f t="shared" si="29"/>
        <v>-5.698277682323568E-2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0.23697467982788398</v>
      </c>
      <c r="D289" s="366">
        <f>IF(LN_IIB11=0,0,LN_IIB12/LN_IIB11)</f>
        <v>0.22953652822868431</v>
      </c>
      <c r="E289" s="367">
        <f t="shared" si="28"/>
        <v>-7.4381515991996661E-3</v>
      </c>
      <c r="F289" s="371">
        <f t="shared" si="29"/>
        <v>-3.1387959273125876E-2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51314</v>
      </c>
      <c r="D290" s="421">
        <f>LN_IA8+LN_IF11+LN_IG6</f>
        <v>45012</v>
      </c>
      <c r="E290" s="442">
        <f t="shared" si="28"/>
        <v>-6302</v>
      </c>
      <c r="F290" s="371">
        <f t="shared" si="29"/>
        <v>-0.12281248782008808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419322325</v>
      </c>
      <c r="D291" s="429">
        <f>LN_IIB11-LN_IIB12</f>
        <v>412221700</v>
      </c>
      <c r="E291" s="353">
        <f t="shared" si="28"/>
        <v>-7100625</v>
      </c>
      <c r="F291" s="415">
        <f t="shared" si="29"/>
        <v>-1.6933572520852546E-2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5.9462746305418719</v>
      </c>
      <c r="D294" s="379">
        <f>IF(LN_IA4=0,0,LN_IA8/LN_IA4)</f>
        <v>5.4128681915418788</v>
      </c>
      <c r="E294" s="379">
        <f t="shared" ref="E294:E300" si="30">D294-C294</f>
        <v>-0.53340643899999307</v>
      </c>
      <c r="F294" s="415">
        <f t="shared" ref="F294:F300" si="31">IF(C294=0,0,E294/C294)</f>
        <v>-8.9704305996943984E-2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3.6180371352785148</v>
      </c>
      <c r="D295" s="379">
        <f>IF(LN_IB4=0,0,(LN_IB10)/(LN_IB4))</f>
        <v>3.5934979838709675</v>
      </c>
      <c r="E295" s="379">
        <f t="shared" si="30"/>
        <v>-2.4539151407547255E-2</v>
      </c>
      <c r="F295" s="415">
        <f t="shared" si="31"/>
        <v>-6.7824487394760368E-3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4.3245283018867928</v>
      </c>
      <c r="D296" s="379">
        <f>IF(LN_IC4=0,0,LN_IC11/LN_IC4)</f>
        <v>3.8148148148148149</v>
      </c>
      <c r="E296" s="379">
        <f t="shared" si="30"/>
        <v>-0.50971348707197794</v>
      </c>
      <c r="F296" s="415">
        <f t="shared" si="31"/>
        <v>-0.11786568418331077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4.2077867118070253</v>
      </c>
      <c r="D297" s="379">
        <f>IF(LN_ID4=0,0,LN_ID11/LN_ID4)</f>
        <v>3.9037743674823724</v>
      </c>
      <c r="E297" s="379">
        <f t="shared" si="30"/>
        <v>-0.30401234432465296</v>
      </c>
      <c r="F297" s="415">
        <f t="shared" si="31"/>
        <v>-7.2249941631213399E-2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5.0675675675675675</v>
      </c>
      <c r="D298" s="379">
        <f>IF(LN_IE4=0,0,LN_IE11/LN_IE4)</f>
        <v>4.5931034482758619</v>
      </c>
      <c r="E298" s="379">
        <f t="shared" si="30"/>
        <v>-0.47446411929170562</v>
      </c>
      <c r="F298" s="415">
        <f t="shared" si="31"/>
        <v>-9.3627586206896582E-2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7.9333333333333336</v>
      </c>
      <c r="D299" s="379">
        <f>IF(LN_IG3=0,0,LN_IG6/LN_IG3)</f>
        <v>4.2</v>
      </c>
      <c r="E299" s="379">
        <f t="shared" si="30"/>
        <v>-3.7333333333333334</v>
      </c>
      <c r="F299" s="415">
        <f t="shared" si="31"/>
        <v>-0.47058823529411764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4.8636102328255246</v>
      </c>
      <c r="D300" s="379">
        <f>IF(LN_IIA4=0,0,LN_IIA14/LN_IIA4)</f>
        <v>4.5432316418825698</v>
      </c>
      <c r="E300" s="379">
        <f t="shared" si="30"/>
        <v>-0.32037859094295484</v>
      </c>
      <c r="F300" s="415">
        <f t="shared" si="31"/>
        <v>-6.5872587564820187E-2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844914267</v>
      </c>
      <c r="D304" s="353">
        <f>LN_IIA11</f>
        <v>815767927</v>
      </c>
      <c r="E304" s="353">
        <f t="shared" ref="E304:E316" si="32">D304-C304</f>
        <v>-29146340</v>
      </c>
      <c r="F304" s="362">
        <f>IF(C304=0,0,E304/C304)</f>
        <v>-3.4496210016063088E-2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419322325</v>
      </c>
      <c r="D305" s="353">
        <f>LN_IIB14</f>
        <v>412221700</v>
      </c>
      <c r="E305" s="353">
        <f t="shared" si="32"/>
        <v>-7100625</v>
      </c>
      <c r="F305" s="362">
        <f>IF(C305=0,0,E305/C305)</f>
        <v>-1.6933572520852546E-2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16129408</v>
      </c>
      <c r="D306" s="353">
        <f>LN_IH6</f>
        <v>16896660</v>
      </c>
      <c r="E306" s="353">
        <f t="shared" si="32"/>
        <v>767252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185714877</v>
      </c>
      <c r="D307" s="353">
        <f>LN_IB32-LN_IB33</f>
        <v>174707462</v>
      </c>
      <c r="E307" s="353">
        <f t="shared" si="32"/>
        <v>-11007415</v>
      </c>
      <c r="F307" s="362">
        <f t="shared" ref="F307:F316" si="33">IF(C307=0,0,E307/C307)</f>
        <v>-5.9270507445668988E-2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621166610</v>
      </c>
      <c r="D309" s="353">
        <f>LN_III2+LN_III3+LN_III4+LN_III5</f>
        <v>603825822</v>
      </c>
      <c r="E309" s="353">
        <f t="shared" si="32"/>
        <v>-17340788</v>
      </c>
      <c r="F309" s="362">
        <f t="shared" si="33"/>
        <v>-2.7916484435633139E-2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223747657</v>
      </c>
      <c r="D310" s="353">
        <f>LN_III1-LN_III6</f>
        <v>211942105</v>
      </c>
      <c r="E310" s="353">
        <f t="shared" si="32"/>
        <v>-11805552</v>
      </c>
      <c r="F310" s="362">
        <f t="shared" si="33"/>
        <v>-5.2762796081480309E-2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1753777</v>
      </c>
      <c r="D311" s="353">
        <f>LN_IH3</f>
        <v>1673113</v>
      </c>
      <c r="E311" s="353">
        <f t="shared" si="32"/>
        <v>-80664</v>
      </c>
      <c r="F311" s="362">
        <f t="shared" si="33"/>
        <v>-4.5994445131849714E-2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225501434</v>
      </c>
      <c r="D312" s="353">
        <f>LN_III7+LN_III8</f>
        <v>213615218</v>
      </c>
      <c r="E312" s="353">
        <f t="shared" si="32"/>
        <v>-11886216</v>
      </c>
      <c r="F312" s="362">
        <f t="shared" si="33"/>
        <v>-5.2710157044943667E-2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0.2668926810771915</v>
      </c>
      <c r="D313" s="448">
        <f>IF(LN_III1=0,0,LN_III9/LN_III1)</f>
        <v>0.26185782859295964</v>
      </c>
      <c r="E313" s="448">
        <f t="shared" si="32"/>
        <v>-5.0348524842318554E-3</v>
      </c>
      <c r="F313" s="362">
        <f t="shared" si="33"/>
        <v>-1.8864707956437594E-2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4304820.9453079011</v>
      </c>
      <c r="D314" s="353">
        <f>D313*LN_III5</f>
        <v>4424522.6980735175</v>
      </c>
      <c r="E314" s="353">
        <f t="shared" si="32"/>
        <v>119701.7527656164</v>
      </c>
      <c r="F314" s="362">
        <f t="shared" si="33"/>
        <v>2.7806441728101833E-2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13751722.165912598</v>
      </c>
      <c r="D315" s="353">
        <f>D313*LN_IH8-LN_IH9</f>
        <v>15075358.35362523</v>
      </c>
      <c r="E315" s="353">
        <f t="shared" si="32"/>
        <v>1323636.1877126321</v>
      </c>
      <c r="F315" s="362">
        <f t="shared" si="33"/>
        <v>9.6252394554161819E-2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18056543.111220501</v>
      </c>
      <c r="D318" s="353">
        <f>D314+D315+D316</f>
        <v>19499881.051698748</v>
      </c>
      <c r="E318" s="353">
        <f>D318-C318</f>
        <v>1443337.9404782467</v>
      </c>
      <c r="F318" s="362">
        <f>IF(C318=0,0,E318/C318)</f>
        <v>7.9934344663200971E-2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11311560.705451667</v>
      </c>
      <c r="D322" s="353">
        <f>LN_ID22</f>
        <v>10248680.503811257</v>
      </c>
      <c r="E322" s="353">
        <f>LN_IV2-C322</f>
        <v>-1062880.2016404103</v>
      </c>
      <c r="F322" s="362">
        <f>IF(C322=0,0,E322/C322)</f>
        <v>-9.3964062901430528E-2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6048833.187660262</v>
      </c>
      <c r="D323" s="353">
        <f>LN_IE10+LN_IE22</f>
        <v>5789115.6856277073</v>
      </c>
      <c r="E323" s="353">
        <f>LN_IV3-C323</f>
        <v>-259717.50203255471</v>
      </c>
      <c r="F323" s="362">
        <f>IF(C323=0,0,E323/C323)</f>
        <v>-4.2936793588949272E-2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1052299.4348648351</v>
      </c>
      <c r="D324" s="353">
        <f>LN_IC10+LN_IC22</f>
        <v>3568447.3657441512</v>
      </c>
      <c r="E324" s="353">
        <f>LN_IV1-C324</f>
        <v>2516147.9308793163</v>
      </c>
      <c r="F324" s="362">
        <f>IF(C324=0,0,E324/C324)</f>
        <v>2.3910950129917237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18412693.327976763</v>
      </c>
      <c r="D325" s="429">
        <f>LN_IV1+LN_IV2+LN_IV3</f>
        <v>19606243.555183116</v>
      </c>
      <c r="E325" s="353">
        <f>LN_IV4-C325</f>
        <v>1193550.2272063531</v>
      </c>
      <c r="F325" s="362">
        <f>IF(C325=0,0,E325/C325)</f>
        <v>6.4822142309449063E-2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14427091</v>
      </c>
      <c r="D330" s="429">
        <v>15396099</v>
      </c>
      <c r="E330" s="431">
        <f t="shared" si="34"/>
        <v>969008</v>
      </c>
      <c r="F330" s="463">
        <f t="shared" si="35"/>
        <v>6.7165861780451794E-2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239928524</v>
      </c>
      <c r="D331" s="429">
        <v>229011318</v>
      </c>
      <c r="E331" s="431">
        <f t="shared" si="34"/>
        <v>-10917206</v>
      </c>
      <c r="F331" s="462">
        <f t="shared" si="35"/>
        <v>-4.5501909560365567E-2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844914262</v>
      </c>
      <c r="D333" s="429">
        <v>815767934</v>
      </c>
      <c r="E333" s="431">
        <f t="shared" si="34"/>
        <v>-29146328</v>
      </c>
      <c r="F333" s="462">
        <f t="shared" si="35"/>
        <v>-3.4496196017578883E-2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1463750</v>
      </c>
      <c r="D334" s="429">
        <v>1170621</v>
      </c>
      <c r="E334" s="429">
        <f t="shared" si="34"/>
        <v>-293129</v>
      </c>
      <c r="F334" s="463">
        <f t="shared" si="35"/>
        <v>-0.20025892399658413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17593158</v>
      </c>
      <c r="D335" s="429">
        <v>18067281</v>
      </c>
      <c r="E335" s="429">
        <f t="shared" si="34"/>
        <v>474123</v>
      </c>
      <c r="F335" s="462">
        <f t="shared" si="35"/>
        <v>2.6949283352084942E-2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FILING&amp;RWATERBURY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151040234</v>
      </c>
      <c r="D14" s="513">
        <v>148946176</v>
      </c>
      <c r="E14" s="514">
        <f t="shared" ref="E14:E22" si="0">D14-C14</f>
        <v>-2094058</v>
      </c>
    </row>
    <row r="15" spans="1:5" s="506" customFormat="1" x14ac:dyDescent="0.2">
      <c r="A15" s="512">
        <v>2</v>
      </c>
      <c r="B15" s="511" t="s">
        <v>600</v>
      </c>
      <c r="C15" s="513">
        <v>306685830</v>
      </c>
      <c r="D15" s="515">
        <v>289293480</v>
      </c>
      <c r="E15" s="514">
        <f t="shared" si="0"/>
        <v>-17392350</v>
      </c>
    </row>
    <row r="16" spans="1:5" s="506" customFormat="1" x14ac:dyDescent="0.2">
      <c r="A16" s="512">
        <v>3</v>
      </c>
      <c r="B16" s="511" t="s">
        <v>746</v>
      </c>
      <c r="C16" s="513">
        <v>76259575</v>
      </c>
      <c r="D16" s="515">
        <v>78699117</v>
      </c>
      <c r="E16" s="514">
        <f t="shared" si="0"/>
        <v>2439542</v>
      </c>
    </row>
    <row r="17" spans="1:5" s="506" customFormat="1" x14ac:dyDescent="0.2">
      <c r="A17" s="512">
        <v>4</v>
      </c>
      <c r="B17" s="511" t="s">
        <v>114</v>
      </c>
      <c r="C17" s="513">
        <v>56278557</v>
      </c>
      <c r="D17" s="515">
        <v>57681344</v>
      </c>
      <c r="E17" s="514">
        <f t="shared" si="0"/>
        <v>1402787</v>
      </c>
    </row>
    <row r="18" spans="1:5" s="506" customFormat="1" x14ac:dyDescent="0.2">
      <c r="A18" s="512">
        <v>5</v>
      </c>
      <c r="B18" s="511" t="s">
        <v>713</v>
      </c>
      <c r="C18" s="513">
        <v>19981018</v>
      </c>
      <c r="D18" s="515">
        <v>21017773</v>
      </c>
      <c r="E18" s="514">
        <f t="shared" si="0"/>
        <v>1036755</v>
      </c>
    </row>
    <row r="19" spans="1:5" s="506" customFormat="1" x14ac:dyDescent="0.2">
      <c r="A19" s="512">
        <v>6</v>
      </c>
      <c r="B19" s="511" t="s">
        <v>418</v>
      </c>
      <c r="C19" s="513">
        <v>803012</v>
      </c>
      <c r="D19" s="515">
        <v>433901</v>
      </c>
      <c r="E19" s="514">
        <f t="shared" si="0"/>
        <v>-369111</v>
      </c>
    </row>
    <row r="20" spans="1:5" s="506" customFormat="1" x14ac:dyDescent="0.2">
      <c r="A20" s="512">
        <v>7</v>
      </c>
      <c r="B20" s="511" t="s">
        <v>728</v>
      </c>
      <c r="C20" s="513">
        <v>8867028</v>
      </c>
      <c r="D20" s="515">
        <v>7496163</v>
      </c>
      <c r="E20" s="514">
        <f t="shared" si="0"/>
        <v>-1370865</v>
      </c>
    </row>
    <row r="21" spans="1:5" s="506" customFormat="1" x14ac:dyDescent="0.2">
      <c r="A21" s="512"/>
      <c r="B21" s="516" t="s">
        <v>747</v>
      </c>
      <c r="C21" s="517">
        <f>SUM(C15+C16+C19)</f>
        <v>383748417</v>
      </c>
      <c r="D21" s="517">
        <f>SUM(D15+D16+D19)</f>
        <v>368426498</v>
      </c>
      <c r="E21" s="517">
        <f t="shared" si="0"/>
        <v>-15321919</v>
      </c>
    </row>
    <row r="22" spans="1:5" s="506" customFormat="1" x14ac:dyDescent="0.2">
      <c r="A22" s="512"/>
      <c r="B22" s="516" t="s">
        <v>687</v>
      </c>
      <c r="C22" s="517">
        <f>SUM(C14+C21)</f>
        <v>534788651</v>
      </c>
      <c r="D22" s="517">
        <f>SUM(D14+D21)</f>
        <v>517372674</v>
      </c>
      <c r="E22" s="517">
        <f t="shared" si="0"/>
        <v>-17415977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144321726</v>
      </c>
      <c r="D25" s="513">
        <v>131790935</v>
      </c>
      <c r="E25" s="514">
        <f t="shared" ref="E25:E33" si="1">D25-C25</f>
        <v>-12530791</v>
      </c>
    </row>
    <row r="26" spans="1:5" s="506" customFormat="1" x14ac:dyDescent="0.2">
      <c r="A26" s="512">
        <v>2</v>
      </c>
      <c r="B26" s="511" t="s">
        <v>600</v>
      </c>
      <c r="C26" s="513">
        <v>98041033</v>
      </c>
      <c r="D26" s="515">
        <v>99103375</v>
      </c>
      <c r="E26" s="514">
        <f t="shared" si="1"/>
        <v>1062342</v>
      </c>
    </row>
    <row r="27" spans="1:5" s="506" customFormat="1" x14ac:dyDescent="0.2">
      <c r="A27" s="512">
        <v>3</v>
      </c>
      <c r="B27" s="511" t="s">
        <v>746</v>
      </c>
      <c r="C27" s="513">
        <v>67298967</v>
      </c>
      <c r="D27" s="515">
        <v>67060968</v>
      </c>
      <c r="E27" s="514">
        <f t="shared" si="1"/>
        <v>-237999</v>
      </c>
    </row>
    <row r="28" spans="1:5" s="506" customFormat="1" x14ac:dyDescent="0.2">
      <c r="A28" s="512">
        <v>4</v>
      </c>
      <c r="B28" s="511" t="s">
        <v>114</v>
      </c>
      <c r="C28" s="513">
        <v>51257026</v>
      </c>
      <c r="D28" s="515">
        <v>51001212</v>
      </c>
      <c r="E28" s="514">
        <f t="shared" si="1"/>
        <v>-255814</v>
      </c>
    </row>
    <row r="29" spans="1:5" s="506" customFormat="1" x14ac:dyDescent="0.2">
      <c r="A29" s="512">
        <v>5</v>
      </c>
      <c r="B29" s="511" t="s">
        <v>713</v>
      </c>
      <c r="C29" s="513">
        <v>16041941</v>
      </c>
      <c r="D29" s="515">
        <v>16059756</v>
      </c>
      <c r="E29" s="514">
        <f t="shared" si="1"/>
        <v>17815</v>
      </c>
    </row>
    <row r="30" spans="1:5" s="506" customFormat="1" x14ac:dyDescent="0.2">
      <c r="A30" s="512">
        <v>6</v>
      </c>
      <c r="B30" s="511" t="s">
        <v>418</v>
      </c>
      <c r="C30" s="513">
        <v>463890</v>
      </c>
      <c r="D30" s="515">
        <v>439975</v>
      </c>
      <c r="E30" s="514">
        <f t="shared" si="1"/>
        <v>-23915</v>
      </c>
    </row>
    <row r="31" spans="1:5" s="506" customFormat="1" x14ac:dyDescent="0.2">
      <c r="A31" s="512">
        <v>7</v>
      </c>
      <c r="B31" s="511" t="s">
        <v>728</v>
      </c>
      <c r="C31" s="514">
        <v>11129535</v>
      </c>
      <c r="D31" s="518">
        <v>8854899</v>
      </c>
      <c r="E31" s="514">
        <f t="shared" si="1"/>
        <v>-2274636</v>
      </c>
    </row>
    <row r="32" spans="1:5" s="506" customFormat="1" x14ac:dyDescent="0.2">
      <c r="A32" s="512"/>
      <c r="B32" s="516" t="s">
        <v>749</v>
      </c>
      <c r="C32" s="517">
        <f>SUM(C26+C27+C30)</f>
        <v>165803890</v>
      </c>
      <c r="D32" s="517">
        <f>SUM(D26+D27+D30)</f>
        <v>166604318</v>
      </c>
      <c r="E32" s="517">
        <f t="shared" si="1"/>
        <v>800428</v>
      </c>
    </row>
    <row r="33" spans="1:5" s="506" customFormat="1" x14ac:dyDescent="0.2">
      <c r="A33" s="512"/>
      <c r="B33" s="516" t="s">
        <v>693</v>
      </c>
      <c r="C33" s="517">
        <f>SUM(C25+C32)</f>
        <v>310125616</v>
      </c>
      <c r="D33" s="517">
        <f>SUM(D25+D32)</f>
        <v>298395253</v>
      </c>
      <c r="E33" s="517">
        <f t="shared" si="1"/>
        <v>-11730363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295361960</v>
      </c>
      <c r="D36" s="514">
        <f t="shared" si="2"/>
        <v>280737111</v>
      </c>
      <c r="E36" s="514">
        <f t="shared" ref="E36:E44" si="3">D36-C36</f>
        <v>-14624849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404726863</v>
      </c>
      <c r="D37" s="514">
        <f t="shared" si="2"/>
        <v>388396855</v>
      </c>
      <c r="E37" s="514">
        <f t="shared" si="3"/>
        <v>-16330008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143558542</v>
      </c>
      <c r="D38" s="514">
        <f t="shared" si="2"/>
        <v>145760085</v>
      </c>
      <c r="E38" s="514">
        <f t="shared" si="3"/>
        <v>2201543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107535583</v>
      </c>
      <c r="D39" s="514">
        <f t="shared" si="2"/>
        <v>108682556</v>
      </c>
      <c r="E39" s="514">
        <f t="shared" si="3"/>
        <v>1146973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36022959</v>
      </c>
      <c r="D40" s="514">
        <f t="shared" si="2"/>
        <v>37077529</v>
      </c>
      <c r="E40" s="514">
        <f t="shared" si="3"/>
        <v>1054570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1266902</v>
      </c>
      <c r="D41" s="514">
        <f t="shared" si="2"/>
        <v>873876</v>
      </c>
      <c r="E41" s="514">
        <f t="shared" si="3"/>
        <v>-393026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19996563</v>
      </c>
      <c r="D42" s="514">
        <f t="shared" si="2"/>
        <v>16351062</v>
      </c>
      <c r="E42" s="514">
        <f t="shared" si="3"/>
        <v>-3645501</v>
      </c>
    </row>
    <row r="43" spans="1:5" s="506" customFormat="1" x14ac:dyDescent="0.2">
      <c r="A43" s="512"/>
      <c r="B43" s="516" t="s">
        <v>757</v>
      </c>
      <c r="C43" s="517">
        <f>SUM(C37+C38+C41)</f>
        <v>549552307</v>
      </c>
      <c r="D43" s="517">
        <f>SUM(D37+D38+D41)</f>
        <v>535030816</v>
      </c>
      <c r="E43" s="517">
        <f t="shared" si="3"/>
        <v>-14521491</v>
      </c>
    </row>
    <row r="44" spans="1:5" s="506" customFormat="1" x14ac:dyDescent="0.2">
      <c r="A44" s="512"/>
      <c r="B44" s="516" t="s">
        <v>695</v>
      </c>
      <c r="C44" s="517">
        <f>SUM(C36+C43)</f>
        <v>844914267</v>
      </c>
      <c r="D44" s="517">
        <f>SUM(D36+D43)</f>
        <v>815767927</v>
      </c>
      <c r="E44" s="517">
        <f t="shared" si="3"/>
        <v>-29146340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51625908</v>
      </c>
      <c r="D47" s="513">
        <v>50858087</v>
      </c>
      <c r="E47" s="514">
        <f t="shared" ref="E47:E55" si="4">D47-C47</f>
        <v>-767821</v>
      </c>
    </row>
    <row r="48" spans="1:5" s="506" customFormat="1" x14ac:dyDescent="0.2">
      <c r="A48" s="512">
        <v>2</v>
      </c>
      <c r="B48" s="511" t="s">
        <v>600</v>
      </c>
      <c r="C48" s="513">
        <v>85316492</v>
      </c>
      <c r="D48" s="515">
        <v>80921944</v>
      </c>
      <c r="E48" s="514">
        <f t="shared" si="4"/>
        <v>-4394548</v>
      </c>
    </row>
    <row r="49" spans="1:5" s="506" customFormat="1" x14ac:dyDescent="0.2">
      <c r="A49" s="512">
        <v>3</v>
      </c>
      <c r="B49" s="511" t="s">
        <v>746</v>
      </c>
      <c r="C49" s="513">
        <v>13636765</v>
      </c>
      <c r="D49" s="515">
        <v>12984710</v>
      </c>
      <c r="E49" s="514">
        <f t="shared" si="4"/>
        <v>-652055</v>
      </c>
    </row>
    <row r="50" spans="1:5" s="506" customFormat="1" x14ac:dyDescent="0.2">
      <c r="A50" s="512">
        <v>4</v>
      </c>
      <c r="B50" s="511" t="s">
        <v>114</v>
      </c>
      <c r="C50" s="513">
        <v>12098394</v>
      </c>
      <c r="D50" s="515">
        <v>10693504</v>
      </c>
      <c r="E50" s="514">
        <f t="shared" si="4"/>
        <v>-1404890</v>
      </c>
    </row>
    <row r="51" spans="1:5" s="506" customFormat="1" x14ac:dyDescent="0.2">
      <c r="A51" s="512">
        <v>5</v>
      </c>
      <c r="B51" s="511" t="s">
        <v>713</v>
      </c>
      <c r="C51" s="513">
        <v>1538371</v>
      </c>
      <c r="D51" s="515">
        <v>2291206</v>
      </c>
      <c r="E51" s="514">
        <f t="shared" si="4"/>
        <v>752835</v>
      </c>
    </row>
    <row r="52" spans="1:5" s="506" customFormat="1" x14ac:dyDescent="0.2">
      <c r="A52" s="512">
        <v>6</v>
      </c>
      <c r="B52" s="511" t="s">
        <v>418</v>
      </c>
      <c r="C52" s="513">
        <v>106979</v>
      </c>
      <c r="D52" s="515">
        <v>100569</v>
      </c>
      <c r="E52" s="514">
        <f t="shared" si="4"/>
        <v>-6410</v>
      </c>
    </row>
    <row r="53" spans="1:5" s="506" customFormat="1" x14ac:dyDescent="0.2">
      <c r="A53" s="512">
        <v>7</v>
      </c>
      <c r="B53" s="511" t="s">
        <v>728</v>
      </c>
      <c r="C53" s="513">
        <v>1031285</v>
      </c>
      <c r="D53" s="515">
        <v>105638</v>
      </c>
      <c r="E53" s="514">
        <f t="shared" si="4"/>
        <v>-925647</v>
      </c>
    </row>
    <row r="54" spans="1:5" s="506" customFormat="1" x14ac:dyDescent="0.2">
      <c r="A54" s="512"/>
      <c r="B54" s="516" t="s">
        <v>759</v>
      </c>
      <c r="C54" s="517">
        <f>SUM(C48+C49+C52)</f>
        <v>99060236</v>
      </c>
      <c r="D54" s="517">
        <f>SUM(D48+D49+D52)</f>
        <v>94007223</v>
      </c>
      <c r="E54" s="517">
        <f t="shared" si="4"/>
        <v>-5053013</v>
      </c>
    </row>
    <row r="55" spans="1:5" s="506" customFormat="1" x14ac:dyDescent="0.2">
      <c r="A55" s="512"/>
      <c r="B55" s="516" t="s">
        <v>688</v>
      </c>
      <c r="C55" s="517">
        <f>SUM(C47+C54)</f>
        <v>150686144</v>
      </c>
      <c r="D55" s="517">
        <f>SUM(D47+D54)</f>
        <v>144865310</v>
      </c>
      <c r="E55" s="517">
        <f t="shared" si="4"/>
        <v>-5820834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41891765</v>
      </c>
      <c r="D58" s="513">
        <v>38274902</v>
      </c>
      <c r="E58" s="514">
        <f t="shared" ref="E58:E66" si="5">D58-C58</f>
        <v>-3616863</v>
      </c>
    </row>
    <row r="59" spans="1:5" s="506" customFormat="1" x14ac:dyDescent="0.2">
      <c r="A59" s="512">
        <v>2</v>
      </c>
      <c r="B59" s="511" t="s">
        <v>600</v>
      </c>
      <c r="C59" s="513">
        <v>20105533</v>
      </c>
      <c r="D59" s="515">
        <v>18596203</v>
      </c>
      <c r="E59" s="514">
        <f t="shared" si="5"/>
        <v>-1509330</v>
      </c>
    </row>
    <row r="60" spans="1:5" s="506" customFormat="1" x14ac:dyDescent="0.2">
      <c r="A60" s="512">
        <v>3</v>
      </c>
      <c r="B60" s="511" t="s">
        <v>746</v>
      </c>
      <c r="C60" s="513">
        <f>C61+C62</f>
        <v>10926237</v>
      </c>
      <c r="D60" s="515">
        <f>D61+D62</f>
        <v>10108351</v>
      </c>
      <c r="E60" s="514">
        <f t="shared" si="5"/>
        <v>-817886</v>
      </c>
    </row>
    <row r="61" spans="1:5" s="506" customFormat="1" x14ac:dyDescent="0.2">
      <c r="A61" s="512">
        <v>4</v>
      </c>
      <c r="B61" s="511" t="s">
        <v>114</v>
      </c>
      <c r="C61" s="513">
        <v>9525170</v>
      </c>
      <c r="D61" s="515">
        <v>8793978</v>
      </c>
      <c r="E61" s="514">
        <f t="shared" si="5"/>
        <v>-731192</v>
      </c>
    </row>
    <row r="62" spans="1:5" s="506" customFormat="1" x14ac:dyDescent="0.2">
      <c r="A62" s="512">
        <v>5</v>
      </c>
      <c r="B62" s="511" t="s">
        <v>713</v>
      </c>
      <c r="C62" s="513">
        <v>1401067</v>
      </c>
      <c r="D62" s="515">
        <v>1314373</v>
      </c>
      <c r="E62" s="514">
        <f t="shared" si="5"/>
        <v>-86694</v>
      </c>
    </row>
    <row r="63" spans="1:5" s="506" customFormat="1" x14ac:dyDescent="0.2">
      <c r="A63" s="512">
        <v>6</v>
      </c>
      <c r="B63" s="511" t="s">
        <v>418</v>
      </c>
      <c r="C63" s="513">
        <v>137976</v>
      </c>
      <c r="D63" s="515">
        <v>97339</v>
      </c>
      <c r="E63" s="514">
        <f t="shared" si="5"/>
        <v>-40637</v>
      </c>
    </row>
    <row r="64" spans="1:5" s="506" customFormat="1" x14ac:dyDescent="0.2">
      <c r="A64" s="512">
        <v>7</v>
      </c>
      <c r="B64" s="511" t="s">
        <v>728</v>
      </c>
      <c r="C64" s="513">
        <v>3642339</v>
      </c>
      <c r="D64" s="515">
        <v>608463</v>
      </c>
      <c r="E64" s="514">
        <f t="shared" si="5"/>
        <v>-3033876</v>
      </c>
    </row>
    <row r="65" spans="1:5" s="506" customFormat="1" x14ac:dyDescent="0.2">
      <c r="A65" s="512"/>
      <c r="B65" s="516" t="s">
        <v>761</v>
      </c>
      <c r="C65" s="517">
        <f>SUM(C59+C60+C63)</f>
        <v>31169746</v>
      </c>
      <c r="D65" s="517">
        <f>SUM(D59+D60+D63)</f>
        <v>28801893</v>
      </c>
      <c r="E65" s="517">
        <f t="shared" si="5"/>
        <v>-2367853</v>
      </c>
    </row>
    <row r="66" spans="1:5" s="506" customFormat="1" x14ac:dyDescent="0.2">
      <c r="A66" s="512"/>
      <c r="B66" s="516" t="s">
        <v>694</v>
      </c>
      <c r="C66" s="517">
        <f>SUM(C58+C65)</f>
        <v>73061511</v>
      </c>
      <c r="D66" s="517">
        <f>SUM(D58+D65)</f>
        <v>67076795</v>
      </c>
      <c r="E66" s="517">
        <f t="shared" si="5"/>
        <v>-5984716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93517673</v>
      </c>
      <c r="D69" s="514">
        <f t="shared" si="6"/>
        <v>89132989</v>
      </c>
      <c r="E69" s="514">
        <f t="shared" ref="E69:E77" si="7">D69-C69</f>
        <v>-4384684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105422025</v>
      </c>
      <c r="D70" s="514">
        <f t="shared" si="6"/>
        <v>99518147</v>
      </c>
      <c r="E70" s="514">
        <f t="shared" si="7"/>
        <v>-5903878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24563002</v>
      </c>
      <c r="D71" s="514">
        <f t="shared" si="6"/>
        <v>23093061</v>
      </c>
      <c r="E71" s="514">
        <f t="shared" si="7"/>
        <v>-1469941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21623564</v>
      </c>
      <c r="D72" s="514">
        <f t="shared" si="6"/>
        <v>19487482</v>
      </c>
      <c r="E72" s="514">
        <f t="shared" si="7"/>
        <v>-2136082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2939438</v>
      </c>
      <c r="D73" s="514">
        <f t="shared" si="6"/>
        <v>3605579</v>
      </c>
      <c r="E73" s="514">
        <f t="shared" si="7"/>
        <v>666141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244955</v>
      </c>
      <c r="D74" s="514">
        <f t="shared" si="6"/>
        <v>197908</v>
      </c>
      <c r="E74" s="514">
        <f t="shared" si="7"/>
        <v>-47047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4673624</v>
      </c>
      <c r="D75" s="514">
        <f t="shared" si="6"/>
        <v>714101</v>
      </c>
      <c r="E75" s="514">
        <f t="shared" si="7"/>
        <v>-3959523</v>
      </c>
    </row>
    <row r="76" spans="1:5" s="506" customFormat="1" x14ac:dyDescent="0.2">
      <c r="A76" s="512"/>
      <c r="B76" s="516" t="s">
        <v>762</v>
      </c>
      <c r="C76" s="517">
        <f>SUM(C70+C71+C74)</f>
        <v>130229982</v>
      </c>
      <c r="D76" s="517">
        <f>SUM(D70+D71+D74)</f>
        <v>122809116</v>
      </c>
      <c r="E76" s="517">
        <f t="shared" si="7"/>
        <v>-7420866</v>
      </c>
    </row>
    <row r="77" spans="1:5" s="506" customFormat="1" x14ac:dyDescent="0.2">
      <c r="A77" s="512"/>
      <c r="B77" s="516" t="s">
        <v>696</v>
      </c>
      <c r="C77" s="517">
        <f>SUM(C69+C76)</f>
        <v>223747655</v>
      </c>
      <c r="D77" s="517">
        <f>SUM(D69+D76)</f>
        <v>211942105</v>
      </c>
      <c r="E77" s="517">
        <f t="shared" si="7"/>
        <v>-11805550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0.17876397629820115</v>
      </c>
      <c r="D83" s="523">
        <f t="shared" si="8"/>
        <v>0.18258400590441454</v>
      </c>
      <c r="E83" s="523">
        <f t="shared" ref="E83:E91" si="9">D83-C83</f>
        <v>3.8200296062133876E-3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0.36297863816282322</v>
      </c>
      <c r="D84" s="523">
        <f t="shared" si="8"/>
        <v>0.35462718062952236</v>
      </c>
      <c r="E84" s="523">
        <f t="shared" si="9"/>
        <v>-8.3514575333008545E-3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9.0257175169702747E-2</v>
      </c>
      <c r="D85" s="523">
        <f t="shared" si="8"/>
        <v>9.6472433390973458E-2</v>
      </c>
      <c r="E85" s="523">
        <f t="shared" si="9"/>
        <v>6.2152582212707114E-3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6.6608600656994227E-2</v>
      </c>
      <c r="D86" s="523">
        <f t="shared" si="8"/>
        <v>7.0708031157983978E-2</v>
      </c>
      <c r="E86" s="523">
        <f t="shared" si="9"/>
        <v>4.0994305009897508E-3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2.364857451270852E-2</v>
      </c>
      <c r="D87" s="523">
        <f t="shared" si="8"/>
        <v>2.5764402232989481E-2</v>
      </c>
      <c r="E87" s="523">
        <f t="shared" si="9"/>
        <v>2.1158277202809606E-3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9.5040648662641179E-4</v>
      </c>
      <c r="D88" s="523">
        <f t="shared" si="8"/>
        <v>5.3189269354542786E-4</v>
      </c>
      <c r="E88" s="523">
        <f t="shared" si="9"/>
        <v>-4.1851379308098394E-4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1.0494589032664542E-2</v>
      </c>
      <c r="D89" s="523">
        <f t="shared" si="8"/>
        <v>9.1890876705183339E-3</v>
      </c>
      <c r="E89" s="523">
        <f t="shared" si="9"/>
        <v>-1.3055013621462077E-3</v>
      </c>
    </row>
    <row r="90" spans="1:5" s="506" customFormat="1" x14ac:dyDescent="0.2">
      <c r="A90" s="512"/>
      <c r="B90" s="516" t="s">
        <v>765</v>
      </c>
      <c r="C90" s="524">
        <f>SUM(C84+C85+C88)</f>
        <v>0.45418621981915236</v>
      </c>
      <c r="D90" s="524">
        <f>SUM(D84+D85+D88)</f>
        <v>0.45163150671404123</v>
      </c>
      <c r="E90" s="525">
        <f t="shared" si="9"/>
        <v>-2.5547131051111283E-3</v>
      </c>
    </row>
    <row r="91" spans="1:5" s="506" customFormat="1" x14ac:dyDescent="0.2">
      <c r="A91" s="512"/>
      <c r="B91" s="516" t="s">
        <v>766</v>
      </c>
      <c r="C91" s="524">
        <f>SUM(C83+C90)</f>
        <v>0.63295019611735348</v>
      </c>
      <c r="D91" s="524">
        <f>SUM(D83+D90)</f>
        <v>0.63421551261845577</v>
      </c>
      <c r="E91" s="525">
        <f t="shared" si="9"/>
        <v>1.2653165011022871E-3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0.1708122724834992</v>
      </c>
      <c r="D95" s="523">
        <f t="shared" si="10"/>
        <v>0.16155444537353084</v>
      </c>
      <c r="E95" s="523">
        <f t="shared" ref="E95:E103" si="11">D95-C95</f>
        <v>-9.257827109968364E-3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0.11603666410807571</v>
      </c>
      <c r="D96" s="523">
        <f t="shared" si="10"/>
        <v>0.12148476511506685</v>
      </c>
      <c r="E96" s="523">
        <f t="shared" si="11"/>
        <v>5.4481010069911406E-3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7.9651829337614916E-2</v>
      </c>
      <c r="D97" s="523">
        <f t="shared" si="10"/>
        <v>8.2205938454356517E-2</v>
      </c>
      <c r="E97" s="523">
        <f t="shared" si="11"/>
        <v>2.5541091167416013E-3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6.0665357423772798E-2</v>
      </c>
      <c r="D98" s="523">
        <f t="shared" si="10"/>
        <v>6.2519265972563784E-2</v>
      </c>
      <c r="E98" s="523">
        <f t="shared" si="11"/>
        <v>1.8539085487909862E-3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1.8986471913842118E-2</v>
      </c>
      <c r="D99" s="523">
        <f t="shared" si="10"/>
        <v>1.968667248179273E-2</v>
      </c>
      <c r="E99" s="523">
        <f t="shared" si="11"/>
        <v>7.0020056795061167E-4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5.4903795345664344E-4</v>
      </c>
      <c r="D100" s="523">
        <f t="shared" si="10"/>
        <v>5.3933843859002312E-4</v>
      </c>
      <c r="E100" s="523">
        <f t="shared" si="11"/>
        <v>-9.6995148666203157E-6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1.3172383796426058E-2</v>
      </c>
      <c r="D101" s="523">
        <f t="shared" si="10"/>
        <v>1.0854679017063145E-2</v>
      </c>
      <c r="E101" s="523">
        <f t="shared" si="11"/>
        <v>-2.317704779362913E-3</v>
      </c>
    </row>
    <row r="102" spans="1:5" s="506" customFormat="1" x14ac:dyDescent="0.2">
      <c r="A102" s="512"/>
      <c r="B102" s="516" t="s">
        <v>768</v>
      </c>
      <c r="C102" s="524">
        <f>SUM(C96+C97+C100)</f>
        <v>0.19623753139914726</v>
      </c>
      <c r="D102" s="524">
        <f>SUM(D96+D97+D100)</f>
        <v>0.2042300420080134</v>
      </c>
      <c r="E102" s="525">
        <f t="shared" si="11"/>
        <v>7.9925106088661324E-3</v>
      </c>
    </row>
    <row r="103" spans="1:5" s="506" customFormat="1" x14ac:dyDescent="0.2">
      <c r="A103" s="512"/>
      <c r="B103" s="516" t="s">
        <v>769</v>
      </c>
      <c r="C103" s="524">
        <f>SUM(C95+C102)</f>
        <v>0.36704980388264646</v>
      </c>
      <c r="D103" s="524">
        <f>SUM(D95+D102)</f>
        <v>0.36578448738154423</v>
      </c>
      <c r="E103" s="525">
        <f t="shared" si="11"/>
        <v>-1.2653165011022316E-3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0.23073273326596427</v>
      </c>
      <c r="D109" s="523">
        <f t="shared" si="12"/>
        <v>0.23996216797035208</v>
      </c>
      <c r="E109" s="523">
        <f t="shared" ref="E109:E117" si="13">D109-C109</f>
        <v>9.2294347043878067E-3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0.38130675380709578</v>
      </c>
      <c r="D110" s="523">
        <f t="shared" si="12"/>
        <v>0.38181155179146681</v>
      </c>
      <c r="E110" s="523">
        <f t="shared" si="13"/>
        <v>5.0479798437103041E-4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6.0947074506769693E-2</v>
      </c>
      <c r="D111" s="523">
        <f t="shared" si="12"/>
        <v>6.1265363010337186E-2</v>
      </c>
      <c r="E111" s="523">
        <f t="shared" si="13"/>
        <v>3.1828850356749316E-4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5.4071601331419542E-2</v>
      </c>
      <c r="D112" s="523">
        <f t="shared" si="12"/>
        <v>5.0454835295704929E-2</v>
      </c>
      <c r="E112" s="523">
        <f t="shared" si="13"/>
        <v>-3.6167660357146122E-3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6.8754731753501502E-3</v>
      </c>
      <c r="D113" s="523">
        <f t="shared" si="12"/>
        <v>1.0810527714632258E-2</v>
      </c>
      <c r="E113" s="523">
        <f t="shared" si="13"/>
        <v>3.935054539282108E-3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4.7812344670159781E-4</v>
      </c>
      <c r="D114" s="523">
        <f t="shared" si="12"/>
        <v>4.7451165968177963E-4</v>
      </c>
      <c r="E114" s="523">
        <f t="shared" si="13"/>
        <v>-3.6117870198181749E-6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4.609143277948544E-3</v>
      </c>
      <c r="D115" s="523">
        <f t="shared" si="12"/>
        <v>4.9842856849987411E-4</v>
      </c>
      <c r="E115" s="523">
        <f t="shared" si="13"/>
        <v>-4.1107147094486696E-3</v>
      </c>
    </row>
    <row r="116" spans="1:5" s="506" customFormat="1" x14ac:dyDescent="0.2">
      <c r="A116" s="512"/>
      <c r="B116" s="516" t="s">
        <v>765</v>
      </c>
      <c r="C116" s="524">
        <f>SUM(C110+C111+C114)</f>
        <v>0.44273195176056707</v>
      </c>
      <c r="D116" s="524">
        <f>SUM(D110+D111+D114)</f>
        <v>0.44355142646148576</v>
      </c>
      <c r="E116" s="525">
        <f t="shared" si="13"/>
        <v>8.1947470091869867E-4</v>
      </c>
    </row>
    <row r="117" spans="1:5" s="506" customFormat="1" x14ac:dyDescent="0.2">
      <c r="A117" s="512"/>
      <c r="B117" s="516" t="s">
        <v>766</v>
      </c>
      <c r="C117" s="524">
        <f>SUM(C109+C116)</f>
        <v>0.67346468502653134</v>
      </c>
      <c r="D117" s="524">
        <f>SUM(D109+D116)</f>
        <v>0.68351359443183779</v>
      </c>
      <c r="E117" s="525">
        <f t="shared" si="13"/>
        <v>1.004890940530645E-2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0.18722772759339087</v>
      </c>
      <c r="D121" s="523">
        <f t="shared" si="14"/>
        <v>0.18059130817824046</v>
      </c>
      <c r="E121" s="523">
        <f t="shared" ref="E121:E129" si="15">D121-C121</f>
        <v>-6.6364194151504186E-3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8.9858072479016601E-2</v>
      </c>
      <c r="D122" s="523">
        <f t="shared" si="14"/>
        <v>8.7741900081628424E-2</v>
      </c>
      <c r="E122" s="523">
        <f t="shared" si="15"/>
        <v>-2.1161723973881774E-3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4.8832855924233039E-2</v>
      </c>
      <c r="D123" s="523">
        <f t="shared" si="14"/>
        <v>4.7693925659556886E-2</v>
      </c>
      <c r="E123" s="523">
        <f t="shared" si="15"/>
        <v>-1.1389302646761523E-3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4.257103834227894E-2</v>
      </c>
      <c r="D124" s="523">
        <f t="shared" si="14"/>
        <v>4.1492359434667309E-2</v>
      </c>
      <c r="E124" s="523">
        <f t="shared" si="15"/>
        <v>-1.0786789076116313E-3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6.2618175819540989E-3</v>
      </c>
      <c r="D125" s="523">
        <f t="shared" si="14"/>
        <v>6.2015662248895752E-3</v>
      </c>
      <c r="E125" s="523">
        <f t="shared" si="15"/>
        <v>-6.0251357064523663E-5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6.1665897682815934E-4</v>
      </c>
      <c r="D126" s="523">
        <f t="shared" si="14"/>
        <v>4.5927164873633768E-4</v>
      </c>
      <c r="E126" s="523">
        <f t="shared" si="15"/>
        <v>-1.5738732809182166E-4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1.627878066476272E-2</v>
      </c>
      <c r="D127" s="523">
        <f t="shared" si="14"/>
        <v>2.8708925015159211E-3</v>
      </c>
      <c r="E127" s="523">
        <f t="shared" si="15"/>
        <v>-1.34078881632468E-2</v>
      </c>
    </row>
    <row r="128" spans="1:5" s="506" customFormat="1" x14ac:dyDescent="0.2">
      <c r="A128" s="512"/>
      <c r="B128" s="516" t="s">
        <v>768</v>
      </c>
      <c r="C128" s="524">
        <f>SUM(C122+C123+C126)</f>
        <v>0.13930758738007781</v>
      </c>
      <c r="D128" s="524">
        <f>SUM(D122+D123+D126)</f>
        <v>0.13589509738992164</v>
      </c>
      <c r="E128" s="525">
        <f t="shared" si="15"/>
        <v>-3.41248999015617E-3</v>
      </c>
    </row>
    <row r="129" spans="1:5" s="506" customFormat="1" x14ac:dyDescent="0.2">
      <c r="A129" s="512"/>
      <c r="B129" s="516" t="s">
        <v>769</v>
      </c>
      <c r="C129" s="524">
        <f>SUM(C121+C128)</f>
        <v>0.32653531497346866</v>
      </c>
      <c r="D129" s="524">
        <f>SUM(D121+D128)</f>
        <v>0.3164864055681621</v>
      </c>
      <c r="E129" s="525">
        <f t="shared" si="15"/>
        <v>-1.0048909405306561E-2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1</v>
      </c>
      <c r="D131" s="525">
        <f>D117+D129</f>
        <v>0.99999999999999989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4524</v>
      </c>
      <c r="D137" s="530">
        <v>3968</v>
      </c>
      <c r="E137" s="531">
        <f t="shared" ref="E137:E145" si="16">D137-C137</f>
        <v>-556</v>
      </c>
    </row>
    <row r="138" spans="1:5" s="506" customFormat="1" x14ac:dyDescent="0.2">
      <c r="A138" s="512">
        <v>2</v>
      </c>
      <c r="B138" s="511" t="s">
        <v>600</v>
      </c>
      <c r="C138" s="530">
        <v>6496</v>
      </c>
      <c r="D138" s="530">
        <v>6077</v>
      </c>
      <c r="E138" s="531">
        <f t="shared" si="16"/>
        <v>-419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2881</v>
      </c>
      <c r="D139" s="530">
        <f>D140+D141</f>
        <v>2991</v>
      </c>
      <c r="E139" s="531">
        <f t="shared" si="16"/>
        <v>110</v>
      </c>
    </row>
    <row r="140" spans="1:5" s="506" customFormat="1" x14ac:dyDescent="0.2">
      <c r="A140" s="512">
        <v>4</v>
      </c>
      <c r="B140" s="511" t="s">
        <v>114</v>
      </c>
      <c r="C140" s="530">
        <v>2363</v>
      </c>
      <c r="D140" s="530">
        <v>2411</v>
      </c>
      <c r="E140" s="531">
        <f t="shared" si="16"/>
        <v>48</v>
      </c>
    </row>
    <row r="141" spans="1:5" s="506" customFormat="1" x14ac:dyDescent="0.2">
      <c r="A141" s="512">
        <v>5</v>
      </c>
      <c r="B141" s="511" t="s">
        <v>713</v>
      </c>
      <c r="C141" s="530">
        <v>518</v>
      </c>
      <c r="D141" s="530">
        <v>580</v>
      </c>
      <c r="E141" s="531">
        <f t="shared" si="16"/>
        <v>62</v>
      </c>
    </row>
    <row r="142" spans="1:5" s="506" customFormat="1" x14ac:dyDescent="0.2">
      <c r="A142" s="512">
        <v>6</v>
      </c>
      <c r="B142" s="511" t="s">
        <v>418</v>
      </c>
      <c r="C142" s="530">
        <v>15</v>
      </c>
      <c r="D142" s="530">
        <v>10</v>
      </c>
      <c r="E142" s="531">
        <f t="shared" si="16"/>
        <v>-5</v>
      </c>
    </row>
    <row r="143" spans="1:5" s="506" customFormat="1" x14ac:dyDescent="0.2">
      <c r="A143" s="512">
        <v>7</v>
      </c>
      <c r="B143" s="511" t="s">
        <v>728</v>
      </c>
      <c r="C143" s="530">
        <v>265</v>
      </c>
      <c r="D143" s="530">
        <v>216</v>
      </c>
      <c r="E143" s="531">
        <f t="shared" si="16"/>
        <v>-49</v>
      </c>
    </row>
    <row r="144" spans="1:5" s="506" customFormat="1" x14ac:dyDescent="0.2">
      <c r="A144" s="512"/>
      <c r="B144" s="516" t="s">
        <v>776</v>
      </c>
      <c r="C144" s="532">
        <f>SUM(C138+C139+C142)</f>
        <v>9392</v>
      </c>
      <c r="D144" s="532">
        <f>SUM(D138+D139+D142)</f>
        <v>9078</v>
      </c>
      <c r="E144" s="533">
        <f t="shared" si="16"/>
        <v>-314</v>
      </c>
    </row>
    <row r="145" spans="1:5" s="506" customFormat="1" x14ac:dyDescent="0.2">
      <c r="A145" s="512"/>
      <c r="B145" s="516" t="s">
        <v>690</v>
      </c>
      <c r="C145" s="532">
        <f>SUM(C137+C144)</f>
        <v>13916</v>
      </c>
      <c r="D145" s="532">
        <f>SUM(D137+D144)</f>
        <v>13046</v>
      </c>
      <c r="E145" s="533">
        <f t="shared" si="16"/>
        <v>-870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16368</v>
      </c>
      <c r="D149" s="534">
        <v>14259</v>
      </c>
      <c r="E149" s="531">
        <f t="shared" ref="E149:E157" si="17">D149-C149</f>
        <v>-2109</v>
      </c>
    </row>
    <row r="150" spans="1:5" s="506" customFormat="1" x14ac:dyDescent="0.2">
      <c r="A150" s="512">
        <v>2</v>
      </c>
      <c r="B150" s="511" t="s">
        <v>600</v>
      </c>
      <c r="C150" s="534">
        <v>38627</v>
      </c>
      <c r="D150" s="534">
        <v>32894</v>
      </c>
      <c r="E150" s="531">
        <f t="shared" si="17"/>
        <v>-5733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12568</v>
      </c>
      <c r="D151" s="534">
        <f>D152+D153</f>
        <v>12076</v>
      </c>
      <c r="E151" s="531">
        <f t="shared" si="17"/>
        <v>-492</v>
      </c>
    </row>
    <row r="152" spans="1:5" s="506" customFormat="1" x14ac:dyDescent="0.2">
      <c r="A152" s="512">
        <v>4</v>
      </c>
      <c r="B152" s="511" t="s">
        <v>114</v>
      </c>
      <c r="C152" s="534">
        <v>9943</v>
      </c>
      <c r="D152" s="534">
        <v>9412</v>
      </c>
      <c r="E152" s="531">
        <f t="shared" si="17"/>
        <v>-531</v>
      </c>
    </row>
    <row r="153" spans="1:5" s="506" customFormat="1" x14ac:dyDescent="0.2">
      <c r="A153" s="512">
        <v>5</v>
      </c>
      <c r="B153" s="511" t="s">
        <v>713</v>
      </c>
      <c r="C153" s="535">
        <v>2625</v>
      </c>
      <c r="D153" s="534">
        <v>2664</v>
      </c>
      <c r="E153" s="531">
        <f t="shared" si="17"/>
        <v>39</v>
      </c>
    </row>
    <row r="154" spans="1:5" s="506" customFormat="1" x14ac:dyDescent="0.2">
      <c r="A154" s="512">
        <v>6</v>
      </c>
      <c r="B154" s="511" t="s">
        <v>418</v>
      </c>
      <c r="C154" s="534">
        <v>119</v>
      </c>
      <c r="D154" s="534">
        <v>42</v>
      </c>
      <c r="E154" s="531">
        <f t="shared" si="17"/>
        <v>-77</v>
      </c>
    </row>
    <row r="155" spans="1:5" s="506" customFormat="1" x14ac:dyDescent="0.2">
      <c r="A155" s="512">
        <v>7</v>
      </c>
      <c r="B155" s="511" t="s">
        <v>728</v>
      </c>
      <c r="C155" s="534">
        <v>1146</v>
      </c>
      <c r="D155" s="534">
        <v>824</v>
      </c>
      <c r="E155" s="531">
        <f t="shared" si="17"/>
        <v>-322</v>
      </c>
    </row>
    <row r="156" spans="1:5" s="506" customFormat="1" x14ac:dyDescent="0.2">
      <c r="A156" s="512"/>
      <c r="B156" s="516" t="s">
        <v>777</v>
      </c>
      <c r="C156" s="532">
        <f>SUM(C150+C151+C154)</f>
        <v>51314</v>
      </c>
      <c r="D156" s="532">
        <f>SUM(D150+D151+D154)</f>
        <v>45012</v>
      </c>
      <c r="E156" s="533">
        <f t="shared" si="17"/>
        <v>-6302</v>
      </c>
    </row>
    <row r="157" spans="1:5" s="506" customFormat="1" x14ac:dyDescent="0.2">
      <c r="A157" s="512"/>
      <c r="B157" s="516" t="s">
        <v>778</v>
      </c>
      <c r="C157" s="532">
        <f>SUM(C149+C156)</f>
        <v>67682</v>
      </c>
      <c r="D157" s="532">
        <f>SUM(D149+D156)</f>
        <v>59271</v>
      </c>
      <c r="E157" s="533">
        <f t="shared" si="17"/>
        <v>-8411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3.6180371352785148</v>
      </c>
      <c r="D161" s="536">
        <f t="shared" si="18"/>
        <v>3.5934979838709675</v>
      </c>
      <c r="E161" s="537">
        <f t="shared" ref="E161:E169" si="19">D161-C161</f>
        <v>-2.4539151407547255E-2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5.9462746305418719</v>
      </c>
      <c r="D162" s="536">
        <f t="shared" si="18"/>
        <v>5.4128681915418788</v>
      </c>
      <c r="E162" s="537">
        <f t="shared" si="19"/>
        <v>-0.53340643899999307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4.3623741756334606</v>
      </c>
      <c r="D163" s="536">
        <f t="shared" si="18"/>
        <v>4.0374456703443666</v>
      </c>
      <c r="E163" s="537">
        <f t="shared" si="19"/>
        <v>-0.32492850528909401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4.2077867118070253</v>
      </c>
      <c r="D164" s="536">
        <f t="shared" si="18"/>
        <v>3.9037743674823724</v>
      </c>
      <c r="E164" s="537">
        <f t="shared" si="19"/>
        <v>-0.30401234432465296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5.0675675675675675</v>
      </c>
      <c r="D165" s="536">
        <f t="shared" si="18"/>
        <v>4.5931034482758619</v>
      </c>
      <c r="E165" s="537">
        <f t="shared" si="19"/>
        <v>-0.47446411929170562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7.9333333333333336</v>
      </c>
      <c r="D166" s="536">
        <f t="shared" si="18"/>
        <v>4.2</v>
      </c>
      <c r="E166" s="537">
        <f t="shared" si="19"/>
        <v>-3.7333333333333334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4.3245283018867928</v>
      </c>
      <c r="D167" s="536">
        <f t="shared" si="18"/>
        <v>3.8148148148148149</v>
      </c>
      <c r="E167" s="537">
        <f t="shared" si="19"/>
        <v>-0.50971348707197794</v>
      </c>
    </row>
    <row r="168" spans="1:5" s="506" customFormat="1" x14ac:dyDescent="0.2">
      <c r="A168" s="512"/>
      <c r="B168" s="516" t="s">
        <v>780</v>
      </c>
      <c r="C168" s="538">
        <f t="shared" si="18"/>
        <v>5.4635860306643949</v>
      </c>
      <c r="D168" s="538">
        <f t="shared" si="18"/>
        <v>4.9583608724388633</v>
      </c>
      <c r="E168" s="539">
        <f t="shared" si="19"/>
        <v>-0.5052251582255316</v>
      </c>
    </row>
    <row r="169" spans="1:5" s="506" customFormat="1" x14ac:dyDescent="0.2">
      <c r="A169" s="512"/>
      <c r="B169" s="516" t="s">
        <v>714</v>
      </c>
      <c r="C169" s="538">
        <f t="shared" si="18"/>
        <v>4.8636102328255246</v>
      </c>
      <c r="D169" s="538">
        <f t="shared" si="18"/>
        <v>4.5432316418825698</v>
      </c>
      <c r="E169" s="539">
        <f t="shared" si="19"/>
        <v>-0.32037859094295484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1.29365</v>
      </c>
      <c r="D173" s="541">
        <f t="shared" si="20"/>
        <v>1.3151600000000001</v>
      </c>
      <c r="E173" s="542">
        <f t="shared" ref="E173:E181" si="21">D173-C173</f>
        <v>2.151000000000014E-2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1.5927</v>
      </c>
      <c r="D174" s="541">
        <f t="shared" si="20"/>
        <v>1.66675</v>
      </c>
      <c r="E174" s="542">
        <f t="shared" si="21"/>
        <v>7.4049999999999949E-2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1.7559998958694898</v>
      </c>
      <c r="D175" s="541">
        <f t="shared" si="20"/>
        <v>1.0325993981945838</v>
      </c>
      <c r="E175" s="542">
        <f t="shared" si="21"/>
        <v>-0.723400497674906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1.8863000000000001</v>
      </c>
      <c r="D176" s="541">
        <f t="shared" si="20"/>
        <v>0.99880000000000002</v>
      </c>
      <c r="E176" s="542">
        <f t="shared" si="21"/>
        <v>-0.88750000000000007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1.1616</v>
      </c>
      <c r="D177" s="541">
        <f t="shared" si="20"/>
        <v>1.1731</v>
      </c>
      <c r="E177" s="542">
        <f t="shared" si="21"/>
        <v>1.1500000000000066E-2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1.6600999999999999</v>
      </c>
      <c r="D178" s="541">
        <f t="shared" si="20"/>
        <v>1.7150000000000003</v>
      </c>
      <c r="E178" s="542">
        <f t="shared" si="21"/>
        <v>5.4900000000000393E-2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1.1466000000000001</v>
      </c>
      <c r="D179" s="541">
        <f t="shared" si="20"/>
        <v>1.1609</v>
      </c>
      <c r="E179" s="542">
        <f t="shared" si="21"/>
        <v>1.4299999999999979E-2</v>
      </c>
    </row>
    <row r="180" spans="1:5" s="506" customFormat="1" x14ac:dyDescent="0.2">
      <c r="A180" s="512"/>
      <c r="B180" s="516" t="s">
        <v>782</v>
      </c>
      <c r="C180" s="543">
        <f t="shared" si="20"/>
        <v>1.6428999574105623</v>
      </c>
      <c r="D180" s="543">
        <f t="shared" si="20"/>
        <v>1.4578645681868252</v>
      </c>
      <c r="E180" s="544">
        <f t="shared" si="21"/>
        <v>-0.18503538922373708</v>
      </c>
    </row>
    <row r="181" spans="1:5" s="506" customFormat="1" x14ac:dyDescent="0.2">
      <c r="A181" s="512"/>
      <c r="B181" s="516" t="s">
        <v>691</v>
      </c>
      <c r="C181" s="543">
        <f t="shared" si="20"/>
        <v>1.5293610951422822</v>
      </c>
      <c r="D181" s="543">
        <f t="shared" si="20"/>
        <v>1.414460327303388</v>
      </c>
      <c r="E181" s="544">
        <f t="shared" si="21"/>
        <v>-0.11490076783889425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784</v>
      </c>
      <c r="C185" s="513">
        <v>275365397</v>
      </c>
      <c r="D185" s="513">
        <v>264386049</v>
      </c>
      <c r="E185" s="514">
        <f>D185-C185</f>
        <v>-10979348</v>
      </c>
    </row>
    <row r="186" spans="1:5" s="506" customFormat="1" ht="25.5" x14ac:dyDescent="0.2">
      <c r="A186" s="512">
        <v>2</v>
      </c>
      <c r="B186" s="511" t="s">
        <v>785</v>
      </c>
      <c r="C186" s="513">
        <v>89650520</v>
      </c>
      <c r="D186" s="513">
        <v>89678587</v>
      </c>
      <c r="E186" s="514">
        <f>D186-C186</f>
        <v>28067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185714877</v>
      </c>
      <c r="D188" s="546">
        <f>+D185-D186</f>
        <v>174707462</v>
      </c>
      <c r="E188" s="514">
        <f t="shared" ref="E188:E197" si="22">D188-C188</f>
        <v>-11007415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0.67443069834950975</v>
      </c>
      <c r="D189" s="547">
        <f>IF(D185=0,0,+D188/D185)</f>
        <v>0.66080439062803953</v>
      </c>
      <c r="E189" s="523">
        <f t="shared" si="22"/>
        <v>-1.3626307721470221E-2</v>
      </c>
    </row>
    <row r="190" spans="1:5" s="506" customFormat="1" x14ac:dyDescent="0.2">
      <c r="A190" s="512">
        <v>5</v>
      </c>
      <c r="B190" s="511" t="s">
        <v>732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718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786</v>
      </c>
      <c r="C192" s="513">
        <v>1753777</v>
      </c>
      <c r="D192" s="513">
        <v>1673113</v>
      </c>
      <c r="E192" s="546">
        <f t="shared" si="22"/>
        <v>-80664</v>
      </c>
    </row>
    <row r="193" spans="1:5" s="506" customFormat="1" x14ac:dyDescent="0.2">
      <c r="A193" s="512">
        <v>8</v>
      </c>
      <c r="B193" s="511" t="s">
        <v>787</v>
      </c>
      <c r="C193" s="513">
        <v>1809921</v>
      </c>
      <c r="D193" s="513">
        <v>1910845</v>
      </c>
      <c r="E193" s="546">
        <f t="shared" si="22"/>
        <v>100924</v>
      </c>
    </row>
    <row r="194" spans="1:5" s="506" customFormat="1" x14ac:dyDescent="0.2">
      <c r="A194" s="512">
        <v>9</v>
      </c>
      <c r="B194" s="511" t="s">
        <v>788</v>
      </c>
      <c r="C194" s="513">
        <v>14319487</v>
      </c>
      <c r="D194" s="513">
        <v>14985815</v>
      </c>
      <c r="E194" s="546">
        <f t="shared" si="22"/>
        <v>666328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16129408</v>
      </c>
      <c r="D195" s="513">
        <f>+D193+D194</f>
        <v>16896660</v>
      </c>
      <c r="E195" s="549">
        <f t="shared" si="22"/>
        <v>767252</v>
      </c>
    </row>
    <row r="196" spans="1:5" s="506" customFormat="1" x14ac:dyDescent="0.2">
      <c r="A196" s="512">
        <v>11</v>
      </c>
      <c r="B196" s="511" t="s">
        <v>790</v>
      </c>
      <c r="C196" s="513">
        <v>275365397</v>
      </c>
      <c r="D196" s="513">
        <v>264386049</v>
      </c>
      <c r="E196" s="546">
        <f t="shared" si="22"/>
        <v>-10979348</v>
      </c>
    </row>
    <row r="197" spans="1:5" s="506" customFormat="1" x14ac:dyDescent="0.2">
      <c r="A197" s="512">
        <v>12</v>
      </c>
      <c r="B197" s="511" t="s">
        <v>675</v>
      </c>
      <c r="C197" s="513">
        <v>253532594</v>
      </c>
      <c r="D197" s="513">
        <v>237519576</v>
      </c>
      <c r="E197" s="546">
        <f t="shared" si="22"/>
        <v>-16013018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5852.4726000000001</v>
      </c>
      <c r="D203" s="553">
        <v>5218.5548800000006</v>
      </c>
      <c r="E203" s="554">
        <f t="shared" ref="E203:E211" si="23">D203-C203</f>
        <v>-633.91771999999946</v>
      </c>
    </row>
    <row r="204" spans="1:5" s="506" customFormat="1" x14ac:dyDescent="0.2">
      <c r="A204" s="512">
        <v>2</v>
      </c>
      <c r="B204" s="511" t="s">
        <v>600</v>
      </c>
      <c r="C204" s="553">
        <v>10346.1792</v>
      </c>
      <c r="D204" s="553">
        <v>10128.839749999999</v>
      </c>
      <c r="E204" s="554">
        <f t="shared" si="23"/>
        <v>-217.33945000000131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5059.0357000000004</v>
      </c>
      <c r="D205" s="553">
        <f>D206+D207</f>
        <v>3088.5048000000002</v>
      </c>
      <c r="E205" s="554">
        <f t="shared" si="23"/>
        <v>-1970.5309000000002</v>
      </c>
    </row>
    <row r="206" spans="1:5" s="506" customFormat="1" x14ac:dyDescent="0.2">
      <c r="A206" s="512">
        <v>4</v>
      </c>
      <c r="B206" s="511" t="s">
        <v>114</v>
      </c>
      <c r="C206" s="553">
        <v>4457.3269</v>
      </c>
      <c r="D206" s="553">
        <v>2408.1068</v>
      </c>
      <c r="E206" s="554">
        <f t="shared" si="23"/>
        <v>-2049.2201</v>
      </c>
    </row>
    <row r="207" spans="1:5" s="506" customFormat="1" x14ac:dyDescent="0.2">
      <c r="A207" s="512">
        <v>5</v>
      </c>
      <c r="B207" s="511" t="s">
        <v>713</v>
      </c>
      <c r="C207" s="553">
        <v>601.7088</v>
      </c>
      <c r="D207" s="553">
        <v>680.39800000000002</v>
      </c>
      <c r="E207" s="554">
        <f t="shared" si="23"/>
        <v>78.689200000000028</v>
      </c>
    </row>
    <row r="208" spans="1:5" s="506" customFormat="1" x14ac:dyDescent="0.2">
      <c r="A208" s="512">
        <v>6</v>
      </c>
      <c r="B208" s="511" t="s">
        <v>418</v>
      </c>
      <c r="C208" s="553">
        <v>24.901499999999999</v>
      </c>
      <c r="D208" s="553">
        <v>17.150000000000002</v>
      </c>
      <c r="E208" s="554">
        <f t="shared" si="23"/>
        <v>-7.7514999999999965</v>
      </c>
    </row>
    <row r="209" spans="1:5" s="506" customFormat="1" x14ac:dyDescent="0.2">
      <c r="A209" s="512">
        <v>7</v>
      </c>
      <c r="B209" s="511" t="s">
        <v>728</v>
      </c>
      <c r="C209" s="553">
        <v>303.84899999999999</v>
      </c>
      <c r="D209" s="553">
        <v>250.7544</v>
      </c>
      <c r="E209" s="554">
        <f t="shared" si="23"/>
        <v>-53.094599999999986</v>
      </c>
    </row>
    <row r="210" spans="1:5" s="506" customFormat="1" x14ac:dyDescent="0.2">
      <c r="A210" s="512"/>
      <c r="B210" s="516" t="s">
        <v>793</v>
      </c>
      <c r="C210" s="555">
        <f>C204+C205+C208</f>
        <v>15430.116400000001</v>
      </c>
      <c r="D210" s="555">
        <f>D204+D205+D208</f>
        <v>13234.494549999999</v>
      </c>
      <c r="E210" s="556">
        <f t="shared" si="23"/>
        <v>-2195.6218500000014</v>
      </c>
    </row>
    <row r="211" spans="1:5" s="506" customFormat="1" x14ac:dyDescent="0.2">
      <c r="A211" s="512"/>
      <c r="B211" s="516" t="s">
        <v>692</v>
      </c>
      <c r="C211" s="555">
        <f>C210+C203</f>
        <v>21282.589</v>
      </c>
      <c r="D211" s="555">
        <f>D210+D203</f>
        <v>18453.049429999999</v>
      </c>
      <c r="E211" s="556">
        <f t="shared" si="23"/>
        <v>-2829.5395700000008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4322.7653396246724</v>
      </c>
      <c r="D215" s="557">
        <f>IF(D14*D137=0,0,D25/D14*D137)</f>
        <v>3510.9758714449977</v>
      </c>
      <c r="E215" s="557">
        <f t="shared" ref="E215:E223" si="24">D215-C215</f>
        <v>-811.78946817967471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2076.6350710367024</v>
      </c>
      <c r="D216" s="557">
        <f>IF(D15*D138=0,0,D26/D15*D138)</f>
        <v>2081.8001493673482</v>
      </c>
      <c r="E216" s="557">
        <f t="shared" si="24"/>
        <v>5.1650783306458834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2568.0390869259004</v>
      </c>
      <c r="D217" s="557">
        <f>D218+D219</f>
        <v>2574.9598556638225</v>
      </c>
      <c r="E217" s="557">
        <f t="shared" si="24"/>
        <v>6.920768737922117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2152.158102383471</v>
      </c>
      <c r="D218" s="557">
        <f t="shared" si="25"/>
        <v>2131.7797680303706</v>
      </c>
      <c r="E218" s="557">
        <f t="shared" si="24"/>
        <v>-20.378334353100399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415.88098454242925</v>
      </c>
      <c r="D219" s="557">
        <f t="shared" si="25"/>
        <v>443.18008763345188</v>
      </c>
      <c r="E219" s="557">
        <f t="shared" si="24"/>
        <v>27.29910309102263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8.6653125980682724</v>
      </c>
      <c r="D220" s="557">
        <f t="shared" si="25"/>
        <v>10.139985849306639</v>
      </c>
      <c r="E220" s="557">
        <f t="shared" si="24"/>
        <v>1.4746732512383662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332.61728450615021</v>
      </c>
      <c r="D221" s="557">
        <f t="shared" si="25"/>
        <v>255.15162677225669</v>
      </c>
      <c r="E221" s="557">
        <f t="shared" si="24"/>
        <v>-77.465657733893522</v>
      </c>
    </row>
    <row r="222" spans="1:5" s="506" customFormat="1" x14ac:dyDescent="0.2">
      <c r="A222" s="512"/>
      <c r="B222" s="516" t="s">
        <v>795</v>
      </c>
      <c r="C222" s="558">
        <f>C216+C218+C219+C220</f>
        <v>4653.3394705606715</v>
      </c>
      <c r="D222" s="558">
        <f>D216+D218+D219+D220</f>
        <v>4666.8999908804781</v>
      </c>
      <c r="E222" s="558">
        <f t="shared" si="24"/>
        <v>13.560520319806528</v>
      </c>
    </row>
    <row r="223" spans="1:5" s="506" customFormat="1" x14ac:dyDescent="0.2">
      <c r="A223" s="512"/>
      <c r="B223" s="516" t="s">
        <v>796</v>
      </c>
      <c r="C223" s="558">
        <f>C215+C222</f>
        <v>8976.1048101853448</v>
      </c>
      <c r="D223" s="558">
        <f>D215+D222</f>
        <v>8177.8758623254762</v>
      </c>
      <c r="E223" s="558">
        <f t="shared" si="24"/>
        <v>-798.22894785986864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8821.2131057221868</v>
      </c>
      <c r="D227" s="560">
        <f t="shared" si="26"/>
        <v>9745.626551693942</v>
      </c>
      <c r="E227" s="560">
        <f t="shared" ref="E227:E235" si="27">D227-C227</f>
        <v>924.41344597175521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8246.1834799845728</v>
      </c>
      <c r="D228" s="560">
        <f t="shared" si="26"/>
        <v>7989.2609615035135</v>
      </c>
      <c r="E228" s="560">
        <f t="shared" si="27"/>
        <v>-256.92251848105934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2695.5265407595361</v>
      </c>
      <c r="D229" s="560">
        <f t="shared" si="26"/>
        <v>4204.2058668647687</v>
      </c>
      <c r="E229" s="560">
        <f t="shared" si="27"/>
        <v>1508.6793261052326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2714.2711924494479</v>
      </c>
      <c r="D230" s="560">
        <f t="shared" si="26"/>
        <v>4440.6269688703178</v>
      </c>
      <c r="E230" s="560">
        <f t="shared" si="27"/>
        <v>1726.3557764208699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2556.6702697384517</v>
      </c>
      <c r="D231" s="560">
        <f t="shared" si="26"/>
        <v>3367.4496397696639</v>
      </c>
      <c r="E231" s="560">
        <f t="shared" si="27"/>
        <v>810.77937003121224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4296.0865811296508</v>
      </c>
      <c r="D232" s="560">
        <f t="shared" si="26"/>
        <v>5864.0816326530603</v>
      </c>
      <c r="E232" s="560">
        <f t="shared" si="27"/>
        <v>1567.9950515234095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3394.0707390842163</v>
      </c>
      <c r="D233" s="560">
        <f t="shared" si="26"/>
        <v>421.28074322923146</v>
      </c>
      <c r="E233" s="560">
        <f t="shared" si="27"/>
        <v>-2972.7899958549847</v>
      </c>
    </row>
    <row r="234" spans="1:5" x14ac:dyDescent="0.2">
      <c r="A234" s="512"/>
      <c r="B234" s="516" t="s">
        <v>798</v>
      </c>
      <c r="C234" s="561">
        <f t="shared" si="26"/>
        <v>6419.9279792860143</v>
      </c>
      <c r="D234" s="561">
        <f t="shared" si="26"/>
        <v>7103.1970767633138</v>
      </c>
      <c r="E234" s="561">
        <f t="shared" si="27"/>
        <v>683.26909747729951</v>
      </c>
    </row>
    <row r="235" spans="1:5" s="506" customFormat="1" x14ac:dyDescent="0.2">
      <c r="A235" s="512"/>
      <c r="B235" s="516" t="s">
        <v>799</v>
      </c>
      <c r="C235" s="561">
        <f t="shared" si="26"/>
        <v>7080.2543807052798</v>
      </c>
      <c r="D235" s="561">
        <f t="shared" si="26"/>
        <v>7850.4807863618244</v>
      </c>
      <c r="E235" s="561">
        <f t="shared" si="27"/>
        <v>770.22640565654456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9690.9643963318358</v>
      </c>
      <c r="D239" s="560">
        <f t="shared" si="28"/>
        <v>10901.499583432727</v>
      </c>
      <c r="E239" s="562">
        <f t="shared" ref="E239:E247" si="29">D239-C239</f>
        <v>1210.5351871008916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9681.7843830225174</v>
      </c>
      <c r="D240" s="560">
        <f t="shared" si="28"/>
        <v>8932.7513045146625</v>
      </c>
      <c r="E240" s="562">
        <f t="shared" si="29"/>
        <v>-749.03307850785495</v>
      </c>
    </row>
    <row r="241" spans="1:5" x14ac:dyDescent="0.2">
      <c r="A241" s="512">
        <v>3</v>
      </c>
      <c r="B241" s="511" t="s">
        <v>746</v>
      </c>
      <c r="C241" s="560">
        <f t="shared" si="28"/>
        <v>4254.7004271182541</v>
      </c>
      <c r="D241" s="560">
        <f t="shared" si="28"/>
        <v>3925.6344046552431</v>
      </c>
      <c r="E241" s="562">
        <f t="shared" si="29"/>
        <v>-329.066022463011</v>
      </c>
    </row>
    <row r="242" spans="1:5" x14ac:dyDescent="0.2">
      <c r="A242" s="512">
        <v>4</v>
      </c>
      <c r="B242" s="511" t="s">
        <v>114</v>
      </c>
      <c r="C242" s="560">
        <f t="shared" si="28"/>
        <v>4425.8690797163408</v>
      </c>
      <c r="D242" s="560">
        <f t="shared" si="28"/>
        <v>4125.181283676915</v>
      </c>
      <c r="E242" s="562">
        <f t="shared" si="29"/>
        <v>-300.68779603942585</v>
      </c>
    </row>
    <row r="243" spans="1:5" x14ac:dyDescent="0.2">
      <c r="A243" s="512">
        <v>5</v>
      </c>
      <c r="B243" s="511" t="s">
        <v>713</v>
      </c>
      <c r="C243" s="560">
        <f t="shared" si="28"/>
        <v>3368.9133479894886</v>
      </c>
      <c r="D243" s="560">
        <f t="shared" si="28"/>
        <v>2965.7762987923315</v>
      </c>
      <c r="E243" s="562">
        <f t="shared" si="29"/>
        <v>-403.13704919715701</v>
      </c>
    </row>
    <row r="244" spans="1:5" x14ac:dyDescent="0.2">
      <c r="A244" s="512">
        <v>6</v>
      </c>
      <c r="B244" s="511" t="s">
        <v>418</v>
      </c>
      <c r="C244" s="560">
        <f t="shared" si="28"/>
        <v>15922.795448921081</v>
      </c>
      <c r="D244" s="560">
        <f t="shared" si="28"/>
        <v>9599.5202997897613</v>
      </c>
      <c r="E244" s="562">
        <f t="shared" si="29"/>
        <v>-6323.2751491313193</v>
      </c>
    </row>
    <row r="245" spans="1:5" x14ac:dyDescent="0.2">
      <c r="A245" s="512">
        <v>7</v>
      </c>
      <c r="B245" s="511" t="s">
        <v>728</v>
      </c>
      <c r="C245" s="560">
        <f t="shared" si="28"/>
        <v>10950.540364755614</v>
      </c>
      <c r="D245" s="560">
        <f t="shared" si="28"/>
        <v>2384.7114270727425</v>
      </c>
      <c r="E245" s="562">
        <f t="shared" si="29"/>
        <v>-8565.8289376828725</v>
      </c>
    </row>
    <row r="246" spans="1:5" ht="25.5" x14ac:dyDescent="0.2">
      <c r="A246" s="512"/>
      <c r="B246" s="516" t="s">
        <v>801</v>
      </c>
      <c r="C246" s="561">
        <f t="shared" si="28"/>
        <v>6698.3606498505515</v>
      </c>
      <c r="D246" s="561">
        <f t="shared" si="28"/>
        <v>6171.5256500635032</v>
      </c>
      <c r="E246" s="563">
        <f t="shared" si="29"/>
        <v>-526.83499978704822</v>
      </c>
    </row>
    <row r="247" spans="1:5" x14ac:dyDescent="0.2">
      <c r="A247" s="512"/>
      <c r="B247" s="516" t="s">
        <v>802</v>
      </c>
      <c r="C247" s="561">
        <f t="shared" si="28"/>
        <v>8139.5563604711715</v>
      </c>
      <c r="D247" s="561">
        <f t="shared" si="28"/>
        <v>8202.2270977497956</v>
      </c>
      <c r="E247" s="563">
        <f t="shared" si="29"/>
        <v>62.670737278624074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11311560.705451667</v>
      </c>
      <c r="D251" s="546">
        <f>((IF((IF(D15=0,0,D26/D15)*D138)=0,0,D59/(IF(D15=0,0,D26/D15)*D138)))-(IF((IF(D17=0,0,D28/D17)*D140)=0,0,D61/(IF(D17=0,0,D28/D17)*D140))))*(IF(D17=0,0,D28/D17)*D140)</f>
        <v>10248680.503811257</v>
      </c>
      <c r="E251" s="546">
        <f>D251-C251</f>
        <v>-1062880.2016404103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6048833.187660262</v>
      </c>
      <c r="D252" s="546">
        <f>IF(D231=0,0,(D228-D231)*D207)+IF(D243=0,0,(D240-D243)*D219)</f>
        <v>5789115.6856277073</v>
      </c>
      <c r="E252" s="546">
        <f>D252-C252</f>
        <v>-259717.50203255471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1052299.4348648351</v>
      </c>
      <c r="D253" s="546">
        <f>IF(D233=0,0,(D228-D233)*D209+IF(D221=0,0,(D240-D245)*D221))</f>
        <v>3568447.3657441512</v>
      </c>
      <c r="E253" s="546">
        <f>D253-C253</f>
        <v>2516147.9308793163</v>
      </c>
    </row>
    <row r="254" spans="1:5" ht="15" customHeight="1" x14ac:dyDescent="0.2">
      <c r="A254" s="512"/>
      <c r="B254" s="516" t="s">
        <v>729</v>
      </c>
      <c r="C254" s="564">
        <f>+C251+C252+C253</f>
        <v>18412693.327976763</v>
      </c>
      <c r="D254" s="564">
        <f>+D251+D252+D253</f>
        <v>19606243.555183116</v>
      </c>
      <c r="E254" s="564">
        <f>D254-C254</f>
        <v>1193550.2272063531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844914267</v>
      </c>
      <c r="D258" s="549">
        <f>+D44</f>
        <v>815767927</v>
      </c>
      <c r="E258" s="546">
        <f t="shared" ref="E258:E271" si="30">D258-C258</f>
        <v>-29146340</v>
      </c>
    </row>
    <row r="259" spans="1:5" x14ac:dyDescent="0.2">
      <c r="A259" s="512">
        <v>2</v>
      </c>
      <c r="B259" s="511" t="s">
        <v>712</v>
      </c>
      <c r="C259" s="546">
        <f>+(C43-C76)</f>
        <v>419322325</v>
      </c>
      <c r="D259" s="549">
        <f>+(D43-D76)</f>
        <v>412221700</v>
      </c>
      <c r="E259" s="546">
        <f t="shared" si="30"/>
        <v>-7100625</v>
      </c>
    </row>
    <row r="260" spans="1:5" x14ac:dyDescent="0.2">
      <c r="A260" s="512">
        <v>3</v>
      </c>
      <c r="B260" s="511" t="s">
        <v>716</v>
      </c>
      <c r="C260" s="546">
        <f>C195</f>
        <v>16129408</v>
      </c>
      <c r="D260" s="546">
        <f>D195</f>
        <v>16896660</v>
      </c>
      <c r="E260" s="546">
        <f t="shared" si="30"/>
        <v>767252</v>
      </c>
    </row>
    <row r="261" spans="1:5" x14ac:dyDescent="0.2">
      <c r="A261" s="512">
        <v>4</v>
      </c>
      <c r="B261" s="511" t="s">
        <v>717</v>
      </c>
      <c r="C261" s="546">
        <f>C188</f>
        <v>185714877</v>
      </c>
      <c r="D261" s="546">
        <f>D188</f>
        <v>174707462</v>
      </c>
      <c r="E261" s="546">
        <f t="shared" si="30"/>
        <v>-11007415</v>
      </c>
    </row>
    <row r="262" spans="1:5" x14ac:dyDescent="0.2">
      <c r="A262" s="512">
        <v>5</v>
      </c>
      <c r="B262" s="511" t="s">
        <v>718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719</v>
      </c>
      <c r="C263" s="546">
        <f>+C259+C260+C261+C262</f>
        <v>621166610</v>
      </c>
      <c r="D263" s="546">
        <f>+D259+D260+D261+D262</f>
        <v>603825822</v>
      </c>
      <c r="E263" s="546">
        <f t="shared" si="30"/>
        <v>-17340788</v>
      </c>
    </row>
    <row r="264" spans="1:5" x14ac:dyDescent="0.2">
      <c r="A264" s="512">
        <v>7</v>
      </c>
      <c r="B264" s="511" t="s">
        <v>619</v>
      </c>
      <c r="C264" s="546">
        <f>+C258-C263</f>
        <v>223747657</v>
      </c>
      <c r="D264" s="546">
        <f>+D258-D263</f>
        <v>211942105</v>
      </c>
      <c r="E264" s="546">
        <f t="shared" si="30"/>
        <v>-11805552</v>
      </c>
    </row>
    <row r="265" spans="1:5" x14ac:dyDescent="0.2">
      <c r="A265" s="512">
        <v>8</v>
      </c>
      <c r="B265" s="511" t="s">
        <v>805</v>
      </c>
      <c r="C265" s="565">
        <f>C192</f>
        <v>1753777</v>
      </c>
      <c r="D265" s="565">
        <f>D192</f>
        <v>1673113</v>
      </c>
      <c r="E265" s="546">
        <f t="shared" si="30"/>
        <v>-80664</v>
      </c>
    </row>
    <row r="266" spans="1:5" x14ac:dyDescent="0.2">
      <c r="A266" s="512">
        <v>9</v>
      </c>
      <c r="B266" s="511" t="s">
        <v>806</v>
      </c>
      <c r="C266" s="546">
        <f>+C264+C265</f>
        <v>225501434</v>
      </c>
      <c r="D266" s="546">
        <f>+D264+D265</f>
        <v>213615218</v>
      </c>
      <c r="E266" s="565">
        <f t="shared" si="30"/>
        <v>-11886216</v>
      </c>
    </row>
    <row r="267" spans="1:5" x14ac:dyDescent="0.2">
      <c r="A267" s="512">
        <v>10</v>
      </c>
      <c r="B267" s="511" t="s">
        <v>807</v>
      </c>
      <c r="C267" s="566">
        <f>IF(C258=0,0,C266/C258)</f>
        <v>0.2668926810771915</v>
      </c>
      <c r="D267" s="566">
        <f>IF(D258=0,0,D266/D258)</f>
        <v>0.26185782859295964</v>
      </c>
      <c r="E267" s="567">
        <f t="shared" si="30"/>
        <v>-5.0348524842318554E-3</v>
      </c>
    </row>
    <row r="268" spans="1:5" x14ac:dyDescent="0.2">
      <c r="A268" s="512">
        <v>11</v>
      </c>
      <c r="B268" s="511" t="s">
        <v>681</v>
      </c>
      <c r="C268" s="546">
        <f>+C260*C267</f>
        <v>4304820.9453079011</v>
      </c>
      <c r="D268" s="568">
        <f>+D260*D267</f>
        <v>4424522.6980735175</v>
      </c>
      <c r="E268" s="546">
        <f t="shared" si="30"/>
        <v>119701.7527656164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13751722.165912598</v>
      </c>
      <c r="D269" s="568">
        <f>((D17+D18+D28+D29)*D267)-(D50+D51+D61+D62)</f>
        <v>15075358.35362523</v>
      </c>
      <c r="E269" s="546">
        <f t="shared" si="30"/>
        <v>1323636.1877126321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810</v>
      </c>
      <c r="C271" s="546">
        <f>+C268+C269+C270</f>
        <v>18056543.111220501</v>
      </c>
      <c r="D271" s="546">
        <f>+D268+D269+D270</f>
        <v>19499881.051698748</v>
      </c>
      <c r="E271" s="549">
        <f t="shared" si="30"/>
        <v>1443337.9404782467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0.34180235711234397</v>
      </c>
      <c r="D276" s="547">
        <f t="shared" si="31"/>
        <v>0.34145278761638032</v>
      </c>
      <c r="E276" s="574">
        <f t="shared" ref="E276:E284" si="32">D276-C276</f>
        <v>-3.4956949596365305E-4</v>
      </c>
    </row>
    <row r="277" spans="1:5" x14ac:dyDescent="0.2">
      <c r="A277" s="512">
        <v>2</v>
      </c>
      <c r="B277" s="511" t="s">
        <v>600</v>
      </c>
      <c r="C277" s="547">
        <f t="shared" si="31"/>
        <v>0.2781885684121761</v>
      </c>
      <c r="D277" s="547">
        <f t="shared" si="31"/>
        <v>0.27972266779050808</v>
      </c>
      <c r="E277" s="574">
        <f t="shared" si="32"/>
        <v>1.5340993783319878E-3</v>
      </c>
    </row>
    <row r="278" spans="1:5" x14ac:dyDescent="0.2">
      <c r="A278" s="512">
        <v>3</v>
      </c>
      <c r="B278" s="511" t="s">
        <v>746</v>
      </c>
      <c r="C278" s="547">
        <f t="shared" si="31"/>
        <v>0.17882036452471706</v>
      </c>
      <c r="D278" s="547">
        <f t="shared" si="31"/>
        <v>0.16499181305935109</v>
      </c>
      <c r="E278" s="574">
        <f t="shared" si="32"/>
        <v>-1.3828551465365962E-2</v>
      </c>
    </row>
    <row r="279" spans="1:5" x14ac:dyDescent="0.2">
      <c r="A279" s="512">
        <v>4</v>
      </c>
      <c r="B279" s="511" t="s">
        <v>114</v>
      </c>
      <c r="C279" s="547">
        <f t="shared" si="31"/>
        <v>0.21497342229297031</v>
      </c>
      <c r="D279" s="547">
        <f t="shared" si="31"/>
        <v>0.18538930022157599</v>
      </c>
      <c r="E279" s="574">
        <f t="shared" si="32"/>
        <v>-2.9584122071394325E-2</v>
      </c>
    </row>
    <row r="280" spans="1:5" x14ac:dyDescent="0.2">
      <c r="A280" s="512">
        <v>5</v>
      </c>
      <c r="B280" s="511" t="s">
        <v>713</v>
      </c>
      <c r="C280" s="547">
        <f t="shared" si="31"/>
        <v>7.6991622749151223E-2</v>
      </c>
      <c r="D280" s="547">
        <f t="shared" si="31"/>
        <v>0.10901278646410351</v>
      </c>
      <c r="E280" s="574">
        <f t="shared" si="32"/>
        <v>3.2021163714952283E-2</v>
      </c>
    </row>
    <row r="281" spans="1:5" x14ac:dyDescent="0.2">
      <c r="A281" s="512">
        <v>6</v>
      </c>
      <c r="B281" s="511" t="s">
        <v>418</v>
      </c>
      <c r="C281" s="547">
        <f t="shared" si="31"/>
        <v>0.13322216853546398</v>
      </c>
      <c r="D281" s="547">
        <f t="shared" si="31"/>
        <v>0.23177867762461943</v>
      </c>
      <c r="E281" s="574">
        <f t="shared" si="32"/>
        <v>9.8556509089155447E-2</v>
      </c>
    </row>
    <row r="282" spans="1:5" x14ac:dyDescent="0.2">
      <c r="A282" s="512">
        <v>7</v>
      </c>
      <c r="B282" s="511" t="s">
        <v>728</v>
      </c>
      <c r="C282" s="547">
        <f t="shared" si="31"/>
        <v>0.11630559867409915</v>
      </c>
      <c r="D282" s="547">
        <f t="shared" si="31"/>
        <v>1.4092276275209063E-2</v>
      </c>
      <c r="E282" s="574">
        <f t="shared" si="32"/>
        <v>-0.10221332239889008</v>
      </c>
    </row>
    <row r="283" spans="1:5" ht="29.25" customHeight="1" x14ac:dyDescent="0.2">
      <c r="A283" s="512"/>
      <c r="B283" s="516" t="s">
        <v>814</v>
      </c>
      <c r="C283" s="575">
        <f t="shared" si="31"/>
        <v>0.25813848764358549</v>
      </c>
      <c r="D283" s="575">
        <f t="shared" si="31"/>
        <v>0.25515869111021433</v>
      </c>
      <c r="E283" s="576">
        <f t="shared" si="32"/>
        <v>-2.9797965333711596E-3</v>
      </c>
    </row>
    <row r="284" spans="1:5" x14ac:dyDescent="0.2">
      <c r="A284" s="512"/>
      <c r="B284" s="516" t="s">
        <v>815</v>
      </c>
      <c r="C284" s="575">
        <f t="shared" si="31"/>
        <v>0.28176765478891957</v>
      </c>
      <c r="D284" s="575">
        <f t="shared" si="31"/>
        <v>0.28000185800303784</v>
      </c>
      <c r="E284" s="576">
        <f t="shared" si="32"/>
        <v>-1.7657967858817347E-3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0.29026651884692678</v>
      </c>
      <c r="D287" s="547">
        <f t="shared" si="33"/>
        <v>0.29042135561144627</v>
      </c>
      <c r="E287" s="574">
        <f t="shared" ref="E287:E295" si="34">D287-C287</f>
        <v>1.548367645194948E-4</v>
      </c>
    </row>
    <row r="288" spans="1:5" x14ac:dyDescent="0.2">
      <c r="A288" s="512">
        <v>2</v>
      </c>
      <c r="B288" s="511" t="s">
        <v>600</v>
      </c>
      <c r="C288" s="547">
        <f t="shared" si="33"/>
        <v>0.20507263525058941</v>
      </c>
      <c r="D288" s="547">
        <f t="shared" si="33"/>
        <v>0.18764449747548961</v>
      </c>
      <c r="E288" s="574">
        <f t="shared" si="34"/>
        <v>-1.74281377750998E-2</v>
      </c>
    </row>
    <row r="289" spans="1:5" x14ac:dyDescent="0.2">
      <c r="A289" s="512">
        <v>3</v>
      </c>
      <c r="B289" s="511" t="s">
        <v>746</v>
      </c>
      <c r="C289" s="547">
        <f t="shared" si="33"/>
        <v>0.16235371042173649</v>
      </c>
      <c r="D289" s="547">
        <f t="shared" si="33"/>
        <v>0.15073374723729011</v>
      </c>
      <c r="E289" s="574">
        <f t="shared" si="34"/>
        <v>-1.1619963184446386E-2</v>
      </c>
    </row>
    <row r="290" spans="1:5" x14ac:dyDescent="0.2">
      <c r="A290" s="512">
        <v>4</v>
      </c>
      <c r="B290" s="511" t="s">
        <v>114</v>
      </c>
      <c r="C290" s="547">
        <f t="shared" si="33"/>
        <v>0.18583149947092131</v>
      </c>
      <c r="D290" s="547">
        <f t="shared" si="33"/>
        <v>0.17242684350324852</v>
      </c>
      <c r="E290" s="574">
        <f t="shared" si="34"/>
        <v>-1.3404655967672791E-2</v>
      </c>
    </row>
    <row r="291" spans="1:5" x14ac:dyDescent="0.2">
      <c r="A291" s="512">
        <v>5</v>
      </c>
      <c r="B291" s="511" t="s">
        <v>713</v>
      </c>
      <c r="C291" s="547">
        <f t="shared" si="33"/>
        <v>8.7337747969525634E-2</v>
      </c>
      <c r="D291" s="547">
        <f t="shared" si="33"/>
        <v>8.1842650660445895E-2</v>
      </c>
      <c r="E291" s="574">
        <f t="shared" si="34"/>
        <v>-5.4950973090797384E-3</v>
      </c>
    </row>
    <row r="292" spans="1:5" x14ac:dyDescent="0.2">
      <c r="A292" s="512">
        <v>6</v>
      </c>
      <c r="B292" s="511" t="s">
        <v>418</v>
      </c>
      <c r="C292" s="547">
        <f t="shared" si="33"/>
        <v>0.29743258099980596</v>
      </c>
      <c r="D292" s="547">
        <f t="shared" si="33"/>
        <v>0.22123757031649527</v>
      </c>
      <c r="E292" s="574">
        <f t="shared" si="34"/>
        <v>-7.6195010683310693E-2</v>
      </c>
    </row>
    <row r="293" spans="1:5" x14ac:dyDescent="0.2">
      <c r="A293" s="512">
        <v>7</v>
      </c>
      <c r="B293" s="511" t="s">
        <v>728</v>
      </c>
      <c r="C293" s="547">
        <f t="shared" si="33"/>
        <v>0.32726785081317411</v>
      </c>
      <c r="D293" s="547">
        <f t="shared" si="33"/>
        <v>6.8714843613687751E-2</v>
      </c>
      <c r="E293" s="574">
        <f t="shared" si="34"/>
        <v>-0.25855300719948637</v>
      </c>
    </row>
    <row r="294" spans="1:5" ht="29.25" customHeight="1" x14ac:dyDescent="0.2">
      <c r="A294" s="512"/>
      <c r="B294" s="516" t="s">
        <v>817</v>
      </c>
      <c r="C294" s="575">
        <f t="shared" si="33"/>
        <v>0.18799164482811592</v>
      </c>
      <c r="D294" s="575">
        <f t="shared" si="33"/>
        <v>0.17287602953964254</v>
      </c>
      <c r="E294" s="576">
        <f t="shared" si="34"/>
        <v>-1.5115615288473383E-2</v>
      </c>
    </row>
    <row r="295" spans="1:5" x14ac:dyDescent="0.2">
      <c r="A295" s="512"/>
      <c r="B295" s="516" t="s">
        <v>818</v>
      </c>
      <c r="C295" s="575">
        <f t="shared" si="33"/>
        <v>0.23558683072474734</v>
      </c>
      <c r="D295" s="575">
        <f t="shared" si="33"/>
        <v>0.22479176302446072</v>
      </c>
      <c r="E295" s="576">
        <f t="shared" si="34"/>
        <v>-1.0795067700286626E-2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223747655</v>
      </c>
      <c r="D301" s="514">
        <f>+D48+D47+D50+D51+D52+D59+D58+D61+D62+D63</f>
        <v>211942105</v>
      </c>
      <c r="E301" s="514">
        <f>D301-C301</f>
        <v>-11805550</v>
      </c>
    </row>
    <row r="302" spans="1:5" ht="25.5" x14ac:dyDescent="0.2">
      <c r="A302" s="512">
        <v>2</v>
      </c>
      <c r="B302" s="511" t="s">
        <v>822</v>
      </c>
      <c r="C302" s="546">
        <f>C265</f>
        <v>1753777</v>
      </c>
      <c r="D302" s="546">
        <f>D265</f>
        <v>1673113</v>
      </c>
      <c r="E302" s="514">
        <f>D302-C302</f>
        <v>-80664</v>
      </c>
    </row>
    <row r="303" spans="1:5" x14ac:dyDescent="0.2">
      <c r="A303" s="512"/>
      <c r="B303" s="516" t="s">
        <v>823</v>
      </c>
      <c r="C303" s="517">
        <f>+C301+C302</f>
        <v>225501432</v>
      </c>
      <c r="D303" s="517">
        <f>+D301+D302</f>
        <v>213615218</v>
      </c>
      <c r="E303" s="517">
        <f>D303-C303</f>
        <v>-11886214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14427091</v>
      </c>
      <c r="D305" s="578">
        <v>15396099</v>
      </c>
      <c r="E305" s="579">
        <f>D305-C305</f>
        <v>969008</v>
      </c>
    </row>
    <row r="306" spans="1:5" x14ac:dyDescent="0.2">
      <c r="A306" s="512">
        <v>4</v>
      </c>
      <c r="B306" s="516" t="s">
        <v>825</v>
      </c>
      <c r="C306" s="580">
        <f>+C303+C305</f>
        <v>239928523</v>
      </c>
      <c r="D306" s="580">
        <f>+D303+D305</f>
        <v>229011317</v>
      </c>
      <c r="E306" s="580">
        <f>D306-C306</f>
        <v>-10917206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239928524</v>
      </c>
      <c r="D308" s="513">
        <v>229011318</v>
      </c>
      <c r="E308" s="514">
        <f>D308-C308</f>
        <v>-10917206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-1</v>
      </c>
      <c r="D310" s="582">
        <f>D306-D308</f>
        <v>-1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844914267</v>
      </c>
      <c r="D314" s="514">
        <f>+D14+D15+D16+D19+D25+D26+D27+D30</f>
        <v>815767927</v>
      </c>
      <c r="E314" s="514">
        <f>D314-C314</f>
        <v>-29146340</v>
      </c>
    </row>
    <row r="315" spans="1:5" x14ac:dyDescent="0.2">
      <c r="A315" s="512">
        <v>2</v>
      </c>
      <c r="B315" s="583" t="s">
        <v>830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831</v>
      </c>
      <c r="C316" s="581">
        <f>C314+C315</f>
        <v>844914267</v>
      </c>
      <c r="D316" s="581">
        <f>D314+D315</f>
        <v>815767927</v>
      </c>
      <c r="E316" s="517">
        <f>D316-C316</f>
        <v>-29146340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844914262</v>
      </c>
      <c r="D318" s="513">
        <v>815767934</v>
      </c>
      <c r="E318" s="514">
        <f>D318-C318</f>
        <v>-29146328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5</v>
      </c>
      <c r="D320" s="581">
        <f>D316-D318</f>
        <v>-7</v>
      </c>
      <c r="E320" s="517">
        <f>D320-C320</f>
        <v>-12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16129408</v>
      </c>
      <c r="D324" s="513">
        <f>+D193+D194</f>
        <v>16896660</v>
      </c>
      <c r="E324" s="514">
        <f>D324-C324</f>
        <v>767252</v>
      </c>
    </row>
    <row r="325" spans="1:5" x14ac:dyDescent="0.2">
      <c r="A325" s="512">
        <v>2</v>
      </c>
      <c r="B325" s="511" t="s">
        <v>835</v>
      </c>
      <c r="C325" s="513">
        <v>1463750</v>
      </c>
      <c r="D325" s="513">
        <v>1170621</v>
      </c>
      <c r="E325" s="514">
        <f>D325-C325</f>
        <v>-293129</v>
      </c>
    </row>
    <row r="326" spans="1:5" x14ac:dyDescent="0.2">
      <c r="A326" s="512"/>
      <c r="B326" s="516" t="s">
        <v>836</v>
      </c>
      <c r="C326" s="581">
        <f>C324+C325</f>
        <v>17593158</v>
      </c>
      <c r="D326" s="581">
        <f>D324+D325</f>
        <v>18067281</v>
      </c>
      <c r="E326" s="517">
        <f>D326-C326</f>
        <v>474123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17593158</v>
      </c>
      <c r="D328" s="513">
        <v>18067281</v>
      </c>
      <c r="E328" s="514">
        <f>D328-C328</f>
        <v>474123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FILING&amp;RWATERBURY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148946176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600</v>
      </c>
      <c r="C15" s="515">
        <v>289293480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78699117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57681344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21017773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433901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7496163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368426498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517372674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131790935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99103375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67060968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51001212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16059756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439975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8854899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166604318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298395253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280737111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535030816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815767927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50858087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80921944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12984710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10693504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2291206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100569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105638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94007223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144865310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38274902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18596203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10108351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8793978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1314373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97339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608463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28801893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67076795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89132989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122809116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211942105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3968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6077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2991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2411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580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216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9078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13046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1.3151600000000001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1.66675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1.0325993981945838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0.99880000000000002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1.1731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1.7150000000000001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1.1609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1.457864568186825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1.4144603273033882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264386049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89678587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174707462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0.66080439062803953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1673113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1910845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14985815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16896660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10576444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237519576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211942105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1673113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213615218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15396099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229011317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229011318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815767927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815767927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815767934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-7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16896660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1170621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18067281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18067281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FILING&amp;RWATERBURY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498</v>
      </c>
      <c r="D12" s="49">
        <v>359</v>
      </c>
      <c r="E12" s="49">
        <f>+D12-C12</f>
        <v>-139</v>
      </c>
      <c r="F12" s="70">
        <f>IF(C12=0,0,+E12/C12)</f>
        <v>-0.27911646586345379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376</v>
      </c>
      <c r="D13" s="49">
        <v>277</v>
      </c>
      <c r="E13" s="49">
        <f>+D13-C13</f>
        <v>-99</v>
      </c>
      <c r="F13" s="70">
        <f>IF(C13=0,0,+E13/C13)</f>
        <v>-0.26329787234042551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856</v>
      </c>
      <c r="C15" s="51">
        <v>1809921</v>
      </c>
      <c r="D15" s="51">
        <v>1910845</v>
      </c>
      <c r="E15" s="51">
        <f>+D15-C15</f>
        <v>100924</v>
      </c>
      <c r="F15" s="70">
        <f>IF(C15=0,0,+E15/C15)</f>
        <v>5.576154981350015E-2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4813.619680851064</v>
      </c>
      <c r="D16" s="27">
        <f>IF(D13=0,0,+D15/+D13)</f>
        <v>6898.3574007220213</v>
      </c>
      <c r="E16" s="27">
        <f>+D16-C16</f>
        <v>2084.7377198709573</v>
      </c>
      <c r="F16" s="28">
        <f>IF(C16=0,0,+E16/C16)</f>
        <v>0.43309148999955244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0.31469000000000003</v>
      </c>
      <c r="D18" s="210">
        <v>0.29549700000000001</v>
      </c>
      <c r="E18" s="210">
        <f>+D18-C18</f>
        <v>-1.9193000000000016E-2</v>
      </c>
      <c r="F18" s="70">
        <f>IF(C18=0,0,+E18/C18)</f>
        <v>-6.0990180812863497E-2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569564.03949</v>
      </c>
      <c r="D19" s="27">
        <f>+D15*D18</f>
        <v>564648.96496500005</v>
      </c>
      <c r="E19" s="27">
        <f>+D19-C19</f>
        <v>-4915.0745249999454</v>
      </c>
      <c r="F19" s="28">
        <f>IF(C19=0,0,+E19/C19)</f>
        <v>-8.6295380048940756E-3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1514.7979773670213</v>
      </c>
      <c r="D20" s="27">
        <f>IF(D13=0,0,+D19/D13)</f>
        <v>2038.4439168411554</v>
      </c>
      <c r="E20" s="27">
        <f>+D20-C20</f>
        <v>523.64593947413414</v>
      </c>
      <c r="F20" s="28">
        <f>IF(C20=0,0,+E20/C20)</f>
        <v>0.34568698090310407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1222220</v>
      </c>
      <c r="D22" s="51">
        <v>1448349</v>
      </c>
      <c r="E22" s="51">
        <f>+D22-C22</f>
        <v>226129</v>
      </c>
      <c r="F22" s="70">
        <f>IF(C22=0,0,+E22/C22)</f>
        <v>0.18501497275449591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203011</v>
      </c>
      <c r="D23" s="49">
        <v>197043</v>
      </c>
      <c r="E23" s="49">
        <f>+D23-C23</f>
        <v>-5968</v>
      </c>
      <c r="F23" s="70">
        <f>IF(C23=0,0,+E23/C23)</f>
        <v>-2.9397421814581475E-2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384690</v>
      </c>
      <c r="D24" s="49">
        <v>265453</v>
      </c>
      <c r="E24" s="49">
        <f>+D24-C24</f>
        <v>-119237</v>
      </c>
      <c r="F24" s="70">
        <f>IF(C24=0,0,+E24/C24)</f>
        <v>-0.30995606852270657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1809921</v>
      </c>
      <c r="D25" s="27">
        <f>+D22+D23+D24</f>
        <v>1910845</v>
      </c>
      <c r="E25" s="27">
        <f>+E22+E23+E24</f>
        <v>100924</v>
      </c>
      <c r="F25" s="28">
        <f>IF(C25=0,0,+E25/C25)</f>
        <v>5.576154981350015E-2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385</v>
      </c>
      <c r="D27" s="49">
        <v>456</v>
      </c>
      <c r="E27" s="49">
        <f>+D27-C27</f>
        <v>71</v>
      </c>
      <c r="F27" s="70">
        <f>IF(C27=0,0,+E27/C27)</f>
        <v>0.18441558441558442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167</v>
      </c>
      <c r="D28" s="49">
        <v>92</v>
      </c>
      <c r="E28" s="49">
        <f>+D28-C28</f>
        <v>-75</v>
      </c>
      <c r="F28" s="70">
        <f>IF(C28=0,0,+E28/C28)</f>
        <v>-0.44910179640718562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322</v>
      </c>
      <c r="D29" s="49">
        <v>216</v>
      </c>
      <c r="E29" s="49">
        <f>+D29-C29</f>
        <v>-106</v>
      </c>
      <c r="F29" s="70">
        <f>IF(C29=0,0,+E29/C29)</f>
        <v>-0.32919254658385094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242</v>
      </c>
      <c r="D30" s="49">
        <v>149</v>
      </c>
      <c r="E30" s="49">
        <f>+D30-C30</f>
        <v>-93</v>
      </c>
      <c r="F30" s="70">
        <f>IF(C30=0,0,+E30/C30)</f>
        <v>-0.38429752066115702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7302938</v>
      </c>
      <c r="D33" s="51">
        <v>7514456</v>
      </c>
      <c r="E33" s="51">
        <f>+D33-C33</f>
        <v>211518</v>
      </c>
      <c r="F33" s="70">
        <f>IF(C33=0,0,+E33/C33)</f>
        <v>2.8963411711834332E-2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2455792</v>
      </c>
      <c r="D34" s="49">
        <v>2540262</v>
      </c>
      <c r="E34" s="49">
        <f>+D34-C34</f>
        <v>84470</v>
      </c>
      <c r="F34" s="70">
        <f>IF(C34=0,0,+E34/C34)</f>
        <v>3.4396235511802299E-2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4560757</v>
      </c>
      <c r="D35" s="49">
        <v>4931097</v>
      </c>
      <c r="E35" s="49">
        <f>+D35-C35</f>
        <v>370340</v>
      </c>
      <c r="F35" s="70">
        <f>IF(C35=0,0,+E35/C35)</f>
        <v>8.1201432130674794E-2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14319487</v>
      </c>
      <c r="D36" s="27">
        <f>+D33+D34+D35</f>
        <v>14985815</v>
      </c>
      <c r="E36" s="27">
        <f>+E33+E34+E35</f>
        <v>666328</v>
      </c>
      <c r="F36" s="28">
        <f>IF(C36=0,0,+E36/C36)</f>
        <v>4.6532951913710319E-2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1809921</v>
      </c>
      <c r="D39" s="51">
        <f>+D25</f>
        <v>1910845</v>
      </c>
      <c r="E39" s="51">
        <f>+D39-C39</f>
        <v>100924</v>
      </c>
      <c r="F39" s="70">
        <f>IF(C39=0,0,+E39/C39)</f>
        <v>5.576154981350015E-2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14319487</v>
      </c>
      <c r="D40" s="49">
        <f>+D36</f>
        <v>14985815</v>
      </c>
      <c r="E40" s="49">
        <f>+D40-C40</f>
        <v>666328</v>
      </c>
      <c r="F40" s="70">
        <f>IF(C40=0,0,+E40/C40)</f>
        <v>4.6532951913710319E-2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16129408</v>
      </c>
      <c r="D41" s="27">
        <f>+D39+D40</f>
        <v>16896660</v>
      </c>
      <c r="E41" s="27">
        <f>+E39+E40</f>
        <v>767252</v>
      </c>
      <c r="F41" s="28">
        <f>IF(C41=0,0,+E41/C41)</f>
        <v>4.7568515843854901E-2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8525158</v>
      </c>
      <c r="D43" s="51">
        <f t="shared" si="0"/>
        <v>8962805</v>
      </c>
      <c r="E43" s="51">
        <f>+D43-C43</f>
        <v>437647</v>
      </c>
      <c r="F43" s="70">
        <f>IF(C43=0,0,+E43/C43)</f>
        <v>5.1335940049439553E-2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2658803</v>
      </c>
      <c r="D44" s="49">
        <f t="shared" si="0"/>
        <v>2737305</v>
      </c>
      <c r="E44" s="49">
        <f>+D44-C44</f>
        <v>78502</v>
      </c>
      <c r="F44" s="70">
        <f>IF(C44=0,0,+E44/C44)</f>
        <v>2.952531646759839E-2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4945447</v>
      </c>
      <c r="D45" s="49">
        <f t="shared" si="0"/>
        <v>5196550</v>
      </c>
      <c r="E45" s="49">
        <f>+D45-C45</f>
        <v>251103</v>
      </c>
      <c r="F45" s="70">
        <f>IF(C45=0,0,+E45/C45)</f>
        <v>5.0774581145041082E-2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16129408</v>
      </c>
      <c r="D46" s="27">
        <f>+D43+D44+D45</f>
        <v>16896660</v>
      </c>
      <c r="E46" s="27">
        <f>+E43+E44+E45</f>
        <v>767252</v>
      </c>
      <c r="F46" s="28">
        <f>IF(C46=0,0,+E46/C46)</f>
        <v>4.7568515843854901E-2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FILING&amp;RWATERBURY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275365397</v>
      </c>
      <c r="D15" s="51">
        <v>264386049</v>
      </c>
      <c r="E15" s="51">
        <f>+D15-C15</f>
        <v>-10979348</v>
      </c>
      <c r="F15" s="70">
        <f>+E15/C15</f>
        <v>-3.9871923341188727E-2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185714877</v>
      </c>
      <c r="D17" s="51">
        <v>174707462</v>
      </c>
      <c r="E17" s="51">
        <f>+D17-C17</f>
        <v>-11007415</v>
      </c>
      <c r="F17" s="70">
        <f>+E17/C17</f>
        <v>-5.9270507445668988E-2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89650520</v>
      </c>
      <c r="D19" s="27">
        <f>+D15-D17</f>
        <v>89678587</v>
      </c>
      <c r="E19" s="27">
        <f>+D19-C19</f>
        <v>28067</v>
      </c>
      <c r="F19" s="28">
        <f>+E19/C19</f>
        <v>3.1307124598942647E-4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0.67443069834950975</v>
      </c>
      <c r="D21" s="628">
        <f>+D17/D15</f>
        <v>0.66080439062803953</v>
      </c>
      <c r="E21" s="628">
        <f>+D21-C21</f>
        <v>-1.3626307721470221E-2</v>
      </c>
      <c r="F21" s="28">
        <f>+E21/C21</f>
        <v>-2.0204162940413294E-2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FILING&amp;R&amp;12WATERBURY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447560841</v>
      </c>
      <c r="D10" s="641">
        <v>534788651</v>
      </c>
      <c r="E10" s="641">
        <v>517372674</v>
      </c>
    </row>
    <row r="11" spans="1:6" ht="26.1" customHeight="1" x14ac:dyDescent="0.25">
      <c r="A11" s="639">
        <v>2</v>
      </c>
      <c r="B11" s="640" t="s">
        <v>902</v>
      </c>
      <c r="C11" s="641">
        <v>262008277</v>
      </c>
      <c r="D11" s="641">
        <v>310125616</v>
      </c>
      <c r="E11" s="641">
        <v>298395253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709569118</v>
      </c>
      <c r="D12" s="641">
        <f>+D11+D10</f>
        <v>844914267</v>
      </c>
      <c r="E12" s="641">
        <f>+E11+E10</f>
        <v>815767927</v>
      </c>
    </row>
    <row r="13" spans="1:6" ht="26.1" customHeight="1" x14ac:dyDescent="0.25">
      <c r="A13" s="639">
        <v>4</v>
      </c>
      <c r="B13" s="640" t="s">
        <v>484</v>
      </c>
      <c r="C13" s="641">
        <v>221441319</v>
      </c>
      <c r="D13" s="641">
        <v>239928524</v>
      </c>
      <c r="E13" s="641">
        <v>229011318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245407419</v>
      </c>
      <c r="D16" s="641">
        <v>253532594</v>
      </c>
      <c r="E16" s="641">
        <v>237519576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70997</v>
      </c>
      <c r="D19" s="644">
        <v>67682</v>
      </c>
      <c r="E19" s="644">
        <v>59271</v>
      </c>
    </row>
    <row r="20" spans="1:5" ht="26.1" customHeight="1" x14ac:dyDescent="0.25">
      <c r="A20" s="639">
        <v>2</v>
      </c>
      <c r="B20" s="640" t="s">
        <v>373</v>
      </c>
      <c r="C20" s="645">
        <v>14736</v>
      </c>
      <c r="D20" s="645">
        <v>13916</v>
      </c>
      <c r="E20" s="645">
        <v>13046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4.8179288816503796</v>
      </c>
      <c r="D21" s="646">
        <f>IF(D20=0,0,+D19/D20)</f>
        <v>4.8636102328255246</v>
      </c>
      <c r="E21" s="646">
        <f>IF(E20=0,0,+E19/E20)</f>
        <v>4.5432316418825698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112559.62107427981</v>
      </c>
      <c r="D22" s="645">
        <f>IF(D10=0,0,D19*(D12/D10))</f>
        <v>106931.00407453111</v>
      </c>
      <c r="E22" s="645">
        <f>IF(E10=0,0,E19*(E12/E10))</f>
        <v>93455.613779124717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23362.657241159308</v>
      </c>
      <c r="D23" s="645">
        <f>IF(D10=0,0,D20*(D12/D10))</f>
        <v>21985.93204546519</v>
      </c>
      <c r="E23" s="645">
        <f>IF(E10=0,0,E20*(E12/E10))</f>
        <v>20570.294703353429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1.3252491042345276</v>
      </c>
      <c r="D26" s="647">
        <v>1.5293610951422822</v>
      </c>
      <c r="E26" s="647">
        <v>1.414460327303388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94088.710653338756</v>
      </c>
      <c r="D27" s="645">
        <f>D19*D26</f>
        <v>103510.21764141995</v>
      </c>
      <c r="E27" s="645">
        <f>E19*E26</f>
        <v>83836.478059599103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19528.870799999997</v>
      </c>
      <c r="D28" s="645">
        <f>D20*D26</f>
        <v>21282.589</v>
      </c>
      <c r="E28" s="645">
        <f>E20*E26</f>
        <v>18453.049429999999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149169.53700166717</v>
      </c>
      <c r="D29" s="645">
        <f>D22*D26</f>
        <v>163536.11749608876</v>
      </c>
      <c r="E29" s="645">
        <f>E22*E26</f>
        <v>132189.25805435976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30961.340581384673</v>
      </c>
      <c r="D30" s="645">
        <f>D23*D26</f>
        <v>33624.429110776437</v>
      </c>
      <c r="E30" s="645">
        <f>E23*E26</f>
        <v>29095.865778832442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9994.3535360649039</v>
      </c>
      <c r="D33" s="641">
        <f>IF(D19=0,0,D12/D19)</f>
        <v>12483.588945362135</v>
      </c>
      <c r="E33" s="641">
        <f>IF(E19=0,0,E12/E19)</f>
        <v>13763.356903038586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48152.084554831701</v>
      </c>
      <c r="D34" s="641">
        <f>IF(D20=0,0,D12/D20)</f>
        <v>60715.310937050876</v>
      </c>
      <c r="E34" s="641">
        <f>IF(E20=0,0,E12/E20)</f>
        <v>62530.11858040779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6303.9401805710104</v>
      </c>
      <c r="D35" s="641">
        <f>IF(D22=0,0,D12/D22)</f>
        <v>7901.4900712153903</v>
      </c>
      <c r="E35" s="641">
        <f>IF(E22=0,0,E12/E22)</f>
        <v>8728.9344536113786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30371.935464169383</v>
      </c>
      <c r="D36" s="641">
        <f>IF(D23=0,0,D12/D23)</f>
        <v>38429.767964932456</v>
      </c>
      <c r="E36" s="641">
        <f>IF(E23=0,0,E12/E23)</f>
        <v>39657.571209566151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4756.7964093906767</v>
      </c>
      <c r="D37" s="641">
        <f>IF(D29=0,0,D12/D29)</f>
        <v>5166.5300603715723</v>
      </c>
      <c r="E37" s="641">
        <f>IF(E29=0,0,E12/E29)</f>
        <v>6171.211935122099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22917.906804934162</v>
      </c>
      <c r="D38" s="641">
        <f>IF(D30=0,0,D12/D30)</f>
        <v>25127.98846982386</v>
      </c>
      <c r="E38" s="641">
        <f>IF(E30=0,0,E12/E30)</f>
        <v>28037.245332410079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3976.2113334110086</v>
      </c>
      <c r="D39" s="641">
        <f>IF(D22=0,0,D10/D22)</f>
        <v>5001.2496901951026</v>
      </c>
      <c r="E39" s="641">
        <f>IF(E22=0,0,E10/E22)</f>
        <v>5536.0256391100402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19157.103422786466</v>
      </c>
      <c r="D40" s="641">
        <f>IF(D23=0,0,D10/D23)</f>
        <v>24324.129170148386</v>
      </c>
      <c r="E40" s="641">
        <f>IF(E23=0,0,E10/E23)</f>
        <v>25151.446853877907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3119.0236066312659</v>
      </c>
      <c r="D43" s="641">
        <f>IF(D19=0,0,D13/D19)</f>
        <v>3544.9384474454064</v>
      </c>
      <c r="E43" s="641">
        <f>IF(E19=0,0,E13/E19)</f>
        <v>3863.8004757807357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15027.23391693811</v>
      </c>
      <c r="D44" s="641">
        <f>IF(D20=0,0,D13/D20)</f>
        <v>17241.198907732109</v>
      </c>
      <c r="E44" s="641">
        <f>IF(E20=0,0,E13/E20)</f>
        <v>17554.140579487965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1967.3246665770801</v>
      </c>
      <c r="D45" s="641">
        <f>IF(D22=0,0,D13/D22)</f>
        <v>2243.7694855345167</v>
      </c>
      <c r="E45" s="641">
        <f>IF(E22=0,0,E13/E22)</f>
        <v>2450.4821994027129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9478.4303306849179</v>
      </c>
      <c r="D46" s="641">
        <f>IF(D23=0,0,D13/D23)</f>
        <v>10912.82022994734</v>
      </c>
      <c r="E46" s="641">
        <f>IF(E23=0,0,E13/E23)</f>
        <v>11133.108266196396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1484.4942436036729</v>
      </c>
      <c r="D47" s="641">
        <f>IF(D29=0,0,D13/D29)</f>
        <v>1467.1286543520778</v>
      </c>
      <c r="E47" s="641">
        <f>IF(E29=0,0,E13/E29)</f>
        <v>1732.4502865870118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7152.1876909018702</v>
      </c>
      <c r="D48" s="641">
        <f>IF(D30=0,0,D13/D30)</f>
        <v>7135.5419361783097</v>
      </c>
      <c r="E48" s="641">
        <f>IF(E30=0,0,E13/E30)</f>
        <v>7870.9229600106355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3456.5885741651055</v>
      </c>
      <c r="D51" s="641">
        <f>IF(D19=0,0,D16/D19)</f>
        <v>3745.9382701456811</v>
      </c>
      <c r="E51" s="641">
        <f>IF(E19=0,0,E16/E19)</f>
        <v>4007.3488890013664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16653.597923452769</v>
      </c>
      <c r="D52" s="641">
        <f>IF(D20=0,0,D16/D20)</f>
        <v>18218.783702213281</v>
      </c>
      <c r="E52" s="641">
        <f>IF(E20=0,0,E16/E20)</f>
        <v>18206.314272573971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2180.2438268520104</v>
      </c>
      <c r="D53" s="641">
        <f>IF(D22=0,0,D16/D22)</f>
        <v>2370.9923627322091</v>
      </c>
      <c r="E53" s="641">
        <f>IF(E22=0,0,E16/E22)</f>
        <v>2541.5228298790007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10504.25970243025</v>
      </c>
      <c r="D54" s="641">
        <f>IF(D23=0,0,D16/D23)</f>
        <v>11531.582717335539</v>
      </c>
      <c r="E54" s="641">
        <f>IF(E23=0,0,E16/E23)</f>
        <v>11546.726939273207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1645.1577442199693</v>
      </c>
      <c r="D55" s="641">
        <f>IF(D29=0,0,D16/D29)</f>
        <v>1550.3155992807744</v>
      </c>
      <c r="E55" s="641">
        <f>IF(E29=0,0,E16/E29)</f>
        <v>1796.81450290254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7926.253010748178</v>
      </c>
      <c r="D56" s="641">
        <f>IF(D30=0,0,D16/D30)</f>
        <v>7540.1308127710117</v>
      </c>
      <c r="E56" s="641">
        <f>IF(E30=0,0,E16/E30)</f>
        <v>8163.3445041803179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33893598</v>
      </c>
      <c r="D59" s="649">
        <v>33017306</v>
      </c>
      <c r="E59" s="649">
        <v>31968760</v>
      </c>
    </row>
    <row r="60" spans="1:6" ht="26.1" customHeight="1" x14ac:dyDescent="0.25">
      <c r="A60" s="639">
        <v>2</v>
      </c>
      <c r="B60" s="640" t="s">
        <v>938</v>
      </c>
      <c r="C60" s="649">
        <v>9032365</v>
      </c>
      <c r="D60" s="649">
        <v>8798841</v>
      </c>
      <c r="E60" s="649">
        <v>9335720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42925963</v>
      </c>
      <c r="D61" s="652">
        <f>D59+D60</f>
        <v>41816147</v>
      </c>
      <c r="E61" s="652">
        <f>E59+E60</f>
        <v>41304480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14395769</v>
      </c>
      <c r="D64" s="641">
        <v>14446788</v>
      </c>
      <c r="E64" s="649">
        <v>8044219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3836354</v>
      </c>
      <c r="D65" s="649">
        <v>3948037</v>
      </c>
      <c r="E65" s="649">
        <v>2349124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18232123</v>
      </c>
      <c r="D66" s="654">
        <f>D64+D65</f>
        <v>18394825</v>
      </c>
      <c r="E66" s="654">
        <f>E64+E65</f>
        <v>10393343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60406391</v>
      </c>
      <c r="D69" s="649">
        <v>58531193</v>
      </c>
      <c r="E69" s="649">
        <v>58791114</v>
      </c>
    </row>
    <row r="70" spans="1:6" ht="26.1" customHeight="1" x14ac:dyDescent="0.25">
      <c r="A70" s="639">
        <v>2</v>
      </c>
      <c r="B70" s="640" t="s">
        <v>946</v>
      </c>
      <c r="C70" s="649">
        <v>16097807</v>
      </c>
      <c r="D70" s="649">
        <v>17348785</v>
      </c>
      <c r="E70" s="649">
        <v>17168555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76504198</v>
      </c>
      <c r="D71" s="652">
        <f>D69+D70</f>
        <v>75879978</v>
      </c>
      <c r="E71" s="652">
        <f>E69+E70</f>
        <v>75959669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108695758</v>
      </c>
      <c r="D75" s="641">
        <f t="shared" si="0"/>
        <v>105995287</v>
      </c>
      <c r="E75" s="641">
        <f t="shared" si="0"/>
        <v>98804093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28966526</v>
      </c>
      <c r="D76" s="641">
        <f t="shared" si="0"/>
        <v>30095663</v>
      </c>
      <c r="E76" s="641">
        <f t="shared" si="0"/>
        <v>28853399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137662284</v>
      </c>
      <c r="D77" s="654">
        <f>D75+D76</f>
        <v>136090950</v>
      </c>
      <c r="E77" s="654">
        <f>E75+E76</f>
        <v>127657492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393.8</v>
      </c>
      <c r="D80" s="646">
        <v>381</v>
      </c>
      <c r="E80" s="646">
        <v>361.5</v>
      </c>
    </row>
    <row r="81" spans="1:5" ht="26.1" customHeight="1" x14ac:dyDescent="0.25">
      <c r="A81" s="639">
        <v>2</v>
      </c>
      <c r="B81" s="640" t="s">
        <v>579</v>
      </c>
      <c r="C81" s="646">
        <v>109.4</v>
      </c>
      <c r="D81" s="646">
        <v>120.8</v>
      </c>
      <c r="E81" s="646">
        <v>86.7</v>
      </c>
    </row>
    <row r="82" spans="1:5" ht="26.1" customHeight="1" x14ac:dyDescent="0.25">
      <c r="A82" s="639">
        <v>3</v>
      </c>
      <c r="B82" s="640" t="s">
        <v>952</v>
      </c>
      <c r="C82" s="646">
        <v>1121.8</v>
      </c>
      <c r="D82" s="646">
        <v>1087.4000000000001</v>
      </c>
      <c r="E82" s="646">
        <v>1064.9000000000001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1625</v>
      </c>
      <c r="D83" s="656">
        <f>D80+D81+D82</f>
        <v>1589.2</v>
      </c>
      <c r="E83" s="656">
        <f>E80+E81+E82</f>
        <v>1513.1000000000001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86068.04977145759</v>
      </c>
      <c r="D86" s="649">
        <f>IF(D80=0,0,D59/D80)</f>
        <v>86659.595800524941</v>
      </c>
      <c r="E86" s="649">
        <f>IF(E80=0,0,E59/E80)</f>
        <v>88433.637621023518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22936.427120365668</v>
      </c>
      <c r="D87" s="649">
        <f>IF(D80=0,0,D60/D80)</f>
        <v>23094.070866141734</v>
      </c>
      <c r="E87" s="649">
        <f>IF(E80=0,0,E60/E80)</f>
        <v>25824.951590594745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109004.47689182326</v>
      </c>
      <c r="D88" s="652">
        <f>+D86+D87</f>
        <v>109753.66666666667</v>
      </c>
      <c r="E88" s="652">
        <f>+E86+E87</f>
        <v>114258.58921161827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131588.38208409506</v>
      </c>
      <c r="D91" s="641">
        <f>IF(D81=0,0,D64/D81)</f>
        <v>119592.61589403974</v>
      </c>
      <c r="E91" s="641">
        <f>IF(E81=0,0,E64/E81)</f>
        <v>92782.226066897347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35067.221206581351</v>
      </c>
      <c r="D92" s="641">
        <f>IF(D81=0,0,D65/D81)</f>
        <v>32682.425496688742</v>
      </c>
      <c r="E92" s="641">
        <f>IF(E81=0,0,E65/E81)</f>
        <v>27094.855824682814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166655.60329067643</v>
      </c>
      <c r="D93" s="654">
        <f>+D91+D92</f>
        <v>152275.0413907285</v>
      </c>
      <c r="E93" s="654">
        <f>+E91+E92</f>
        <v>119877.08189158016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53847.736673203784</v>
      </c>
      <c r="D96" s="649">
        <f>IF(D82=0,0,D69/D82)</f>
        <v>53826.736251609342</v>
      </c>
      <c r="E96" s="649">
        <f>IF(E82=0,0,E69/E82)</f>
        <v>55208.107803549625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14349.979497236585</v>
      </c>
      <c r="D97" s="649">
        <f>IF(D82=0,0,D70/D82)</f>
        <v>15954.372815891114</v>
      </c>
      <c r="E97" s="649">
        <f>IF(E82=0,0,E70/E82)</f>
        <v>16122.222743919616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68197.71617044037</v>
      </c>
      <c r="D98" s="654">
        <f>+D96+D97</f>
        <v>69781.109067500453</v>
      </c>
      <c r="E98" s="654">
        <f>+E96+E97</f>
        <v>71330.330547469246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66889.697230769234</v>
      </c>
      <c r="D101" s="641">
        <f>IF(D83=0,0,D75/D83)</f>
        <v>66697.260885980359</v>
      </c>
      <c r="E101" s="641">
        <f>IF(E83=0,0,E75/E83)</f>
        <v>65299.116383583365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17825.554461538461</v>
      </c>
      <c r="D102" s="658">
        <f>IF(D83=0,0,D76/D83)</f>
        <v>18937.618298514975</v>
      </c>
      <c r="E102" s="658">
        <f>IF(E83=0,0,E76/E83)</f>
        <v>19069.062851100389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84715.251692307691</v>
      </c>
      <c r="D103" s="654">
        <f>+D101+D102</f>
        <v>85634.879184495338</v>
      </c>
      <c r="E103" s="654">
        <f>+E101+E102</f>
        <v>84368.179234683746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1938.9873374931335</v>
      </c>
      <c r="D108" s="641">
        <f>IF(D19=0,0,D77/D19)</f>
        <v>2010.7406696019621</v>
      </c>
      <c r="E108" s="641">
        <f>IF(E19=0,0,E77/E19)</f>
        <v>2153.7934571712981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9341.903094462541</v>
      </c>
      <c r="D109" s="641">
        <f>IF(D20=0,0,D77/D20)</f>
        <v>9779.4588962345497</v>
      </c>
      <c r="E109" s="641">
        <f>IF(E20=0,0,E77/E20)</f>
        <v>9785.182584700291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1223.0165905511938</v>
      </c>
      <c r="D110" s="641">
        <f>IF(D22=0,0,D77/D22)</f>
        <v>1272.6987011657006</v>
      </c>
      <c r="E110" s="641">
        <f>IF(E22=0,0,E77/E22)</f>
        <v>1365.9692215141708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5892.4069543541736</v>
      </c>
      <c r="D111" s="641">
        <f>IF(D23=0,0,D77/D23)</f>
        <v>6189.910426293256</v>
      </c>
      <c r="E111" s="641">
        <f>IF(E23=0,0,E77/E23)</f>
        <v>6205.9145890208811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922.85788886280079</v>
      </c>
      <c r="D112" s="641">
        <f>IF(D29=0,0,D77/D29)</f>
        <v>832.17672085956701</v>
      </c>
      <c r="E112" s="641">
        <f>IF(E29=0,0,E77/E29)</f>
        <v>965.71759217760211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4446.2636764109839</v>
      </c>
      <c r="D113" s="641">
        <f>IF(D30=0,0,D77/D30)</f>
        <v>4047.3832150917806</v>
      </c>
      <c r="E113" s="641">
        <f>IF(E30=0,0,E77/E30)</f>
        <v>4387.4787219039281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FILING&amp;R&amp;12WATERBURY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activeCell="A8" sqref="A8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844914262</v>
      </c>
      <c r="D12" s="51">
        <v>815767934</v>
      </c>
      <c r="E12" s="51">
        <f t="shared" ref="E12:E19" si="0">D12-C12</f>
        <v>-29146328</v>
      </c>
      <c r="F12" s="70">
        <f t="shared" ref="F12:F19" si="1">IF(C12=0,0,E12/C12)</f>
        <v>-3.4496196017578883E-2</v>
      </c>
    </row>
    <row r="13" spans="1:8" ht="23.1" customHeight="1" x14ac:dyDescent="0.2">
      <c r="A13" s="25">
        <v>2</v>
      </c>
      <c r="B13" s="48" t="s">
        <v>72</v>
      </c>
      <c r="C13" s="51">
        <v>601712067</v>
      </c>
      <c r="D13" s="51">
        <v>583675151</v>
      </c>
      <c r="E13" s="51">
        <f t="shared" si="0"/>
        <v>-18036916</v>
      </c>
      <c r="F13" s="70">
        <f t="shared" si="1"/>
        <v>-2.9975991822680199E-2</v>
      </c>
    </row>
    <row r="14" spans="1:8" ht="23.1" customHeight="1" x14ac:dyDescent="0.2">
      <c r="A14" s="25">
        <v>3</v>
      </c>
      <c r="B14" s="48" t="s">
        <v>73</v>
      </c>
      <c r="C14" s="51">
        <v>3273671</v>
      </c>
      <c r="D14" s="51">
        <v>3081465</v>
      </c>
      <c r="E14" s="51">
        <f t="shared" si="0"/>
        <v>-192206</v>
      </c>
      <c r="F14" s="70">
        <f t="shared" si="1"/>
        <v>-5.8712680657280462E-2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239928524</v>
      </c>
      <c r="D16" s="27">
        <f>D12-D13-D14-D15</f>
        <v>229011318</v>
      </c>
      <c r="E16" s="27">
        <f t="shared" si="0"/>
        <v>-10917206</v>
      </c>
      <c r="F16" s="28">
        <f t="shared" si="1"/>
        <v>-4.5501909560365567E-2</v>
      </c>
    </row>
    <row r="17" spans="1:7" ht="23.1" customHeight="1" x14ac:dyDescent="0.2">
      <c r="A17" s="25">
        <v>5</v>
      </c>
      <c r="B17" s="48" t="s">
        <v>76</v>
      </c>
      <c r="C17" s="51">
        <v>3509420</v>
      </c>
      <c r="D17" s="51">
        <v>2460675</v>
      </c>
      <c r="E17" s="51">
        <f t="shared" si="0"/>
        <v>-1048745</v>
      </c>
      <c r="F17" s="70">
        <f t="shared" si="1"/>
        <v>-0.29883712978212923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5108393</v>
      </c>
      <c r="D18" s="51">
        <v>5405414</v>
      </c>
      <c r="E18" s="51">
        <f t="shared" si="0"/>
        <v>297021</v>
      </c>
      <c r="F18" s="70">
        <f t="shared" si="1"/>
        <v>5.8143725433810592E-2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248546337</v>
      </c>
      <c r="D19" s="27">
        <f>SUM(D16:D18)</f>
        <v>236877407</v>
      </c>
      <c r="E19" s="27">
        <f t="shared" si="0"/>
        <v>-11668930</v>
      </c>
      <c r="F19" s="28">
        <f t="shared" si="1"/>
        <v>-4.6948710412899788E-2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105995287</v>
      </c>
      <c r="D22" s="51">
        <v>98804093</v>
      </c>
      <c r="E22" s="51">
        <f t="shared" ref="E22:E31" si="2">D22-C22</f>
        <v>-7191194</v>
      </c>
      <c r="F22" s="70">
        <f t="shared" ref="F22:F31" si="3">IF(C22=0,0,E22/C22)</f>
        <v>-6.7844469348906047E-2</v>
      </c>
    </row>
    <row r="23" spans="1:7" ht="23.1" customHeight="1" x14ac:dyDescent="0.2">
      <c r="A23" s="25">
        <v>2</v>
      </c>
      <c r="B23" s="48" t="s">
        <v>81</v>
      </c>
      <c r="C23" s="51">
        <v>30095663</v>
      </c>
      <c r="D23" s="51">
        <v>28853399</v>
      </c>
      <c r="E23" s="51">
        <f t="shared" si="2"/>
        <v>-1242264</v>
      </c>
      <c r="F23" s="70">
        <f t="shared" si="3"/>
        <v>-4.1277176714797741E-2</v>
      </c>
    </row>
    <row r="24" spans="1:7" ht="23.1" customHeight="1" x14ac:dyDescent="0.2">
      <c r="A24" s="25">
        <v>3</v>
      </c>
      <c r="B24" s="48" t="s">
        <v>82</v>
      </c>
      <c r="C24" s="51">
        <v>10486600</v>
      </c>
      <c r="D24" s="51">
        <v>11608202</v>
      </c>
      <c r="E24" s="51">
        <f t="shared" si="2"/>
        <v>1121602</v>
      </c>
      <c r="F24" s="70">
        <f t="shared" si="3"/>
        <v>0.10695573398432286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37120926</v>
      </c>
      <c r="D25" s="51">
        <v>33658593</v>
      </c>
      <c r="E25" s="51">
        <f t="shared" si="2"/>
        <v>-3462333</v>
      </c>
      <c r="F25" s="70">
        <f t="shared" si="3"/>
        <v>-9.3271730344226866E-2</v>
      </c>
    </row>
    <row r="26" spans="1:7" ht="23.1" customHeight="1" x14ac:dyDescent="0.2">
      <c r="A26" s="25">
        <v>5</v>
      </c>
      <c r="B26" s="48" t="s">
        <v>84</v>
      </c>
      <c r="C26" s="51">
        <v>9056904</v>
      </c>
      <c r="D26" s="51">
        <v>9226011</v>
      </c>
      <c r="E26" s="51">
        <f t="shared" si="2"/>
        <v>169107</v>
      </c>
      <c r="F26" s="70">
        <f t="shared" si="3"/>
        <v>1.8671612286052717E-2</v>
      </c>
    </row>
    <row r="27" spans="1:7" ht="23.1" customHeight="1" x14ac:dyDescent="0.2">
      <c r="A27" s="25">
        <v>6</v>
      </c>
      <c r="B27" s="48" t="s">
        <v>85</v>
      </c>
      <c r="C27" s="51">
        <v>14319487</v>
      </c>
      <c r="D27" s="51">
        <v>14985815</v>
      </c>
      <c r="E27" s="51">
        <f t="shared" si="2"/>
        <v>666328</v>
      </c>
      <c r="F27" s="70">
        <f t="shared" si="3"/>
        <v>4.6532951913710319E-2</v>
      </c>
    </row>
    <row r="28" spans="1:7" ht="23.1" customHeight="1" x14ac:dyDescent="0.2">
      <c r="A28" s="25">
        <v>7</v>
      </c>
      <c r="B28" s="48" t="s">
        <v>86</v>
      </c>
      <c r="C28" s="51">
        <v>1281962</v>
      </c>
      <c r="D28" s="51">
        <v>1188449</v>
      </c>
      <c r="E28" s="51">
        <f t="shared" si="2"/>
        <v>-93513</v>
      </c>
      <c r="F28" s="70">
        <f t="shared" si="3"/>
        <v>-7.2945219905114198E-2</v>
      </c>
    </row>
    <row r="29" spans="1:7" ht="23.1" customHeight="1" x14ac:dyDescent="0.2">
      <c r="A29" s="25">
        <v>8</v>
      </c>
      <c r="B29" s="48" t="s">
        <v>87</v>
      </c>
      <c r="C29" s="51">
        <v>4566483</v>
      </c>
      <c r="D29" s="51">
        <v>3538376</v>
      </c>
      <c r="E29" s="51">
        <f t="shared" si="2"/>
        <v>-1028107</v>
      </c>
      <c r="F29" s="70">
        <f t="shared" si="3"/>
        <v>-0.22514197468817906</v>
      </c>
    </row>
    <row r="30" spans="1:7" ht="23.1" customHeight="1" x14ac:dyDescent="0.2">
      <c r="A30" s="25">
        <v>9</v>
      </c>
      <c r="B30" s="48" t="s">
        <v>88</v>
      </c>
      <c r="C30" s="51">
        <v>40609282</v>
      </c>
      <c r="D30" s="51">
        <v>35656638</v>
      </c>
      <c r="E30" s="51">
        <f t="shared" si="2"/>
        <v>-4952644</v>
      </c>
      <c r="F30" s="70">
        <f t="shared" si="3"/>
        <v>-0.121958423199898</v>
      </c>
    </row>
    <row r="31" spans="1:7" ht="23.1" customHeight="1" x14ac:dyDescent="0.25">
      <c r="A31" s="29"/>
      <c r="B31" s="71" t="s">
        <v>89</v>
      </c>
      <c r="C31" s="27">
        <f>SUM(C22:C30)</f>
        <v>253532594</v>
      </c>
      <c r="D31" s="27">
        <f>SUM(D22:D30)</f>
        <v>237519576</v>
      </c>
      <c r="E31" s="27">
        <f t="shared" si="2"/>
        <v>-16013018</v>
      </c>
      <c r="F31" s="28">
        <f t="shared" si="3"/>
        <v>-6.3159603060740976E-2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-4986257</v>
      </c>
      <c r="D33" s="27">
        <f>+D19-D31</f>
        <v>-642169</v>
      </c>
      <c r="E33" s="27">
        <f>D33-C33</f>
        <v>4344088</v>
      </c>
      <c r="F33" s="28">
        <f>IF(C33=0,0,E33/C33)</f>
        <v>-0.87121221389110104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1617478</v>
      </c>
      <c r="D36" s="51">
        <v>684910</v>
      </c>
      <c r="E36" s="51">
        <f>D36-C36</f>
        <v>-932568</v>
      </c>
      <c r="F36" s="70">
        <f>IF(C36=0,0,E36/C36)</f>
        <v>-0.57655683724910012</v>
      </c>
    </row>
    <row r="37" spans="1:6" ht="23.1" customHeight="1" x14ac:dyDescent="0.2">
      <c r="A37" s="44">
        <v>2</v>
      </c>
      <c r="B37" s="48" t="s">
        <v>93</v>
      </c>
      <c r="C37" s="51">
        <v>434411</v>
      </c>
      <c r="D37" s="51">
        <v>157191</v>
      </c>
      <c r="E37" s="51">
        <f>D37-C37</f>
        <v>-277220</v>
      </c>
      <c r="F37" s="70">
        <f>IF(C37=0,0,E37/C37)</f>
        <v>-0.63815142802553337</v>
      </c>
    </row>
    <row r="38" spans="1:6" ht="23.1" customHeight="1" x14ac:dyDescent="0.2">
      <c r="A38" s="44">
        <v>3</v>
      </c>
      <c r="B38" s="48" t="s">
        <v>94</v>
      </c>
      <c r="C38" s="51">
        <v>1014797</v>
      </c>
      <c r="D38" s="51">
        <v>127424</v>
      </c>
      <c r="E38" s="51">
        <f>D38-C38</f>
        <v>-887373</v>
      </c>
      <c r="F38" s="70">
        <f>IF(C38=0,0,E38/C38)</f>
        <v>-0.87443400010051275</v>
      </c>
    </row>
    <row r="39" spans="1:6" ht="23.1" customHeight="1" x14ac:dyDescent="0.25">
      <c r="A39" s="20"/>
      <c r="B39" s="71" t="s">
        <v>95</v>
      </c>
      <c r="C39" s="27">
        <f>SUM(C36:C38)</f>
        <v>3066686</v>
      </c>
      <c r="D39" s="27">
        <f>SUM(D36:D38)</f>
        <v>969525</v>
      </c>
      <c r="E39" s="27">
        <f>D39-C39</f>
        <v>-2097161</v>
      </c>
      <c r="F39" s="28">
        <f>IF(C39=0,0,E39/C39)</f>
        <v>-0.68385253658183465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-1919571</v>
      </c>
      <c r="D41" s="27">
        <f>D33+D39</f>
        <v>327356</v>
      </c>
      <c r="E41" s="27">
        <f>D41-C41</f>
        <v>2246927</v>
      </c>
      <c r="F41" s="28">
        <f>IF(C41=0,0,E41/C41)</f>
        <v>-1.1705360208088162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-1919571</v>
      </c>
      <c r="D48" s="27">
        <f>D41+D46</f>
        <v>327356</v>
      </c>
      <c r="E48" s="27">
        <f>D48-C48</f>
        <v>2246927</v>
      </c>
      <c r="F48" s="28">
        <f>IF(C48=0,0,E48/C48)</f>
        <v>-1.1705360208088162</v>
      </c>
    </row>
    <row r="49" spans="1:6" ht="23.1" customHeight="1" x14ac:dyDescent="0.2">
      <c r="A49" s="44"/>
      <c r="B49" s="48" t="s">
        <v>102</v>
      </c>
      <c r="C49" s="51">
        <v>1162266</v>
      </c>
      <c r="D49" s="51">
        <v>1334228</v>
      </c>
      <c r="E49" s="51">
        <f>D49-C49</f>
        <v>171962</v>
      </c>
      <c r="F49" s="70">
        <f>IF(C49=0,0,E49/C49)</f>
        <v>0.14795408280032282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FILING&amp;RWATERBURY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activeCell="A8" sqref="A8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267926170</v>
      </c>
      <c r="D14" s="97">
        <v>245851820</v>
      </c>
      <c r="E14" s="97">
        <f t="shared" ref="E14:E25" si="0">D14-C14</f>
        <v>-22074350</v>
      </c>
      <c r="F14" s="98">
        <f t="shared" ref="F14:F25" si="1">IF(C14=0,0,E14/C14)</f>
        <v>-8.2389674737633881E-2</v>
      </c>
    </row>
    <row r="15" spans="1:6" ht="18" customHeight="1" x14ac:dyDescent="0.25">
      <c r="A15" s="99">
        <v>2</v>
      </c>
      <c r="B15" s="100" t="s">
        <v>113</v>
      </c>
      <c r="C15" s="97">
        <v>38759660</v>
      </c>
      <c r="D15" s="97">
        <v>43441660</v>
      </c>
      <c r="E15" s="97">
        <f t="shared" si="0"/>
        <v>4682000</v>
      </c>
      <c r="F15" s="98">
        <f t="shared" si="1"/>
        <v>0.12079569325427519</v>
      </c>
    </row>
    <row r="16" spans="1:6" ht="18" customHeight="1" x14ac:dyDescent="0.25">
      <c r="A16" s="99">
        <v>3</v>
      </c>
      <c r="B16" s="100" t="s">
        <v>114</v>
      </c>
      <c r="C16" s="97">
        <v>34349834</v>
      </c>
      <c r="D16" s="97">
        <v>32629630</v>
      </c>
      <c r="E16" s="97">
        <f t="shared" si="0"/>
        <v>-1720204</v>
      </c>
      <c r="F16" s="98">
        <f t="shared" si="1"/>
        <v>-5.0078961080277706E-2</v>
      </c>
    </row>
    <row r="17" spans="1:6" ht="18" customHeight="1" x14ac:dyDescent="0.25">
      <c r="A17" s="99">
        <v>4</v>
      </c>
      <c r="B17" s="100" t="s">
        <v>115</v>
      </c>
      <c r="C17" s="97">
        <v>21928723</v>
      </c>
      <c r="D17" s="97">
        <v>25051714</v>
      </c>
      <c r="E17" s="97">
        <f t="shared" si="0"/>
        <v>3122991</v>
      </c>
      <c r="F17" s="98">
        <f t="shared" si="1"/>
        <v>0.14241554330363879</v>
      </c>
    </row>
    <row r="18" spans="1:6" ht="18" customHeight="1" x14ac:dyDescent="0.25">
      <c r="A18" s="99">
        <v>5</v>
      </c>
      <c r="B18" s="100" t="s">
        <v>116</v>
      </c>
      <c r="C18" s="97">
        <v>803012</v>
      </c>
      <c r="D18" s="97">
        <v>433901</v>
      </c>
      <c r="E18" s="97">
        <f t="shared" si="0"/>
        <v>-369111</v>
      </c>
      <c r="F18" s="98">
        <f t="shared" si="1"/>
        <v>-0.45965813711376668</v>
      </c>
    </row>
    <row r="19" spans="1:6" ht="18" customHeight="1" x14ac:dyDescent="0.25">
      <c r="A19" s="99">
        <v>6</v>
      </c>
      <c r="B19" s="100" t="s">
        <v>117</v>
      </c>
      <c r="C19" s="97">
        <v>69311069</v>
      </c>
      <c r="D19" s="97">
        <v>65748935</v>
      </c>
      <c r="E19" s="97">
        <f t="shared" si="0"/>
        <v>-3562134</v>
      </c>
      <c r="F19" s="98">
        <f t="shared" si="1"/>
        <v>-5.1393436162411522E-2</v>
      </c>
    </row>
    <row r="20" spans="1:6" ht="18" customHeight="1" x14ac:dyDescent="0.25">
      <c r="A20" s="99">
        <v>7</v>
      </c>
      <c r="B20" s="100" t="s">
        <v>118</v>
      </c>
      <c r="C20" s="97">
        <v>68252270</v>
      </c>
      <c r="D20" s="97">
        <v>70842780</v>
      </c>
      <c r="E20" s="97">
        <f t="shared" si="0"/>
        <v>2590510</v>
      </c>
      <c r="F20" s="98">
        <f t="shared" si="1"/>
        <v>3.795492809250154E-2</v>
      </c>
    </row>
    <row r="21" spans="1:6" ht="18" customHeight="1" x14ac:dyDescent="0.25">
      <c r="A21" s="99">
        <v>8</v>
      </c>
      <c r="B21" s="100" t="s">
        <v>119</v>
      </c>
      <c r="C21" s="97">
        <v>4609867</v>
      </c>
      <c r="D21" s="97">
        <v>4858298</v>
      </c>
      <c r="E21" s="97">
        <f t="shared" si="0"/>
        <v>248431</v>
      </c>
      <c r="F21" s="98">
        <f t="shared" si="1"/>
        <v>5.3891142629494515E-2</v>
      </c>
    </row>
    <row r="22" spans="1:6" ht="18" customHeight="1" x14ac:dyDescent="0.25">
      <c r="A22" s="99">
        <v>9</v>
      </c>
      <c r="B22" s="100" t="s">
        <v>120</v>
      </c>
      <c r="C22" s="97">
        <v>8867028</v>
      </c>
      <c r="D22" s="97">
        <v>7496163</v>
      </c>
      <c r="E22" s="97">
        <f t="shared" si="0"/>
        <v>-1370865</v>
      </c>
      <c r="F22" s="98">
        <f t="shared" si="1"/>
        <v>-0.15460253424258952</v>
      </c>
    </row>
    <row r="23" spans="1:6" ht="18" customHeight="1" x14ac:dyDescent="0.25">
      <c r="A23" s="99">
        <v>10</v>
      </c>
      <c r="B23" s="100" t="s">
        <v>121</v>
      </c>
      <c r="C23" s="97">
        <v>19981018</v>
      </c>
      <c r="D23" s="97">
        <v>21017773</v>
      </c>
      <c r="E23" s="97">
        <f t="shared" si="0"/>
        <v>1036755</v>
      </c>
      <c r="F23" s="98">
        <f t="shared" si="1"/>
        <v>5.1886995947854106E-2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534788651</v>
      </c>
      <c r="D25" s="103">
        <f>SUM(D14:D24)</f>
        <v>517372674</v>
      </c>
      <c r="E25" s="103">
        <f t="shared" si="0"/>
        <v>-17415977</v>
      </c>
      <c r="F25" s="104">
        <f t="shared" si="1"/>
        <v>-3.2566093105068528E-2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83849883</v>
      </c>
      <c r="D27" s="97">
        <v>82839262</v>
      </c>
      <c r="E27" s="97">
        <f t="shared" ref="E27:E38" si="2">D27-C27</f>
        <v>-1010621</v>
      </c>
      <c r="F27" s="98">
        <f t="shared" ref="F27:F38" si="3">IF(C27=0,0,E27/C27)</f>
        <v>-1.2052741922132437E-2</v>
      </c>
    </row>
    <row r="28" spans="1:6" ht="18" customHeight="1" x14ac:dyDescent="0.25">
      <c r="A28" s="99">
        <v>2</v>
      </c>
      <c r="B28" s="100" t="s">
        <v>113</v>
      </c>
      <c r="C28" s="97">
        <v>14191150</v>
      </c>
      <c r="D28" s="97">
        <v>16264113</v>
      </c>
      <c r="E28" s="97">
        <f t="shared" si="2"/>
        <v>2072963</v>
      </c>
      <c r="F28" s="98">
        <f t="shared" si="3"/>
        <v>0.1460743491542264</v>
      </c>
    </row>
    <row r="29" spans="1:6" ht="18" customHeight="1" x14ac:dyDescent="0.25">
      <c r="A29" s="99">
        <v>3</v>
      </c>
      <c r="B29" s="100" t="s">
        <v>114</v>
      </c>
      <c r="C29" s="97">
        <v>18014339</v>
      </c>
      <c r="D29" s="97">
        <v>15701399</v>
      </c>
      <c r="E29" s="97">
        <f t="shared" si="2"/>
        <v>-2312940</v>
      </c>
      <c r="F29" s="98">
        <f t="shared" si="3"/>
        <v>-0.12839438627195812</v>
      </c>
    </row>
    <row r="30" spans="1:6" ht="18" customHeight="1" x14ac:dyDescent="0.25">
      <c r="A30" s="99">
        <v>4</v>
      </c>
      <c r="B30" s="100" t="s">
        <v>115</v>
      </c>
      <c r="C30" s="97">
        <v>33242687</v>
      </c>
      <c r="D30" s="97">
        <v>35299813</v>
      </c>
      <c r="E30" s="97">
        <f t="shared" si="2"/>
        <v>2057126</v>
      </c>
      <c r="F30" s="98">
        <f t="shared" si="3"/>
        <v>6.1882061459111293E-2</v>
      </c>
    </row>
    <row r="31" spans="1:6" ht="18" customHeight="1" x14ac:dyDescent="0.25">
      <c r="A31" s="99">
        <v>5</v>
      </c>
      <c r="B31" s="100" t="s">
        <v>116</v>
      </c>
      <c r="C31" s="97">
        <v>463890</v>
      </c>
      <c r="D31" s="97">
        <v>439975</v>
      </c>
      <c r="E31" s="97">
        <f t="shared" si="2"/>
        <v>-23915</v>
      </c>
      <c r="F31" s="98">
        <f t="shared" si="3"/>
        <v>-5.1553169932527107E-2</v>
      </c>
    </row>
    <row r="32" spans="1:6" ht="18" customHeight="1" x14ac:dyDescent="0.25">
      <c r="A32" s="99">
        <v>6</v>
      </c>
      <c r="B32" s="100" t="s">
        <v>117</v>
      </c>
      <c r="C32" s="97">
        <v>62842967</v>
      </c>
      <c r="D32" s="97">
        <v>53929716</v>
      </c>
      <c r="E32" s="97">
        <f t="shared" si="2"/>
        <v>-8913251</v>
      </c>
      <c r="F32" s="98">
        <f t="shared" si="3"/>
        <v>-0.14183370750142971</v>
      </c>
    </row>
    <row r="33" spans="1:6" ht="18" customHeight="1" x14ac:dyDescent="0.25">
      <c r="A33" s="99">
        <v>7</v>
      </c>
      <c r="B33" s="100" t="s">
        <v>118</v>
      </c>
      <c r="C33" s="97">
        <v>63503900</v>
      </c>
      <c r="D33" s="97">
        <v>62254649</v>
      </c>
      <c r="E33" s="97">
        <f t="shared" si="2"/>
        <v>-1249251</v>
      </c>
      <c r="F33" s="98">
        <f t="shared" si="3"/>
        <v>-1.9672035890709073E-2</v>
      </c>
    </row>
    <row r="34" spans="1:6" ht="18" customHeight="1" x14ac:dyDescent="0.25">
      <c r="A34" s="99">
        <v>8</v>
      </c>
      <c r="B34" s="100" t="s">
        <v>119</v>
      </c>
      <c r="C34" s="97">
        <v>6845324</v>
      </c>
      <c r="D34" s="97">
        <v>6751671</v>
      </c>
      <c r="E34" s="97">
        <f t="shared" si="2"/>
        <v>-93653</v>
      </c>
      <c r="F34" s="98">
        <f t="shared" si="3"/>
        <v>-1.368131004463777E-2</v>
      </c>
    </row>
    <row r="35" spans="1:6" ht="18" customHeight="1" x14ac:dyDescent="0.25">
      <c r="A35" s="99">
        <v>9</v>
      </c>
      <c r="B35" s="100" t="s">
        <v>120</v>
      </c>
      <c r="C35" s="97">
        <v>11129535</v>
      </c>
      <c r="D35" s="97">
        <v>8854899</v>
      </c>
      <c r="E35" s="97">
        <f t="shared" si="2"/>
        <v>-2274636</v>
      </c>
      <c r="F35" s="98">
        <f t="shared" si="3"/>
        <v>-0.20437835003888302</v>
      </c>
    </row>
    <row r="36" spans="1:6" ht="18" customHeight="1" x14ac:dyDescent="0.25">
      <c r="A36" s="99">
        <v>10</v>
      </c>
      <c r="B36" s="100" t="s">
        <v>121</v>
      </c>
      <c r="C36" s="97">
        <v>16041941</v>
      </c>
      <c r="D36" s="97">
        <v>16059756</v>
      </c>
      <c r="E36" s="97">
        <f t="shared" si="2"/>
        <v>17815</v>
      </c>
      <c r="F36" s="98">
        <f t="shared" si="3"/>
        <v>1.1105264631006933E-3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310125616</v>
      </c>
      <c r="D38" s="103">
        <f>SUM(D27:D37)</f>
        <v>298395253</v>
      </c>
      <c r="E38" s="103">
        <f t="shared" si="2"/>
        <v>-11730363</v>
      </c>
      <c r="F38" s="104">
        <f t="shared" si="3"/>
        <v>-3.782455364796438E-2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351776053</v>
      </c>
      <c r="D41" s="103">
        <f t="shared" si="4"/>
        <v>328691082</v>
      </c>
      <c r="E41" s="107">
        <f t="shared" ref="E41:E52" si="5">D41-C41</f>
        <v>-23084971</v>
      </c>
      <c r="F41" s="108">
        <f t="shared" ref="F41:F52" si="6">IF(C41=0,0,E41/C41)</f>
        <v>-6.5624054858560821E-2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52950810</v>
      </c>
      <c r="D42" s="103">
        <f t="shared" si="4"/>
        <v>59705773</v>
      </c>
      <c r="E42" s="107">
        <f t="shared" si="5"/>
        <v>6754963</v>
      </c>
      <c r="F42" s="108">
        <f t="shared" si="6"/>
        <v>0.12757053197108789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52364173</v>
      </c>
      <c r="D43" s="103">
        <f t="shared" si="4"/>
        <v>48331029</v>
      </c>
      <c r="E43" s="107">
        <f t="shared" si="5"/>
        <v>-4033144</v>
      </c>
      <c r="F43" s="108">
        <f t="shared" si="6"/>
        <v>-7.7021057890095959E-2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55171410</v>
      </c>
      <c r="D44" s="103">
        <f t="shared" si="4"/>
        <v>60351527</v>
      </c>
      <c r="E44" s="107">
        <f t="shared" si="5"/>
        <v>5180117</v>
      </c>
      <c r="F44" s="108">
        <f t="shared" si="6"/>
        <v>9.3891328860364456E-2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1266902</v>
      </c>
      <c r="D45" s="103">
        <f t="shared" si="4"/>
        <v>873876</v>
      </c>
      <c r="E45" s="107">
        <f t="shared" si="5"/>
        <v>-393026</v>
      </c>
      <c r="F45" s="108">
        <f t="shared" si="6"/>
        <v>-0.31022604747644256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132154036</v>
      </c>
      <c r="D46" s="103">
        <f t="shared" si="4"/>
        <v>119678651</v>
      </c>
      <c r="E46" s="107">
        <f t="shared" si="5"/>
        <v>-12475385</v>
      </c>
      <c r="F46" s="108">
        <f t="shared" si="6"/>
        <v>-9.440033295691401E-2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131756170</v>
      </c>
      <c r="D47" s="103">
        <f t="shared" si="4"/>
        <v>133097429</v>
      </c>
      <c r="E47" s="107">
        <f t="shared" si="5"/>
        <v>1341259</v>
      </c>
      <c r="F47" s="108">
        <f t="shared" si="6"/>
        <v>1.0179857231733437E-2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11455191</v>
      </c>
      <c r="D48" s="103">
        <f t="shared" si="4"/>
        <v>11609969</v>
      </c>
      <c r="E48" s="107">
        <f t="shared" si="5"/>
        <v>154778</v>
      </c>
      <c r="F48" s="108">
        <f t="shared" si="6"/>
        <v>1.351160360399054E-2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19996563</v>
      </c>
      <c r="D49" s="103">
        <f t="shared" si="4"/>
        <v>16351062</v>
      </c>
      <c r="E49" s="107">
        <f t="shared" si="5"/>
        <v>-3645501</v>
      </c>
      <c r="F49" s="108">
        <f t="shared" si="6"/>
        <v>-0.18230637935129151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36022959</v>
      </c>
      <c r="D50" s="103">
        <f t="shared" si="4"/>
        <v>37077529</v>
      </c>
      <c r="E50" s="107">
        <f t="shared" si="5"/>
        <v>1054570</v>
      </c>
      <c r="F50" s="108">
        <f t="shared" si="6"/>
        <v>2.9274941017477216E-2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844914267</v>
      </c>
      <c r="D52" s="112">
        <f>SUM(D41:D51)</f>
        <v>815767927</v>
      </c>
      <c r="E52" s="111">
        <f t="shared" si="5"/>
        <v>-29146340</v>
      </c>
      <c r="F52" s="113">
        <f t="shared" si="6"/>
        <v>-3.4496210016063088E-2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75908323</v>
      </c>
      <c r="D57" s="97">
        <v>69217001</v>
      </c>
      <c r="E57" s="97">
        <f t="shared" ref="E57:E68" si="7">D57-C57</f>
        <v>-6691322</v>
      </c>
      <c r="F57" s="98">
        <f t="shared" ref="F57:F68" si="8">IF(C57=0,0,E57/C57)</f>
        <v>-8.8150043836431477E-2</v>
      </c>
    </row>
    <row r="58" spans="1:6" ht="18" customHeight="1" x14ac:dyDescent="0.25">
      <c r="A58" s="99">
        <v>2</v>
      </c>
      <c r="B58" s="100" t="s">
        <v>113</v>
      </c>
      <c r="C58" s="97">
        <v>9408169</v>
      </c>
      <c r="D58" s="97">
        <v>11704943</v>
      </c>
      <c r="E58" s="97">
        <f t="shared" si="7"/>
        <v>2296774</v>
      </c>
      <c r="F58" s="98">
        <f t="shared" si="8"/>
        <v>0.24412550412306583</v>
      </c>
    </row>
    <row r="59" spans="1:6" ht="18" customHeight="1" x14ac:dyDescent="0.25">
      <c r="A59" s="99">
        <v>3</v>
      </c>
      <c r="B59" s="100" t="s">
        <v>114</v>
      </c>
      <c r="C59" s="97">
        <v>7306089</v>
      </c>
      <c r="D59" s="97">
        <v>6135697</v>
      </c>
      <c r="E59" s="97">
        <f t="shared" si="7"/>
        <v>-1170392</v>
      </c>
      <c r="F59" s="98">
        <f t="shared" si="8"/>
        <v>-0.16019405183813118</v>
      </c>
    </row>
    <row r="60" spans="1:6" ht="18" customHeight="1" x14ac:dyDescent="0.25">
      <c r="A60" s="99">
        <v>4</v>
      </c>
      <c r="B60" s="100" t="s">
        <v>115</v>
      </c>
      <c r="C60" s="97">
        <v>4792305</v>
      </c>
      <c r="D60" s="97">
        <v>4557807</v>
      </c>
      <c r="E60" s="97">
        <f t="shared" si="7"/>
        <v>-234498</v>
      </c>
      <c r="F60" s="98">
        <f t="shared" si="8"/>
        <v>-4.8932194424186275E-2</v>
      </c>
    </row>
    <row r="61" spans="1:6" ht="18" customHeight="1" x14ac:dyDescent="0.25">
      <c r="A61" s="99">
        <v>5</v>
      </c>
      <c r="B61" s="100" t="s">
        <v>116</v>
      </c>
      <c r="C61" s="97">
        <v>106979</v>
      </c>
      <c r="D61" s="97">
        <v>100569</v>
      </c>
      <c r="E61" s="97">
        <f t="shared" si="7"/>
        <v>-6410</v>
      </c>
      <c r="F61" s="98">
        <f t="shared" si="8"/>
        <v>-5.9918301722768019E-2</v>
      </c>
    </row>
    <row r="62" spans="1:6" ht="18" customHeight="1" x14ac:dyDescent="0.25">
      <c r="A62" s="99">
        <v>6</v>
      </c>
      <c r="B62" s="100" t="s">
        <v>117</v>
      </c>
      <c r="C62" s="97">
        <v>25656703</v>
      </c>
      <c r="D62" s="97">
        <v>25552899</v>
      </c>
      <c r="E62" s="97">
        <f t="shared" si="7"/>
        <v>-103804</v>
      </c>
      <c r="F62" s="98">
        <f t="shared" si="8"/>
        <v>-4.0458822787947457E-3</v>
      </c>
    </row>
    <row r="63" spans="1:6" ht="18" customHeight="1" x14ac:dyDescent="0.25">
      <c r="A63" s="99">
        <v>7</v>
      </c>
      <c r="B63" s="100" t="s">
        <v>118</v>
      </c>
      <c r="C63" s="97">
        <v>21528178</v>
      </c>
      <c r="D63" s="97">
        <v>21481559</v>
      </c>
      <c r="E63" s="97">
        <f t="shared" si="7"/>
        <v>-46619</v>
      </c>
      <c r="F63" s="98">
        <f t="shared" si="8"/>
        <v>-2.1654874834275339E-3</v>
      </c>
    </row>
    <row r="64" spans="1:6" ht="18" customHeight="1" x14ac:dyDescent="0.25">
      <c r="A64" s="99">
        <v>8</v>
      </c>
      <c r="B64" s="100" t="s">
        <v>119</v>
      </c>
      <c r="C64" s="97">
        <v>3409742</v>
      </c>
      <c r="D64" s="97">
        <v>3717991</v>
      </c>
      <c r="E64" s="97">
        <f t="shared" si="7"/>
        <v>308249</v>
      </c>
      <c r="F64" s="98">
        <f t="shared" si="8"/>
        <v>9.0402441005800444E-2</v>
      </c>
    </row>
    <row r="65" spans="1:6" ht="18" customHeight="1" x14ac:dyDescent="0.25">
      <c r="A65" s="99">
        <v>9</v>
      </c>
      <c r="B65" s="100" t="s">
        <v>120</v>
      </c>
      <c r="C65" s="97">
        <v>1031285</v>
      </c>
      <c r="D65" s="97">
        <v>105638</v>
      </c>
      <c r="E65" s="97">
        <f t="shared" si="7"/>
        <v>-925647</v>
      </c>
      <c r="F65" s="98">
        <f t="shared" si="8"/>
        <v>-0.89756662804171494</v>
      </c>
    </row>
    <row r="66" spans="1:6" ht="18" customHeight="1" x14ac:dyDescent="0.25">
      <c r="A66" s="99">
        <v>10</v>
      </c>
      <c r="B66" s="100" t="s">
        <v>121</v>
      </c>
      <c r="C66" s="97">
        <v>1538371</v>
      </c>
      <c r="D66" s="97">
        <v>2291206</v>
      </c>
      <c r="E66" s="97">
        <f t="shared" si="7"/>
        <v>752835</v>
      </c>
      <c r="F66" s="98">
        <f t="shared" si="8"/>
        <v>0.48937154951568901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150686144</v>
      </c>
      <c r="D68" s="103">
        <f>SUM(D57:D67)</f>
        <v>144865310</v>
      </c>
      <c r="E68" s="103">
        <f t="shared" si="7"/>
        <v>-5820834</v>
      </c>
      <c r="F68" s="104">
        <f t="shared" si="8"/>
        <v>-3.8628860262029135E-2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17480294</v>
      </c>
      <c r="D70" s="97">
        <v>15861616</v>
      </c>
      <c r="E70" s="97">
        <f t="shared" ref="E70:E81" si="9">D70-C70</f>
        <v>-1618678</v>
      </c>
      <c r="F70" s="98">
        <f t="shared" ref="F70:F81" si="10">IF(C70=0,0,E70/C70)</f>
        <v>-9.2600158784514719E-2</v>
      </c>
    </row>
    <row r="71" spans="1:6" ht="18" customHeight="1" x14ac:dyDescent="0.25">
      <c r="A71" s="99">
        <v>2</v>
      </c>
      <c r="B71" s="100" t="s">
        <v>113</v>
      </c>
      <c r="C71" s="97">
        <v>2625239</v>
      </c>
      <c r="D71" s="97">
        <v>2734587</v>
      </c>
      <c r="E71" s="97">
        <f t="shared" si="9"/>
        <v>109348</v>
      </c>
      <c r="F71" s="98">
        <f t="shared" si="10"/>
        <v>4.1652588583363265E-2</v>
      </c>
    </row>
    <row r="72" spans="1:6" ht="18" customHeight="1" x14ac:dyDescent="0.25">
      <c r="A72" s="99">
        <v>3</v>
      </c>
      <c r="B72" s="100" t="s">
        <v>114</v>
      </c>
      <c r="C72" s="97">
        <v>3009672</v>
      </c>
      <c r="D72" s="97">
        <v>2315210</v>
      </c>
      <c r="E72" s="97">
        <f t="shared" si="9"/>
        <v>-694462</v>
      </c>
      <c r="F72" s="98">
        <f t="shared" si="10"/>
        <v>-0.23074341655834921</v>
      </c>
    </row>
    <row r="73" spans="1:6" ht="18" customHeight="1" x14ac:dyDescent="0.25">
      <c r="A73" s="99">
        <v>4</v>
      </c>
      <c r="B73" s="100" t="s">
        <v>115</v>
      </c>
      <c r="C73" s="97">
        <v>6515498</v>
      </c>
      <c r="D73" s="97">
        <v>6478768</v>
      </c>
      <c r="E73" s="97">
        <f t="shared" si="9"/>
        <v>-36730</v>
      </c>
      <c r="F73" s="98">
        <f t="shared" si="10"/>
        <v>-5.6373281060020279E-3</v>
      </c>
    </row>
    <row r="74" spans="1:6" ht="18" customHeight="1" x14ac:dyDescent="0.25">
      <c r="A74" s="99">
        <v>5</v>
      </c>
      <c r="B74" s="100" t="s">
        <v>116</v>
      </c>
      <c r="C74" s="97">
        <v>137976</v>
      </c>
      <c r="D74" s="97">
        <v>97339</v>
      </c>
      <c r="E74" s="97">
        <f t="shared" si="9"/>
        <v>-40637</v>
      </c>
      <c r="F74" s="98">
        <f t="shared" si="10"/>
        <v>-0.29452223575114511</v>
      </c>
    </row>
    <row r="75" spans="1:6" ht="18" customHeight="1" x14ac:dyDescent="0.25">
      <c r="A75" s="99">
        <v>6</v>
      </c>
      <c r="B75" s="100" t="s">
        <v>117</v>
      </c>
      <c r="C75" s="97">
        <v>18989146</v>
      </c>
      <c r="D75" s="97">
        <v>17988289</v>
      </c>
      <c r="E75" s="97">
        <f t="shared" si="9"/>
        <v>-1000857</v>
      </c>
      <c r="F75" s="98">
        <f t="shared" si="10"/>
        <v>-5.2706793659914986E-2</v>
      </c>
    </row>
    <row r="76" spans="1:6" ht="18" customHeight="1" x14ac:dyDescent="0.25">
      <c r="A76" s="99">
        <v>7</v>
      </c>
      <c r="B76" s="100" t="s">
        <v>118</v>
      </c>
      <c r="C76" s="97">
        <v>14213260</v>
      </c>
      <c r="D76" s="97">
        <v>14021147</v>
      </c>
      <c r="E76" s="97">
        <f t="shared" si="9"/>
        <v>-192113</v>
      </c>
      <c r="F76" s="98">
        <f t="shared" si="10"/>
        <v>-1.3516462796008797E-2</v>
      </c>
    </row>
    <row r="77" spans="1:6" ht="18" customHeight="1" x14ac:dyDescent="0.25">
      <c r="A77" s="99">
        <v>8</v>
      </c>
      <c r="B77" s="100" t="s">
        <v>119</v>
      </c>
      <c r="C77" s="97">
        <v>5047020</v>
      </c>
      <c r="D77" s="97">
        <v>5657003</v>
      </c>
      <c r="E77" s="97">
        <f t="shared" si="9"/>
        <v>609983</v>
      </c>
      <c r="F77" s="98">
        <f t="shared" si="10"/>
        <v>0.12086003225665838</v>
      </c>
    </row>
    <row r="78" spans="1:6" ht="18" customHeight="1" x14ac:dyDescent="0.25">
      <c r="A78" s="99">
        <v>9</v>
      </c>
      <c r="B78" s="100" t="s">
        <v>120</v>
      </c>
      <c r="C78" s="97">
        <v>3642339</v>
      </c>
      <c r="D78" s="97">
        <v>608463</v>
      </c>
      <c r="E78" s="97">
        <f t="shared" si="9"/>
        <v>-3033876</v>
      </c>
      <c r="F78" s="98">
        <f t="shared" si="10"/>
        <v>-0.8329471803695373</v>
      </c>
    </row>
    <row r="79" spans="1:6" ht="18" customHeight="1" x14ac:dyDescent="0.25">
      <c r="A79" s="99">
        <v>10</v>
      </c>
      <c r="B79" s="100" t="s">
        <v>121</v>
      </c>
      <c r="C79" s="97">
        <v>1401067</v>
      </c>
      <c r="D79" s="97">
        <v>1314373</v>
      </c>
      <c r="E79" s="97">
        <f t="shared" si="9"/>
        <v>-86694</v>
      </c>
      <c r="F79" s="98">
        <f t="shared" si="10"/>
        <v>-6.187712650429994E-2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73061511</v>
      </c>
      <c r="D81" s="103">
        <f>SUM(D70:D80)</f>
        <v>67076795</v>
      </c>
      <c r="E81" s="103">
        <f t="shared" si="9"/>
        <v>-5984716</v>
      </c>
      <c r="F81" s="104">
        <f t="shared" si="10"/>
        <v>-8.1913389390482219E-2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93388617</v>
      </c>
      <c r="D84" s="103">
        <f t="shared" si="11"/>
        <v>85078617</v>
      </c>
      <c r="E84" s="103">
        <f t="shared" ref="E84:E95" si="12">D84-C84</f>
        <v>-8310000</v>
      </c>
      <c r="F84" s="104">
        <f t="shared" ref="F84:F95" si="13">IF(C84=0,0,E84/C84)</f>
        <v>-8.8983007425840768E-2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12033408</v>
      </c>
      <c r="D85" s="103">
        <f t="shared" si="11"/>
        <v>14439530</v>
      </c>
      <c r="E85" s="103">
        <f t="shared" si="12"/>
        <v>2406122</v>
      </c>
      <c r="F85" s="104">
        <f t="shared" si="13"/>
        <v>0.19995349613343119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10315761</v>
      </c>
      <c r="D86" s="103">
        <f t="shared" si="11"/>
        <v>8450907</v>
      </c>
      <c r="E86" s="103">
        <f t="shared" si="12"/>
        <v>-1864854</v>
      </c>
      <c r="F86" s="104">
        <f t="shared" si="13"/>
        <v>-0.18077716224716722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11307803</v>
      </c>
      <c r="D87" s="103">
        <f t="shared" si="11"/>
        <v>11036575</v>
      </c>
      <c r="E87" s="103">
        <f t="shared" si="12"/>
        <v>-271228</v>
      </c>
      <c r="F87" s="104">
        <f t="shared" si="13"/>
        <v>-2.3985914858969511E-2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244955</v>
      </c>
      <c r="D88" s="103">
        <f t="shared" si="11"/>
        <v>197908</v>
      </c>
      <c r="E88" s="103">
        <f t="shared" si="12"/>
        <v>-47047</v>
      </c>
      <c r="F88" s="104">
        <f t="shared" si="13"/>
        <v>-0.19206384846196239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44645849</v>
      </c>
      <c r="D89" s="103">
        <f t="shared" si="11"/>
        <v>43541188</v>
      </c>
      <c r="E89" s="103">
        <f t="shared" si="12"/>
        <v>-1104661</v>
      </c>
      <c r="F89" s="104">
        <f t="shared" si="13"/>
        <v>-2.4742748200398203E-2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35741438</v>
      </c>
      <c r="D90" s="103">
        <f t="shared" si="11"/>
        <v>35502706</v>
      </c>
      <c r="E90" s="103">
        <f t="shared" si="12"/>
        <v>-238732</v>
      </c>
      <c r="F90" s="104">
        <f t="shared" si="13"/>
        <v>-6.6794178790456054E-3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8456762</v>
      </c>
      <c r="D91" s="103">
        <f t="shared" si="11"/>
        <v>9374994</v>
      </c>
      <c r="E91" s="103">
        <f t="shared" si="12"/>
        <v>918232</v>
      </c>
      <c r="F91" s="104">
        <f t="shared" si="13"/>
        <v>0.10857961948083676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4673624</v>
      </c>
      <c r="D92" s="103">
        <f t="shared" si="11"/>
        <v>714101</v>
      </c>
      <c r="E92" s="103">
        <f t="shared" si="12"/>
        <v>-3959523</v>
      </c>
      <c r="F92" s="104">
        <f t="shared" si="13"/>
        <v>-0.84720615094410678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2939438</v>
      </c>
      <c r="D93" s="103">
        <f t="shared" si="11"/>
        <v>3605579</v>
      </c>
      <c r="E93" s="103">
        <f t="shared" si="12"/>
        <v>666141</v>
      </c>
      <c r="F93" s="104">
        <f t="shared" si="13"/>
        <v>0.22662189166772695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223747655</v>
      </c>
      <c r="D95" s="112">
        <f>SUM(D84:D94)</f>
        <v>211942105</v>
      </c>
      <c r="E95" s="112">
        <f t="shared" si="12"/>
        <v>-11805550</v>
      </c>
      <c r="F95" s="113">
        <f t="shared" si="13"/>
        <v>-5.2762787614466844E-2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5681</v>
      </c>
      <c r="D100" s="117">
        <v>5217</v>
      </c>
      <c r="E100" s="117">
        <f t="shared" ref="E100:E111" si="14">D100-C100</f>
        <v>-464</v>
      </c>
      <c r="F100" s="98">
        <f t="shared" ref="F100:F111" si="15">IF(C100=0,0,E100/C100)</f>
        <v>-8.1675761309628586E-2</v>
      </c>
    </row>
    <row r="101" spans="1:6" ht="18" customHeight="1" x14ac:dyDescent="0.25">
      <c r="A101" s="99">
        <v>2</v>
      </c>
      <c r="B101" s="100" t="s">
        <v>113</v>
      </c>
      <c r="C101" s="117">
        <v>815</v>
      </c>
      <c r="D101" s="117">
        <v>860</v>
      </c>
      <c r="E101" s="117">
        <f t="shared" si="14"/>
        <v>45</v>
      </c>
      <c r="F101" s="98">
        <f t="shared" si="15"/>
        <v>5.5214723926380369E-2</v>
      </c>
    </row>
    <row r="102" spans="1:6" ht="18" customHeight="1" x14ac:dyDescent="0.25">
      <c r="A102" s="99">
        <v>3</v>
      </c>
      <c r="B102" s="100" t="s">
        <v>114</v>
      </c>
      <c r="C102" s="117">
        <v>950</v>
      </c>
      <c r="D102" s="117">
        <v>926</v>
      </c>
      <c r="E102" s="117">
        <f t="shared" si="14"/>
        <v>-24</v>
      </c>
      <c r="F102" s="98">
        <f t="shared" si="15"/>
        <v>-2.5263157894736842E-2</v>
      </c>
    </row>
    <row r="103" spans="1:6" ht="18" customHeight="1" x14ac:dyDescent="0.25">
      <c r="A103" s="99">
        <v>4</v>
      </c>
      <c r="B103" s="100" t="s">
        <v>115</v>
      </c>
      <c r="C103" s="117">
        <v>1413</v>
      </c>
      <c r="D103" s="117">
        <v>1485</v>
      </c>
      <c r="E103" s="117">
        <f t="shared" si="14"/>
        <v>72</v>
      </c>
      <c r="F103" s="98">
        <f t="shared" si="15"/>
        <v>5.0955414012738856E-2</v>
      </c>
    </row>
    <row r="104" spans="1:6" ht="18" customHeight="1" x14ac:dyDescent="0.25">
      <c r="A104" s="99">
        <v>5</v>
      </c>
      <c r="B104" s="100" t="s">
        <v>116</v>
      </c>
      <c r="C104" s="117">
        <v>15</v>
      </c>
      <c r="D104" s="117">
        <v>10</v>
      </c>
      <c r="E104" s="117">
        <f t="shared" si="14"/>
        <v>-5</v>
      </c>
      <c r="F104" s="98">
        <f t="shared" si="15"/>
        <v>-0.33333333333333331</v>
      </c>
    </row>
    <row r="105" spans="1:6" ht="18" customHeight="1" x14ac:dyDescent="0.25">
      <c r="A105" s="99">
        <v>6</v>
      </c>
      <c r="B105" s="100" t="s">
        <v>117</v>
      </c>
      <c r="C105" s="117">
        <v>2030</v>
      </c>
      <c r="D105" s="117">
        <v>1709</v>
      </c>
      <c r="E105" s="117">
        <f t="shared" si="14"/>
        <v>-321</v>
      </c>
      <c r="F105" s="98">
        <f t="shared" si="15"/>
        <v>-0.158128078817734</v>
      </c>
    </row>
    <row r="106" spans="1:6" ht="18" customHeight="1" x14ac:dyDescent="0.25">
      <c r="A106" s="99">
        <v>7</v>
      </c>
      <c r="B106" s="100" t="s">
        <v>118</v>
      </c>
      <c r="C106" s="117">
        <v>2145</v>
      </c>
      <c r="D106" s="117">
        <v>1955</v>
      </c>
      <c r="E106" s="117">
        <f t="shared" si="14"/>
        <v>-190</v>
      </c>
      <c r="F106" s="98">
        <f t="shared" si="15"/>
        <v>-8.8578088578088576E-2</v>
      </c>
    </row>
    <row r="107" spans="1:6" ht="18" customHeight="1" x14ac:dyDescent="0.25">
      <c r="A107" s="99">
        <v>8</v>
      </c>
      <c r="B107" s="100" t="s">
        <v>119</v>
      </c>
      <c r="C107" s="117">
        <v>84</v>
      </c>
      <c r="D107" s="117">
        <v>88</v>
      </c>
      <c r="E107" s="117">
        <f t="shared" si="14"/>
        <v>4</v>
      </c>
      <c r="F107" s="98">
        <f t="shared" si="15"/>
        <v>4.7619047619047616E-2</v>
      </c>
    </row>
    <row r="108" spans="1:6" ht="18" customHeight="1" x14ac:dyDescent="0.25">
      <c r="A108" s="99">
        <v>9</v>
      </c>
      <c r="B108" s="100" t="s">
        <v>120</v>
      </c>
      <c r="C108" s="117">
        <v>265</v>
      </c>
      <c r="D108" s="117">
        <v>216</v>
      </c>
      <c r="E108" s="117">
        <f t="shared" si="14"/>
        <v>-49</v>
      </c>
      <c r="F108" s="98">
        <f t="shared" si="15"/>
        <v>-0.18490566037735848</v>
      </c>
    </row>
    <row r="109" spans="1:6" ht="18" customHeight="1" x14ac:dyDescent="0.25">
      <c r="A109" s="99">
        <v>10</v>
      </c>
      <c r="B109" s="100" t="s">
        <v>121</v>
      </c>
      <c r="C109" s="117">
        <v>518</v>
      </c>
      <c r="D109" s="117">
        <v>580</v>
      </c>
      <c r="E109" s="117">
        <f t="shared" si="14"/>
        <v>62</v>
      </c>
      <c r="F109" s="98">
        <f t="shared" si="15"/>
        <v>0.11969111969111969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13916</v>
      </c>
      <c r="D111" s="118">
        <f>SUM(D100:D110)</f>
        <v>13046</v>
      </c>
      <c r="E111" s="118">
        <f t="shared" si="14"/>
        <v>-870</v>
      </c>
      <c r="F111" s="104">
        <f t="shared" si="15"/>
        <v>-6.2517964932451847E-2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34165</v>
      </c>
      <c r="D113" s="117">
        <v>28405</v>
      </c>
      <c r="E113" s="117">
        <f t="shared" ref="E113:E124" si="16">D113-C113</f>
        <v>-5760</v>
      </c>
      <c r="F113" s="98">
        <f t="shared" ref="F113:F124" si="17">IF(C113=0,0,E113/C113)</f>
        <v>-0.16859358993121615</v>
      </c>
    </row>
    <row r="114" spans="1:6" ht="18" customHeight="1" x14ac:dyDescent="0.25">
      <c r="A114" s="99">
        <v>2</v>
      </c>
      <c r="B114" s="100" t="s">
        <v>113</v>
      </c>
      <c r="C114" s="117">
        <v>4462</v>
      </c>
      <c r="D114" s="117">
        <v>4489</v>
      </c>
      <c r="E114" s="117">
        <f t="shared" si="16"/>
        <v>27</v>
      </c>
      <c r="F114" s="98">
        <f t="shared" si="17"/>
        <v>6.0510981622590764E-3</v>
      </c>
    </row>
    <row r="115" spans="1:6" ht="18" customHeight="1" x14ac:dyDescent="0.25">
      <c r="A115" s="99">
        <v>3</v>
      </c>
      <c r="B115" s="100" t="s">
        <v>114</v>
      </c>
      <c r="C115" s="117">
        <v>5578</v>
      </c>
      <c r="D115" s="117">
        <v>4631</v>
      </c>
      <c r="E115" s="117">
        <f t="shared" si="16"/>
        <v>-947</v>
      </c>
      <c r="F115" s="98">
        <f t="shared" si="17"/>
        <v>-0.16977411258515596</v>
      </c>
    </row>
    <row r="116" spans="1:6" ht="18" customHeight="1" x14ac:dyDescent="0.25">
      <c r="A116" s="99">
        <v>4</v>
      </c>
      <c r="B116" s="100" t="s">
        <v>115</v>
      </c>
      <c r="C116" s="117">
        <v>4365</v>
      </c>
      <c r="D116" s="117">
        <v>4781</v>
      </c>
      <c r="E116" s="117">
        <f t="shared" si="16"/>
        <v>416</v>
      </c>
      <c r="F116" s="98">
        <f t="shared" si="17"/>
        <v>9.5303550973654061E-2</v>
      </c>
    </row>
    <row r="117" spans="1:6" ht="18" customHeight="1" x14ac:dyDescent="0.25">
      <c r="A117" s="99">
        <v>5</v>
      </c>
      <c r="B117" s="100" t="s">
        <v>116</v>
      </c>
      <c r="C117" s="117">
        <v>119</v>
      </c>
      <c r="D117" s="117">
        <v>42</v>
      </c>
      <c r="E117" s="117">
        <f t="shared" si="16"/>
        <v>-77</v>
      </c>
      <c r="F117" s="98">
        <f t="shared" si="17"/>
        <v>-0.6470588235294118</v>
      </c>
    </row>
    <row r="118" spans="1:6" ht="18" customHeight="1" x14ac:dyDescent="0.25">
      <c r="A118" s="99">
        <v>6</v>
      </c>
      <c r="B118" s="100" t="s">
        <v>117</v>
      </c>
      <c r="C118" s="117">
        <v>7600</v>
      </c>
      <c r="D118" s="117">
        <v>6796</v>
      </c>
      <c r="E118" s="117">
        <f t="shared" si="16"/>
        <v>-804</v>
      </c>
      <c r="F118" s="98">
        <f t="shared" si="17"/>
        <v>-0.10578947368421053</v>
      </c>
    </row>
    <row r="119" spans="1:6" ht="18" customHeight="1" x14ac:dyDescent="0.25">
      <c r="A119" s="99">
        <v>7</v>
      </c>
      <c r="B119" s="100" t="s">
        <v>118</v>
      </c>
      <c r="C119" s="117">
        <v>7356</v>
      </c>
      <c r="D119" s="117">
        <v>6363</v>
      </c>
      <c r="E119" s="117">
        <f t="shared" si="16"/>
        <v>-993</v>
      </c>
      <c r="F119" s="98">
        <f t="shared" si="17"/>
        <v>-0.13499184339314846</v>
      </c>
    </row>
    <row r="120" spans="1:6" ht="18" customHeight="1" x14ac:dyDescent="0.25">
      <c r="A120" s="99">
        <v>8</v>
      </c>
      <c r="B120" s="100" t="s">
        <v>119</v>
      </c>
      <c r="C120" s="117">
        <v>266</v>
      </c>
      <c r="D120" s="117">
        <v>276</v>
      </c>
      <c r="E120" s="117">
        <f t="shared" si="16"/>
        <v>10</v>
      </c>
      <c r="F120" s="98">
        <f t="shared" si="17"/>
        <v>3.7593984962406013E-2</v>
      </c>
    </row>
    <row r="121" spans="1:6" ht="18" customHeight="1" x14ac:dyDescent="0.25">
      <c r="A121" s="99">
        <v>9</v>
      </c>
      <c r="B121" s="100" t="s">
        <v>120</v>
      </c>
      <c r="C121" s="117">
        <v>1146</v>
      </c>
      <c r="D121" s="117">
        <v>824</v>
      </c>
      <c r="E121" s="117">
        <f t="shared" si="16"/>
        <v>-322</v>
      </c>
      <c r="F121" s="98">
        <f t="shared" si="17"/>
        <v>-0.28097731239092494</v>
      </c>
    </row>
    <row r="122" spans="1:6" ht="18" customHeight="1" x14ac:dyDescent="0.25">
      <c r="A122" s="99">
        <v>10</v>
      </c>
      <c r="B122" s="100" t="s">
        <v>121</v>
      </c>
      <c r="C122" s="117">
        <v>2625</v>
      </c>
      <c r="D122" s="117">
        <v>2664</v>
      </c>
      <c r="E122" s="117">
        <f t="shared" si="16"/>
        <v>39</v>
      </c>
      <c r="F122" s="98">
        <f t="shared" si="17"/>
        <v>1.4857142857142857E-2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67682</v>
      </c>
      <c r="D124" s="118">
        <f>SUM(D113:D123)</f>
        <v>59271</v>
      </c>
      <c r="E124" s="118">
        <f t="shared" si="16"/>
        <v>-8411</v>
      </c>
      <c r="F124" s="104">
        <f t="shared" si="17"/>
        <v>-0.12427233237788482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58701</v>
      </c>
      <c r="D126" s="117">
        <v>56054</v>
      </c>
      <c r="E126" s="117">
        <f t="shared" ref="E126:E137" si="18">D126-C126</f>
        <v>-2647</v>
      </c>
      <c r="F126" s="98">
        <f t="shared" ref="F126:F137" si="19">IF(C126=0,0,E126/C126)</f>
        <v>-4.509292857021175E-2</v>
      </c>
    </row>
    <row r="127" spans="1:6" ht="18" customHeight="1" x14ac:dyDescent="0.25">
      <c r="A127" s="99">
        <v>2</v>
      </c>
      <c r="B127" s="100" t="s">
        <v>113</v>
      </c>
      <c r="C127" s="117">
        <v>8770</v>
      </c>
      <c r="D127" s="117">
        <v>9777</v>
      </c>
      <c r="E127" s="117">
        <f t="shared" si="18"/>
        <v>1007</v>
      </c>
      <c r="F127" s="98">
        <f t="shared" si="19"/>
        <v>0.11482326111744584</v>
      </c>
    </row>
    <row r="128" spans="1:6" ht="18" customHeight="1" x14ac:dyDescent="0.25">
      <c r="A128" s="99">
        <v>3</v>
      </c>
      <c r="B128" s="100" t="s">
        <v>114</v>
      </c>
      <c r="C128" s="117">
        <v>13781</v>
      </c>
      <c r="D128" s="117">
        <v>11593</v>
      </c>
      <c r="E128" s="117">
        <f t="shared" si="18"/>
        <v>-2188</v>
      </c>
      <c r="F128" s="98">
        <f t="shared" si="19"/>
        <v>-0.15876932007836878</v>
      </c>
    </row>
    <row r="129" spans="1:6" ht="18" customHeight="1" x14ac:dyDescent="0.25">
      <c r="A129" s="99">
        <v>4</v>
      </c>
      <c r="B129" s="100" t="s">
        <v>115</v>
      </c>
      <c r="C129" s="117">
        <v>26960</v>
      </c>
      <c r="D129" s="117">
        <v>27847</v>
      </c>
      <c r="E129" s="117">
        <f t="shared" si="18"/>
        <v>887</v>
      </c>
      <c r="F129" s="98">
        <f t="shared" si="19"/>
        <v>3.290059347181009E-2</v>
      </c>
    </row>
    <row r="130" spans="1:6" ht="18" customHeight="1" x14ac:dyDescent="0.25">
      <c r="A130" s="99">
        <v>5</v>
      </c>
      <c r="B130" s="100" t="s">
        <v>116</v>
      </c>
      <c r="C130" s="117">
        <v>30</v>
      </c>
      <c r="D130" s="117">
        <v>18</v>
      </c>
      <c r="E130" s="117">
        <f t="shared" si="18"/>
        <v>-12</v>
      </c>
      <c r="F130" s="98">
        <f t="shared" si="19"/>
        <v>-0.4</v>
      </c>
    </row>
    <row r="131" spans="1:6" ht="18" customHeight="1" x14ac:dyDescent="0.25">
      <c r="A131" s="99">
        <v>6</v>
      </c>
      <c r="B131" s="100" t="s">
        <v>117</v>
      </c>
      <c r="C131" s="117">
        <v>38202</v>
      </c>
      <c r="D131" s="117">
        <v>32091</v>
      </c>
      <c r="E131" s="117">
        <f t="shared" si="18"/>
        <v>-6111</v>
      </c>
      <c r="F131" s="98">
        <f t="shared" si="19"/>
        <v>-0.15996544683524422</v>
      </c>
    </row>
    <row r="132" spans="1:6" ht="18" customHeight="1" x14ac:dyDescent="0.25">
      <c r="A132" s="99">
        <v>7</v>
      </c>
      <c r="B132" s="100" t="s">
        <v>118</v>
      </c>
      <c r="C132" s="117">
        <v>37634</v>
      </c>
      <c r="D132" s="117">
        <v>35056</v>
      </c>
      <c r="E132" s="117">
        <f t="shared" si="18"/>
        <v>-2578</v>
      </c>
      <c r="F132" s="98">
        <f t="shared" si="19"/>
        <v>-6.8501886591911573E-2</v>
      </c>
    </row>
    <row r="133" spans="1:6" ht="18" customHeight="1" x14ac:dyDescent="0.25">
      <c r="A133" s="99">
        <v>8</v>
      </c>
      <c r="B133" s="100" t="s">
        <v>119</v>
      </c>
      <c r="C133" s="117">
        <v>1902</v>
      </c>
      <c r="D133" s="117">
        <v>1696</v>
      </c>
      <c r="E133" s="117">
        <f t="shared" si="18"/>
        <v>-206</v>
      </c>
      <c r="F133" s="98">
        <f t="shared" si="19"/>
        <v>-0.10830704521556257</v>
      </c>
    </row>
    <row r="134" spans="1:6" ht="18" customHeight="1" x14ac:dyDescent="0.25">
      <c r="A134" s="99">
        <v>9</v>
      </c>
      <c r="B134" s="100" t="s">
        <v>120</v>
      </c>
      <c r="C134" s="117">
        <v>7118</v>
      </c>
      <c r="D134" s="117">
        <v>6946</v>
      </c>
      <c r="E134" s="117">
        <f t="shared" si="18"/>
        <v>-172</v>
      </c>
      <c r="F134" s="98">
        <f t="shared" si="19"/>
        <v>-2.4164091036808093E-2</v>
      </c>
    </row>
    <row r="135" spans="1:6" ht="18" customHeight="1" x14ac:dyDescent="0.25">
      <c r="A135" s="99">
        <v>10</v>
      </c>
      <c r="B135" s="100" t="s">
        <v>121</v>
      </c>
      <c r="C135" s="117">
        <v>11225</v>
      </c>
      <c r="D135" s="117">
        <v>11182</v>
      </c>
      <c r="E135" s="117">
        <f t="shared" si="18"/>
        <v>-43</v>
      </c>
      <c r="F135" s="98">
        <f t="shared" si="19"/>
        <v>-3.8307349665924278E-3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204323</v>
      </c>
      <c r="D137" s="118">
        <f>SUM(D126:D136)</f>
        <v>192260</v>
      </c>
      <c r="E137" s="118">
        <f t="shared" si="18"/>
        <v>-12063</v>
      </c>
      <c r="F137" s="104">
        <f t="shared" si="19"/>
        <v>-5.9038874722865266E-2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23790989</v>
      </c>
      <c r="D142" s="97">
        <v>22936805</v>
      </c>
      <c r="E142" s="97">
        <f t="shared" ref="E142:E153" si="20">D142-C142</f>
        <v>-854184</v>
      </c>
      <c r="F142" s="98">
        <f t="shared" ref="F142:F153" si="21">IF(C142=0,0,E142/C142)</f>
        <v>-3.5903677648709768E-2</v>
      </c>
    </row>
    <row r="143" spans="1:6" ht="18" customHeight="1" x14ac:dyDescent="0.25">
      <c r="A143" s="99">
        <v>2</v>
      </c>
      <c r="B143" s="100" t="s">
        <v>113</v>
      </c>
      <c r="C143" s="97">
        <v>3333507</v>
      </c>
      <c r="D143" s="97">
        <v>3698099</v>
      </c>
      <c r="E143" s="97">
        <f t="shared" si="20"/>
        <v>364592</v>
      </c>
      <c r="F143" s="98">
        <f t="shared" si="21"/>
        <v>0.10937190172392018</v>
      </c>
    </row>
    <row r="144" spans="1:6" ht="18" customHeight="1" x14ac:dyDescent="0.25">
      <c r="A144" s="99">
        <v>3</v>
      </c>
      <c r="B144" s="100" t="s">
        <v>114</v>
      </c>
      <c r="C144" s="97">
        <v>8755784</v>
      </c>
      <c r="D144" s="97">
        <v>7907888</v>
      </c>
      <c r="E144" s="97">
        <f t="shared" si="20"/>
        <v>-847896</v>
      </c>
      <c r="F144" s="98">
        <f t="shared" si="21"/>
        <v>-9.6838387059342709E-2</v>
      </c>
    </row>
    <row r="145" spans="1:6" ht="18" customHeight="1" x14ac:dyDescent="0.25">
      <c r="A145" s="99">
        <v>4</v>
      </c>
      <c r="B145" s="100" t="s">
        <v>115</v>
      </c>
      <c r="C145" s="97">
        <v>16793801</v>
      </c>
      <c r="D145" s="97">
        <v>18799530</v>
      </c>
      <c r="E145" s="97">
        <f t="shared" si="20"/>
        <v>2005729</v>
      </c>
      <c r="F145" s="98">
        <f t="shared" si="21"/>
        <v>0.11943270019693576</v>
      </c>
    </row>
    <row r="146" spans="1:6" ht="18" customHeight="1" x14ac:dyDescent="0.25">
      <c r="A146" s="99">
        <v>5</v>
      </c>
      <c r="B146" s="100" t="s">
        <v>116</v>
      </c>
      <c r="C146" s="97">
        <v>0</v>
      </c>
      <c r="D146" s="97">
        <v>0</v>
      </c>
      <c r="E146" s="97">
        <f t="shared" si="20"/>
        <v>0</v>
      </c>
      <c r="F146" s="98">
        <f t="shared" si="21"/>
        <v>0</v>
      </c>
    </row>
    <row r="147" spans="1:6" ht="18" customHeight="1" x14ac:dyDescent="0.25">
      <c r="A147" s="99">
        <v>6</v>
      </c>
      <c r="B147" s="100" t="s">
        <v>117</v>
      </c>
      <c r="C147" s="97">
        <v>17471139</v>
      </c>
      <c r="D147" s="97">
        <v>13095381</v>
      </c>
      <c r="E147" s="97">
        <f t="shared" si="20"/>
        <v>-4375758</v>
      </c>
      <c r="F147" s="98">
        <f t="shared" si="21"/>
        <v>-0.25045636692604872</v>
      </c>
    </row>
    <row r="148" spans="1:6" ht="18" customHeight="1" x14ac:dyDescent="0.25">
      <c r="A148" s="99">
        <v>7</v>
      </c>
      <c r="B148" s="100" t="s">
        <v>118</v>
      </c>
      <c r="C148" s="97">
        <v>16697204</v>
      </c>
      <c r="D148" s="97">
        <v>14950188</v>
      </c>
      <c r="E148" s="97">
        <f t="shared" si="20"/>
        <v>-1747016</v>
      </c>
      <c r="F148" s="98">
        <f t="shared" si="21"/>
        <v>-0.1046292540954761</v>
      </c>
    </row>
    <row r="149" spans="1:6" ht="18" customHeight="1" x14ac:dyDescent="0.25">
      <c r="A149" s="99">
        <v>8</v>
      </c>
      <c r="B149" s="100" t="s">
        <v>119</v>
      </c>
      <c r="C149" s="97">
        <v>1560561</v>
      </c>
      <c r="D149" s="97">
        <v>1057505</v>
      </c>
      <c r="E149" s="97">
        <f t="shared" si="20"/>
        <v>-503056</v>
      </c>
      <c r="F149" s="98">
        <f t="shared" si="21"/>
        <v>-0.32235587074135519</v>
      </c>
    </row>
    <row r="150" spans="1:6" ht="18" customHeight="1" x14ac:dyDescent="0.25">
      <c r="A150" s="99">
        <v>9</v>
      </c>
      <c r="B150" s="100" t="s">
        <v>120</v>
      </c>
      <c r="C150" s="97">
        <v>8457957</v>
      </c>
      <c r="D150" s="97">
        <v>6432195</v>
      </c>
      <c r="E150" s="97">
        <f t="shared" si="20"/>
        <v>-2025762</v>
      </c>
      <c r="F150" s="98">
        <f t="shared" si="21"/>
        <v>-0.23950961207298643</v>
      </c>
    </row>
    <row r="151" spans="1:6" ht="18" customHeight="1" x14ac:dyDescent="0.25">
      <c r="A151" s="99">
        <v>10</v>
      </c>
      <c r="B151" s="100" t="s">
        <v>121</v>
      </c>
      <c r="C151" s="97">
        <v>8003175</v>
      </c>
      <c r="D151" s="97">
        <v>8852059</v>
      </c>
      <c r="E151" s="97">
        <f t="shared" si="20"/>
        <v>848884</v>
      </c>
      <c r="F151" s="98">
        <f t="shared" si="21"/>
        <v>0.10606840410212197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104864117</v>
      </c>
      <c r="D153" s="103">
        <f>SUM(D142:D152)</f>
        <v>97729650</v>
      </c>
      <c r="E153" s="103">
        <f t="shared" si="20"/>
        <v>-7134467</v>
      </c>
      <c r="F153" s="104">
        <f t="shared" si="21"/>
        <v>-6.8035350929431845E-2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4653002</v>
      </c>
      <c r="D155" s="97">
        <v>4509331</v>
      </c>
      <c r="E155" s="97">
        <f t="shared" ref="E155:E166" si="22">D155-C155</f>
        <v>-143671</v>
      </c>
      <c r="F155" s="98">
        <f t="shared" ref="F155:F166" si="23">IF(C155=0,0,E155/C155)</f>
        <v>-3.0877055286028247E-2</v>
      </c>
    </row>
    <row r="156" spans="1:6" ht="18" customHeight="1" x14ac:dyDescent="0.25">
      <c r="A156" s="99">
        <v>2</v>
      </c>
      <c r="B156" s="100" t="s">
        <v>113</v>
      </c>
      <c r="C156" s="97">
        <v>586439</v>
      </c>
      <c r="D156" s="97">
        <v>675700</v>
      </c>
      <c r="E156" s="97">
        <f t="shared" si="22"/>
        <v>89261</v>
      </c>
      <c r="F156" s="98">
        <f t="shared" si="23"/>
        <v>0.15220849909368236</v>
      </c>
    </row>
    <row r="157" spans="1:6" ht="18" customHeight="1" x14ac:dyDescent="0.25">
      <c r="A157" s="99">
        <v>3</v>
      </c>
      <c r="B157" s="100" t="s">
        <v>114</v>
      </c>
      <c r="C157" s="97">
        <v>1459713</v>
      </c>
      <c r="D157" s="97">
        <v>1414808</v>
      </c>
      <c r="E157" s="97">
        <f t="shared" si="22"/>
        <v>-44905</v>
      </c>
      <c r="F157" s="98">
        <f t="shared" si="23"/>
        <v>-3.0762896541991474E-2</v>
      </c>
    </row>
    <row r="158" spans="1:6" ht="18" customHeight="1" x14ac:dyDescent="0.25">
      <c r="A158" s="99">
        <v>4</v>
      </c>
      <c r="B158" s="100" t="s">
        <v>115</v>
      </c>
      <c r="C158" s="97">
        <v>3334909</v>
      </c>
      <c r="D158" s="97">
        <v>3962158</v>
      </c>
      <c r="E158" s="97">
        <f t="shared" si="22"/>
        <v>627249</v>
      </c>
      <c r="F158" s="98">
        <f t="shared" si="23"/>
        <v>0.18808579184619431</v>
      </c>
    </row>
    <row r="159" spans="1:6" ht="18" customHeight="1" x14ac:dyDescent="0.25">
      <c r="A159" s="99">
        <v>5</v>
      </c>
      <c r="B159" s="100" t="s">
        <v>116</v>
      </c>
      <c r="C159" s="97">
        <v>0</v>
      </c>
      <c r="D159" s="97">
        <v>0</v>
      </c>
      <c r="E159" s="97">
        <f t="shared" si="22"/>
        <v>0</v>
      </c>
      <c r="F159" s="98">
        <f t="shared" si="23"/>
        <v>0</v>
      </c>
    </row>
    <row r="160" spans="1:6" ht="18" customHeight="1" x14ac:dyDescent="0.25">
      <c r="A160" s="99">
        <v>6</v>
      </c>
      <c r="B160" s="100" t="s">
        <v>117</v>
      </c>
      <c r="C160" s="97">
        <v>4534927</v>
      </c>
      <c r="D160" s="97">
        <v>3984280</v>
      </c>
      <c r="E160" s="97">
        <f t="shared" si="22"/>
        <v>-550647</v>
      </c>
      <c r="F160" s="98">
        <f t="shared" si="23"/>
        <v>-0.12142356426024058</v>
      </c>
    </row>
    <row r="161" spans="1:6" ht="18" customHeight="1" x14ac:dyDescent="0.25">
      <c r="A161" s="99">
        <v>7</v>
      </c>
      <c r="B161" s="100" t="s">
        <v>118</v>
      </c>
      <c r="C161" s="97">
        <v>4737074</v>
      </c>
      <c r="D161" s="97">
        <v>4687164</v>
      </c>
      <c r="E161" s="97">
        <f t="shared" si="22"/>
        <v>-49910</v>
      </c>
      <c r="F161" s="98">
        <f t="shared" si="23"/>
        <v>-1.0536039757875853E-2</v>
      </c>
    </row>
    <row r="162" spans="1:6" ht="18" customHeight="1" x14ac:dyDescent="0.25">
      <c r="A162" s="99">
        <v>8</v>
      </c>
      <c r="B162" s="100" t="s">
        <v>119</v>
      </c>
      <c r="C162" s="97">
        <v>957809</v>
      </c>
      <c r="D162" s="97">
        <v>781376</v>
      </c>
      <c r="E162" s="97">
        <f t="shared" si="22"/>
        <v>-176433</v>
      </c>
      <c r="F162" s="98">
        <f t="shared" si="23"/>
        <v>-0.18420478404358281</v>
      </c>
    </row>
    <row r="163" spans="1:6" ht="18" customHeight="1" x14ac:dyDescent="0.25">
      <c r="A163" s="99">
        <v>9</v>
      </c>
      <c r="B163" s="100" t="s">
        <v>120</v>
      </c>
      <c r="C163" s="97">
        <v>270627</v>
      </c>
      <c r="D163" s="97">
        <v>209419</v>
      </c>
      <c r="E163" s="97">
        <f t="shared" si="22"/>
        <v>-61208</v>
      </c>
      <c r="F163" s="98">
        <f t="shared" si="23"/>
        <v>-0.22617107679573731</v>
      </c>
    </row>
    <row r="164" spans="1:6" ht="18" customHeight="1" x14ac:dyDescent="0.25">
      <c r="A164" s="99">
        <v>10</v>
      </c>
      <c r="B164" s="100" t="s">
        <v>121</v>
      </c>
      <c r="C164" s="97">
        <v>651351</v>
      </c>
      <c r="D164" s="97">
        <v>1178469</v>
      </c>
      <c r="E164" s="97">
        <f t="shared" si="22"/>
        <v>527118</v>
      </c>
      <c r="F164" s="98">
        <f t="shared" si="23"/>
        <v>0.80926873529018917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21185851</v>
      </c>
      <c r="D166" s="103">
        <f>SUM(D155:D165)</f>
        <v>21402705</v>
      </c>
      <c r="E166" s="103">
        <f t="shared" si="22"/>
        <v>216854</v>
      </c>
      <c r="F166" s="104">
        <f t="shared" si="23"/>
        <v>1.0235793690798637E-2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8039</v>
      </c>
      <c r="D168" s="117">
        <v>8254</v>
      </c>
      <c r="E168" s="117">
        <f t="shared" ref="E168:E179" si="24">D168-C168</f>
        <v>215</v>
      </c>
      <c r="F168" s="98">
        <f t="shared" ref="F168:F179" si="25">IF(C168=0,0,E168/C168)</f>
        <v>2.6744619977609154E-2</v>
      </c>
    </row>
    <row r="169" spans="1:6" ht="18" customHeight="1" x14ac:dyDescent="0.25">
      <c r="A169" s="99">
        <v>2</v>
      </c>
      <c r="B169" s="100" t="s">
        <v>113</v>
      </c>
      <c r="C169" s="117">
        <v>1100</v>
      </c>
      <c r="D169" s="117">
        <v>1219</v>
      </c>
      <c r="E169" s="117">
        <f t="shared" si="24"/>
        <v>119</v>
      </c>
      <c r="F169" s="98">
        <f t="shared" si="25"/>
        <v>0.10818181818181818</v>
      </c>
    </row>
    <row r="170" spans="1:6" ht="18" customHeight="1" x14ac:dyDescent="0.25">
      <c r="A170" s="99">
        <v>3</v>
      </c>
      <c r="B170" s="100" t="s">
        <v>114</v>
      </c>
      <c r="C170" s="117">
        <v>4213</v>
      </c>
      <c r="D170" s="117">
        <v>3761</v>
      </c>
      <c r="E170" s="117">
        <f t="shared" si="24"/>
        <v>-452</v>
      </c>
      <c r="F170" s="98">
        <f t="shared" si="25"/>
        <v>-0.10728696890576786</v>
      </c>
    </row>
    <row r="171" spans="1:6" ht="18" customHeight="1" x14ac:dyDescent="0.25">
      <c r="A171" s="99">
        <v>4</v>
      </c>
      <c r="B171" s="100" t="s">
        <v>115</v>
      </c>
      <c r="C171" s="117">
        <v>11075</v>
      </c>
      <c r="D171" s="117">
        <v>12789</v>
      </c>
      <c r="E171" s="117">
        <f t="shared" si="24"/>
        <v>1714</v>
      </c>
      <c r="F171" s="98">
        <f t="shared" si="25"/>
        <v>0.1547629796839729</v>
      </c>
    </row>
    <row r="172" spans="1:6" ht="18" customHeight="1" x14ac:dyDescent="0.25">
      <c r="A172" s="99">
        <v>5</v>
      </c>
      <c r="B172" s="100" t="s">
        <v>116</v>
      </c>
      <c r="C172" s="117">
        <v>0</v>
      </c>
      <c r="D172" s="117">
        <v>0</v>
      </c>
      <c r="E172" s="117">
        <f t="shared" si="24"/>
        <v>0</v>
      </c>
      <c r="F172" s="98">
        <f t="shared" si="25"/>
        <v>0</v>
      </c>
    </row>
    <row r="173" spans="1:6" ht="18" customHeight="1" x14ac:dyDescent="0.25">
      <c r="A173" s="99">
        <v>6</v>
      </c>
      <c r="B173" s="100" t="s">
        <v>117</v>
      </c>
      <c r="C173" s="117">
        <v>7775</v>
      </c>
      <c r="D173" s="117">
        <v>6296</v>
      </c>
      <c r="E173" s="117">
        <f t="shared" si="24"/>
        <v>-1479</v>
      </c>
      <c r="F173" s="98">
        <f t="shared" si="25"/>
        <v>-0.19022508038585209</v>
      </c>
    </row>
    <row r="174" spans="1:6" ht="18" customHeight="1" x14ac:dyDescent="0.25">
      <c r="A174" s="99">
        <v>7</v>
      </c>
      <c r="B174" s="100" t="s">
        <v>118</v>
      </c>
      <c r="C174" s="117">
        <v>7186</v>
      </c>
      <c r="D174" s="117">
        <v>7065</v>
      </c>
      <c r="E174" s="117">
        <f t="shared" si="24"/>
        <v>-121</v>
      </c>
      <c r="F174" s="98">
        <f t="shared" si="25"/>
        <v>-1.6838296688004455E-2</v>
      </c>
    </row>
    <row r="175" spans="1:6" ht="18" customHeight="1" x14ac:dyDescent="0.25">
      <c r="A175" s="99">
        <v>8</v>
      </c>
      <c r="B175" s="100" t="s">
        <v>119</v>
      </c>
      <c r="C175" s="117">
        <v>1059</v>
      </c>
      <c r="D175" s="117">
        <v>915</v>
      </c>
      <c r="E175" s="117">
        <f t="shared" si="24"/>
        <v>-144</v>
      </c>
      <c r="F175" s="98">
        <f t="shared" si="25"/>
        <v>-0.1359773371104816</v>
      </c>
    </row>
    <row r="176" spans="1:6" ht="18" customHeight="1" x14ac:dyDescent="0.25">
      <c r="A176" s="99">
        <v>9</v>
      </c>
      <c r="B176" s="100" t="s">
        <v>120</v>
      </c>
      <c r="C176" s="117">
        <v>4616</v>
      </c>
      <c r="D176" s="117">
        <v>4699</v>
      </c>
      <c r="E176" s="117">
        <f t="shared" si="24"/>
        <v>83</v>
      </c>
      <c r="F176" s="98">
        <f t="shared" si="25"/>
        <v>1.7980935875216639E-2</v>
      </c>
    </row>
    <row r="177" spans="1:6" ht="18" customHeight="1" x14ac:dyDescent="0.25">
      <c r="A177" s="99">
        <v>10</v>
      </c>
      <c r="B177" s="100" t="s">
        <v>121</v>
      </c>
      <c r="C177" s="117">
        <v>4174</v>
      </c>
      <c r="D177" s="117">
        <v>4395</v>
      </c>
      <c r="E177" s="117">
        <f t="shared" si="24"/>
        <v>221</v>
      </c>
      <c r="F177" s="98">
        <f t="shared" si="25"/>
        <v>5.2946813608049835E-2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49237</v>
      </c>
      <c r="D179" s="118">
        <f>SUM(D168:D178)</f>
        <v>49393</v>
      </c>
      <c r="E179" s="118">
        <f t="shared" si="24"/>
        <v>156</v>
      </c>
      <c r="F179" s="104">
        <f t="shared" si="25"/>
        <v>3.1683490058289497E-3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FILING&amp;RWATERBURY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>
      <selection activeCell="B3" sqref="B3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33017306</v>
      </c>
      <c r="D15" s="146">
        <v>31968760</v>
      </c>
      <c r="E15" s="146">
        <f>+D15-C15</f>
        <v>-1048546</v>
      </c>
      <c r="F15" s="150">
        <f>IF(C15=0,0,E15/C15)</f>
        <v>-3.1757466826639338E-2</v>
      </c>
    </row>
    <row r="16" spans="1:7" ht="15" customHeight="1" x14ac:dyDescent="0.2">
      <c r="A16" s="141">
        <v>2</v>
      </c>
      <c r="B16" s="149" t="s">
        <v>158</v>
      </c>
      <c r="C16" s="146">
        <v>14446788</v>
      </c>
      <c r="D16" s="146">
        <v>8044219</v>
      </c>
      <c r="E16" s="146">
        <f>+D16-C16</f>
        <v>-6402569</v>
      </c>
      <c r="F16" s="150">
        <f>IF(C16=0,0,E16/C16)</f>
        <v>-0.4431828722066109</v>
      </c>
    </row>
    <row r="17" spans="1:7" ht="15" customHeight="1" x14ac:dyDescent="0.2">
      <c r="A17" s="141">
        <v>3</v>
      </c>
      <c r="B17" s="149" t="s">
        <v>159</v>
      </c>
      <c r="C17" s="146">
        <v>58531193</v>
      </c>
      <c r="D17" s="146">
        <v>58791114</v>
      </c>
      <c r="E17" s="146">
        <f>+D17-C17</f>
        <v>259921</v>
      </c>
      <c r="F17" s="150">
        <f>IF(C17=0,0,E17/C17)</f>
        <v>4.4407261611769987E-3</v>
      </c>
    </row>
    <row r="18" spans="1:7" ht="15.75" customHeight="1" x14ac:dyDescent="0.25">
      <c r="A18" s="141"/>
      <c r="B18" s="151" t="s">
        <v>160</v>
      </c>
      <c r="C18" s="147">
        <f>SUM(C15:C17)</f>
        <v>105995287</v>
      </c>
      <c r="D18" s="147">
        <f>SUM(D15:D17)</f>
        <v>98804093</v>
      </c>
      <c r="E18" s="147">
        <f>+D18-C18</f>
        <v>-7191194</v>
      </c>
      <c r="F18" s="148">
        <f>IF(C18=0,0,E18/C18)</f>
        <v>-6.7844469348906047E-2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8798841</v>
      </c>
      <c r="D21" s="146">
        <v>9335720</v>
      </c>
      <c r="E21" s="146">
        <f>+D21-C21</f>
        <v>536879</v>
      </c>
      <c r="F21" s="150">
        <f>IF(C21=0,0,E21/C21)</f>
        <v>6.1017013490754064E-2</v>
      </c>
    </row>
    <row r="22" spans="1:7" ht="15" customHeight="1" x14ac:dyDescent="0.2">
      <c r="A22" s="141">
        <v>2</v>
      </c>
      <c r="B22" s="149" t="s">
        <v>163</v>
      </c>
      <c r="C22" s="146">
        <v>3948037</v>
      </c>
      <c r="D22" s="146">
        <v>2349124</v>
      </c>
      <c r="E22" s="146">
        <f>+D22-C22</f>
        <v>-1598913</v>
      </c>
      <c r="F22" s="150">
        <f>IF(C22=0,0,E22/C22)</f>
        <v>-0.40498936560118359</v>
      </c>
    </row>
    <row r="23" spans="1:7" ht="15" customHeight="1" x14ac:dyDescent="0.2">
      <c r="A23" s="141">
        <v>3</v>
      </c>
      <c r="B23" s="149" t="s">
        <v>164</v>
      </c>
      <c r="C23" s="146">
        <v>17348785</v>
      </c>
      <c r="D23" s="146">
        <v>17168555</v>
      </c>
      <c r="E23" s="146">
        <f>+D23-C23</f>
        <v>-180230</v>
      </c>
      <c r="F23" s="150">
        <f>IF(C23=0,0,E23/C23)</f>
        <v>-1.0388623756649241E-2</v>
      </c>
    </row>
    <row r="24" spans="1:7" ht="15.75" customHeight="1" x14ac:dyDescent="0.25">
      <c r="A24" s="141"/>
      <c r="B24" s="151" t="s">
        <v>165</v>
      </c>
      <c r="C24" s="147">
        <f>SUM(C21:C23)</f>
        <v>30095663</v>
      </c>
      <c r="D24" s="147">
        <f>SUM(D21:D23)</f>
        <v>28853399</v>
      </c>
      <c r="E24" s="147">
        <f>+D24-C24</f>
        <v>-1242264</v>
      </c>
      <c r="F24" s="148">
        <f>IF(C24=0,0,E24/C24)</f>
        <v>-4.1277176714797741E-2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582277</v>
      </c>
      <c r="D27" s="146">
        <v>648834</v>
      </c>
      <c r="E27" s="146">
        <f>+D27-C27</f>
        <v>66557</v>
      </c>
      <c r="F27" s="150">
        <f>IF(C27=0,0,E27/C27)</f>
        <v>0.11430470377500743</v>
      </c>
    </row>
    <row r="28" spans="1:7" ht="15" customHeight="1" x14ac:dyDescent="0.2">
      <c r="A28" s="141">
        <v>2</v>
      </c>
      <c r="B28" s="149" t="s">
        <v>168</v>
      </c>
      <c r="C28" s="146">
        <v>10486600</v>
      </c>
      <c r="D28" s="146">
        <v>11608202</v>
      </c>
      <c r="E28" s="146">
        <f>+D28-C28</f>
        <v>1121602</v>
      </c>
      <c r="F28" s="150">
        <f>IF(C28=0,0,E28/C28)</f>
        <v>0.10695573398432286</v>
      </c>
    </row>
    <row r="29" spans="1:7" ht="15" customHeight="1" x14ac:dyDescent="0.2">
      <c r="A29" s="141">
        <v>3</v>
      </c>
      <c r="B29" s="149" t="s">
        <v>169</v>
      </c>
      <c r="C29" s="146">
        <v>360266</v>
      </c>
      <c r="D29" s="146">
        <v>219763</v>
      </c>
      <c r="E29" s="146">
        <f>+D29-C29</f>
        <v>-140503</v>
      </c>
      <c r="F29" s="150">
        <f>IF(C29=0,0,E29/C29)</f>
        <v>-0.38999794596215021</v>
      </c>
    </row>
    <row r="30" spans="1:7" ht="15.75" customHeight="1" x14ac:dyDescent="0.25">
      <c r="A30" s="141"/>
      <c r="B30" s="151" t="s">
        <v>170</v>
      </c>
      <c r="C30" s="147">
        <f>SUM(C27:C29)</f>
        <v>11429143</v>
      </c>
      <c r="D30" s="147">
        <f>SUM(D27:D29)</f>
        <v>12476799</v>
      </c>
      <c r="E30" s="147">
        <f>+D30-C30</f>
        <v>1047656</v>
      </c>
      <c r="F30" s="148">
        <f>IF(C30=0,0,E30/C30)</f>
        <v>9.1665315588404128E-2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29649204</v>
      </c>
      <c r="D33" s="146">
        <v>26740221</v>
      </c>
      <c r="E33" s="146">
        <f>+D33-C33</f>
        <v>-2908983</v>
      </c>
      <c r="F33" s="150">
        <f>IF(C33=0,0,E33/C33)</f>
        <v>-9.8113359130990493E-2</v>
      </c>
    </row>
    <row r="34" spans="1:7" ht="15" customHeight="1" x14ac:dyDescent="0.2">
      <c r="A34" s="141">
        <v>2</v>
      </c>
      <c r="B34" s="149" t="s">
        <v>174</v>
      </c>
      <c r="C34" s="146">
        <v>7471722</v>
      </c>
      <c r="D34" s="146">
        <v>6918372</v>
      </c>
      <c r="E34" s="146">
        <f>+D34-C34</f>
        <v>-553350</v>
      </c>
      <c r="F34" s="150">
        <f>IF(C34=0,0,E34/C34)</f>
        <v>-7.4059232931846228E-2</v>
      </c>
    </row>
    <row r="35" spans="1:7" ht="15.75" customHeight="1" x14ac:dyDescent="0.25">
      <c r="A35" s="141"/>
      <c r="B35" s="151" t="s">
        <v>175</v>
      </c>
      <c r="C35" s="147">
        <f>SUM(C33:C34)</f>
        <v>37120926</v>
      </c>
      <c r="D35" s="147">
        <f>SUM(D33:D34)</f>
        <v>33658593</v>
      </c>
      <c r="E35" s="147">
        <f>+D35-C35</f>
        <v>-3462333</v>
      </c>
      <c r="F35" s="148">
        <f>IF(C35=0,0,E35/C35)</f>
        <v>-9.3271730344226866E-2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3080296</v>
      </c>
      <c r="D38" s="146">
        <v>2998382</v>
      </c>
      <c r="E38" s="146">
        <f>+D38-C38</f>
        <v>-81914</v>
      </c>
      <c r="F38" s="150">
        <f>IF(C38=0,0,E38/C38)</f>
        <v>-2.6592898864264993E-2</v>
      </c>
    </row>
    <row r="39" spans="1:7" ht="15" customHeight="1" x14ac:dyDescent="0.2">
      <c r="A39" s="141">
        <v>2</v>
      </c>
      <c r="B39" s="149" t="s">
        <v>179</v>
      </c>
      <c r="C39" s="146">
        <v>5824352</v>
      </c>
      <c r="D39" s="146">
        <v>5707547</v>
      </c>
      <c r="E39" s="146">
        <f>+D39-C39</f>
        <v>-116805</v>
      </c>
      <c r="F39" s="150">
        <f>IF(C39=0,0,E39/C39)</f>
        <v>-2.0054591480734681E-2</v>
      </c>
    </row>
    <row r="40" spans="1:7" ht="15" customHeight="1" x14ac:dyDescent="0.2">
      <c r="A40" s="141">
        <v>3</v>
      </c>
      <c r="B40" s="149" t="s">
        <v>180</v>
      </c>
      <c r="C40" s="146">
        <v>152256</v>
      </c>
      <c r="D40" s="146">
        <v>520082</v>
      </c>
      <c r="E40" s="146">
        <f>+D40-C40</f>
        <v>367826</v>
      </c>
      <c r="F40" s="150">
        <f>IF(C40=0,0,E40/C40)</f>
        <v>2.4158391130727197</v>
      </c>
    </row>
    <row r="41" spans="1:7" ht="15.75" customHeight="1" x14ac:dyDescent="0.25">
      <c r="A41" s="141"/>
      <c r="B41" s="151" t="s">
        <v>181</v>
      </c>
      <c r="C41" s="147">
        <f>SUM(C38:C40)</f>
        <v>9056904</v>
      </c>
      <c r="D41" s="147">
        <f>SUM(D38:D40)</f>
        <v>9226011</v>
      </c>
      <c r="E41" s="147">
        <f>+D41-C41</f>
        <v>169107</v>
      </c>
      <c r="F41" s="148">
        <f>IF(C41=0,0,E41/C41)</f>
        <v>1.8671612286052717E-2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14319487</v>
      </c>
      <c r="D44" s="146">
        <v>14985815</v>
      </c>
      <c r="E44" s="146">
        <f>+D44-C44</f>
        <v>666328</v>
      </c>
      <c r="F44" s="150">
        <f>IF(C44=0,0,E44/C44)</f>
        <v>4.6532951913710319E-2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1281962</v>
      </c>
      <c r="D47" s="146">
        <v>1188449</v>
      </c>
      <c r="E47" s="146">
        <f>+D47-C47</f>
        <v>-93513</v>
      </c>
      <c r="F47" s="150">
        <f>IF(C47=0,0,E47/C47)</f>
        <v>-7.2945219905114198E-2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4566483</v>
      </c>
      <c r="D50" s="146">
        <v>3538376</v>
      </c>
      <c r="E50" s="146">
        <f>+D50-C50</f>
        <v>-1028107</v>
      </c>
      <c r="F50" s="150">
        <f>IF(C50=0,0,E50/C50)</f>
        <v>-0.22514197468817906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266882</v>
      </c>
      <c r="D53" s="146">
        <v>234580</v>
      </c>
      <c r="E53" s="146">
        <f t="shared" ref="E53:E59" si="0">+D53-C53</f>
        <v>-32302</v>
      </c>
      <c r="F53" s="150">
        <f t="shared" ref="F53:F59" si="1">IF(C53=0,0,E53/C53)</f>
        <v>-0.12103476442772461</v>
      </c>
    </row>
    <row r="54" spans="1:7" ht="15" customHeight="1" x14ac:dyDescent="0.2">
      <c r="A54" s="141">
        <v>2</v>
      </c>
      <c r="B54" s="149" t="s">
        <v>193</v>
      </c>
      <c r="C54" s="146">
        <v>1341526</v>
      </c>
      <c r="D54" s="146">
        <v>1270286</v>
      </c>
      <c r="E54" s="146">
        <f t="shared" si="0"/>
        <v>-71240</v>
      </c>
      <c r="F54" s="150">
        <f t="shared" si="1"/>
        <v>-5.3103704288996259E-2</v>
      </c>
    </row>
    <row r="55" spans="1:7" ht="15" customHeight="1" x14ac:dyDescent="0.2">
      <c r="A55" s="141">
        <v>3</v>
      </c>
      <c r="B55" s="149" t="s">
        <v>194</v>
      </c>
      <c r="C55" s="146">
        <v>22287</v>
      </c>
      <c r="D55" s="146">
        <v>22283</v>
      </c>
      <c r="E55" s="146">
        <f t="shared" si="0"/>
        <v>-4</v>
      </c>
      <c r="F55" s="150">
        <f t="shared" si="1"/>
        <v>-1.7947682505496478E-4</v>
      </c>
    </row>
    <row r="56" spans="1:7" ht="15" customHeight="1" x14ac:dyDescent="0.2">
      <c r="A56" s="141">
        <v>4</v>
      </c>
      <c r="B56" s="149" t="s">
        <v>195</v>
      </c>
      <c r="C56" s="146">
        <v>1771594</v>
      </c>
      <c r="D56" s="146">
        <v>1924957</v>
      </c>
      <c r="E56" s="146">
        <f t="shared" si="0"/>
        <v>153363</v>
      </c>
      <c r="F56" s="150">
        <f t="shared" si="1"/>
        <v>8.6567802780998349E-2</v>
      </c>
    </row>
    <row r="57" spans="1:7" ht="15" customHeight="1" x14ac:dyDescent="0.2">
      <c r="A57" s="141">
        <v>5</v>
      </c>
      <c r="B57" s="149" t="s">
        <v>196</v>
      </c>
      <c r="C57" s="146">
        <v>261104</v>
      </c>
      <c r="D57" s="146">
        <v>263540</v>
      </c>
      <c r="E57" s="146">
        <f t="shared" si="0"/>
        <v>2436</v>
      </c>
      <c r="F57" s="150">
        <f t="shared" si="1"/>
        <v>9.3296157852809612E-3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3663393</v>
      </c>
      <c r="D59" s="147">
        <f>SUM(D53:D58)</f>
        <v>3715646</v>
      </c>
      <c r="E59" s="147">
        <f t="shared" si="0"/>
        <v>52253</v>
      </c>
      <c r="F59" s="148">
        <f t="shared" si="1"/>
        <v>1.4263552941221431E-2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173012</v>
      </c>
      <c r="D62" s="146">
        <v>197916</v>
      </c>
      <c r="E62" s="146">
        <f t="shared" ref="E62:E78" si="2">+D62-C62</f>
        <v>24904</v>
      </c>
      <c r="F62" s="150">
        <f t="shared" ref="F62:F78" si="3">IF(C62=0,0,E62/C62)</f>
        <v>0.14394377268628766</v>
      </c>
    </row>
    <row r="63" spans="1:7" ht="15" customHeight="1" x14ac:dyDescent="0.2">
      <c r="A63" s="141">
        <v>2</v>
      </c>
      <c r="B63" s="149" t="s">
        <v>202</v>
      </c>
      <c r="C63" s="146">
        <v>828971</v>
      </c>
      <c r="D63" s="146">
        <v>737229</v>
      </c>
      <c r="E63" s="146">
        <f t="shared" si="2"/>
        <v>-91742</v>
      </c>
      <c r="F63" s="150">
        <f t="shared" si="3"/>
        <v>-0.11066973392314086</v>
      </c>
    </row>
    <row r="64" spans="1:7" ht="15" customHeight="1" x14ac:dyDescent="0.2">
      <c r="A64" s="141">
        <v>3</v>
      </c>
      <c r="B64" s="149" t="s">
        <v>203</v>
      </c>
      <c r="C64" s="146">
        <v>12874775</v>
      </c>
      <c r="D64" s="146">
        <v>3353342</v>
      </c>
      <c r="E64" s="146">
        <f t="shared" si="2"/>
        <v>-9521433</v>
      </c>
      <c r="F64" s="150">
        <f t="shared" si="3"/>
        <v>-0.73954170072875058</v>
      </c>
    </row>
    <row r="65" spans="1:7" ht="15" customHeight="1" x14ac:dyDescent="0.2">
      <c r="A65" s="141">
        <v>4</v>
      </c>
      <c r="B65" s="149" t="s">
        <v>204</v>
      </c>
      <c r="C65" s="146">
        <v>410035</v>
      </c>
      <c r="D65" s="146">
        <v>372137</v>
      </c>
      <c r="E65" s="146">
        <f t="shared" si="2"/>
        <v>-37898</v>
      </c>
      <c r="F65" s="150">
        <f t="shared" si="3"/>
        <v>-9.2426256295194312E-2</v>
      </c>
    </row>
    <row r="66" spans="1:7" ht="15" customHeight="1" x14ac:dyDescent="0.2">
      <c r="A66" s="141">
        <v>5</v>
      </c>
      <c r="B66" s="149" t="s">
        <v>205</v>
      </c>
      <c r="C66" s="146">
        <v>1832746</v>
      </c>
      <c r="D66" s="146">
        <v>1775534</v>
      </c>
      <c r="E66" s="146">
        <f t="shared" si="2"/>
        <v>-57212</v>
      </c>
      <c r="F66" s="150">
        <f t="shared" si="3"/>
        <v>-3.1216546100769009E-2</v>
      </c>
    </row>
    <row r="67" spans="1:7" ht="15" customHeight="1" x14ac:dyDescent="0.2">
      <c r="A67" s="141">
        <v>6</v>
      </c>
      <c r="B67" s="149" t="s">
        <v>206</v>
      </c>
      <c r="C67" s="146">
        <v>753361</v>
      </c>
      <c r="D67" s="146">
        <v>785428</v>
      </c>
      <c r="E67" s="146">
        <f t="shared" si="2"/>
        <v>32067</v>
      </c>
      <c r="F67" s="150">
        <f t="shared" si="3"/>
        <v>4.2565250922200648E-2</v>
      </c>
    </row>
    <row r="68" spans="1:7" ht="15" customHeight="1" x14ac:dyDescent="0.2">
      <c r="A68" s="141">
        <v>7</v>
      </c>
      <c r="B68" s="149" t="s">
        <v>207</v>
      </c>
      <c r="C68" s="146">
        <v>2151235</v>
      </c>
      <c r="D68" s="146">
        <v>2470458</v>
      </c>
      <c r="E68" s="146">
        <f t="shared" si="2"/>
        <v>319223</v>
      </c>
      <c r="F68" s="150">
        <f t="shared" si="3"/>
        <v>0.14839057564608238</v>
      </c>
    </row>
    <row r="69" spans="1:7" ht="15" customHeight="1" x14ac:dyDescent="0.2">
      <c r="A69" s="141">
        <v>8</v>
      </c>
      <c r="B69" s="149" t="s">
        <v>208</v>
      </c>
      <c r="C69" s="146">
        <v>340579</v>
      </c>
      <c r="D69" s="146">
        <v>312904</v>
      </c>
      <c r="E69" s="146">
        <f t="shared" si="2"/>
        <v>-27675</v>
      </c>
      <c r="F69" s="150">
        <f t="shared" si="3"/>
        <v>-8.1258680071290362E-2</v>
      </c>
    </row>
    <row r="70" spans="1:7" ht="15" customHeight="1" x14ac:dyDescent="0.2">
      <c r="A70" s="141">
        <v>9</v>
      </c>
      <c r="B70" s="149" t="s">
        <v>209</v>
      </c>
      <c r="C70" s="146">
        <v>109108</v>
      </c>
      <c r="D70" s="146">
        <v>158907</v>
      </c>
      <c r="E70" s="146">
        <f t="shared" si="2"/>
        <v>49799</v>
      </c>
      <c r="F70" s="150">
        <f t="shared" si="3"/>
        <v>0.45641932763866994</v>
      </c>
    </row>
    <row r="71" spans="1:7" ht="15" customHeight="1" x14ac:dyDescent="0.2">
      <c r="A71" s="141">
        <v>10</v>
      </c>
      <c r="B71" s="149" t="s">
        <v>210</v>
      </c>
      <c r="C71" s="146">
        <v>214267</v>
      </c>
      <c r="D71" s="146">
        <v>212030</v>
      </c>
      <c r="E71" s="146">
        <f t="shared" si="2"/>
        <v>-2237</v>
      </c>
      <c r="F71" s="150">
        <f t="shared" si="3"/>
        <v>-1.044024511474002E-2</v>
      </c>
    </row>
    <row r="72" spans="1:7" ht="15" customHeight="1" x14ac:dyDescent="0.2">
      <c r="A72" s="141">
        <v>11</v>
      </c>
      <c r="B72" s="149" t="s">
        <v>211</v>
      </c>
      <c r="C72" s="146">
        <v>34662</v>
      </c>
      <c r="D72" s="146">
        <v>174437</v>
      </c>
      <c r="E72" s="146">
        <f t="shared" si="2"/>
        <v>139775</v>
      </c>
      <c r="F72" s="150">
        <f t="shared" si="3"/>
        <v>4.0325139922681901</v>
      </c>
    </row>
    <row r="73" spans="1:7" ht="15" customHeight="1" x14ac:dyDescent="0.2">
      <c r="A73" s="141">
        <v>12</v>
      </c>
      <c r="B73" s="149" t="s">
        <v>212</v>
      </c>
      <c r="C73" s="146">
        <v>3120359</v>
      </c>
      <c r="D73" s="146">
        <v>2939202</v>
      </c>
      <c r="E73" s="146">
        <f t="shared" si="2"/>
        <v>-181157</v>
      </c>
      <c r="F73" s="150">
        <f t="shared" si="3"/>
        <v>-5.8056460811079749E-2</v>
      </c>
    </row>
    <row r="74" spans="1:7" ht="15" customHeight="1" x14ac:dyDescent="0.2">
      <c r="A74" s="141">
        <v>13</v>
      </c>
      <c r="B74" s="149" t="s">
        <v>213</v>
      </c>
      <c r="C74" s="146">
        <v>0</v>
      </c>
      <c r="D74" s="146">
        <v>0</v>
      </c>
      <c r="E74" s="146">
        <f t="shared" si="2"/>
        <v>0</v>
      </c>
      <c r="F74" s="150">
        <f t="shared" si="3"/>
        <v>0</v>
      </c>
    </row>
    <row r="75" spans="1:7" ht="15" customHeight="1" x14ac:dyDescent="0.2">
      <c r="A75" s="141">
        <v>14</v>
      </c>
      <c r="B75" s="149" t="s">
        <v>214</v>
      </c>
      <c r="C75" s="146">
        <v>146773</v>
      </c>
      <c r="D75" s="146">
        <v>137973</v>
      </c>
      <c r="E75" s="146">
        <f t="shared" si="2"/>
        <v>-8800</v>
      </c>
      <c r="F75" s="150">
        <f t="shared" si="3"/>
        <v>-5.9956531514651877E-2</v>
      </c>
    </row>
    <row r="76" spans="1:7" ht="15" customHeight="1" x14ac:dyDescent="0.2">
      <c r="A76" s="141">
        <v>15</v>
      </c>
      <c r="B76" s="149" t="s">
        <v>215</v>
      </c>
      <c r="C76" s="146">
        <v>377173</v>
      </c>
      <c r="D76" s="146">
        <v>714990</v>
      </c>
      <c r="E76" s="146">
        <f t="shared" si="2"/>
        <v>337817</v>
      </c>
      <c r="F76" s="150">
        <f t="shared" si="3"/>
        <v>0.89565530936731952</v>
      </c>
    </row>
    <row r="77" spans="1:7" ht="15" customHeight="1" x14ac:dyDescent="0.2">
      <c r="A77" s="141">
        <v>16</v>
      </c>
      <c r="B77" s="149" t="s">
        <v>216</v>
      </c>
      <c r="C77" s="146">
        <v>11415513</v>
      </c>
      <c r="D77" s="146">
        <v>12570210</v>
      </c>
      <c r="E77" s="146">
        <f t="shared" si="2"/>
        <v>1154697</v>
      </c>
      <c r="F77" s="150">
        <f t="shared" si="3"/>
        <v>0.10115156454204029</v>
      </c>
    </row>
    <row r="78" spans="1:7" ht="15.75" customHeight="1" x14ac:dyDescent="0.25">
      <c r="A78" s="141"/>
      <c r="B78" s="151" t="s">
        <v>217</v>
      </c>
      <c r="C78" s="147">
        <f>SUM(C62:C77)</f>
        <v>34782569</v>
      </c>
      <c r="D78" s="147">
        <f>SUM(D62:D77)</f>
        <v>26912697</v>
      </c>
      <c r="E78" s="147">
        <f t="shared" si="2"/>
        <v>-7869872</v>
      </c>
      <c r="F78" s="148">
        <f t="shared" si="3"/>
        <v>-0.22625907821817301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1220777</v>
      </c>
      <c r="D81" s="146">
        <v>4159698</v>
      </c>
      <c r="E81" s="146">
        <f>+D81-C81</f>
        <v>2938921</v>
      </c>
      <c r="F81" s="150">
        <f>IF(C81=0,0,E81/C81)</f>
        <v>2.4074183900909012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253532594</v>
      </c>
      <c r="D83" s="147">
        <f>+D81+D78+D59+D50+D47+D44+D41+D35+D30+D24+D18</f>
        <v>237519576</v>
      </c>
      <c r="E83" s="147">
        <f>+D83-C83</f>
        <v>-16013018</v>
      </c>
      <c r="F83" s="148">
        <f>IF(C83=0,0,E83/C83)</f>
        <v>-6.3159603060740976E-2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26601549</v>
      </c>
      <c r="D91" s="146">
        <v>28511639</v>
      </c>
      <c r="E91" s="146">
        <f t="shared" ref="E91:E109" si="4">D91-C91</f>
        <v>1910090</v>
      </c>
      <c r="F91" s="150">
        <f t="shared" ref="F91:F109" si="5">IF(C91=0,0,E91/C91)</f>
        <v>7.1803713385261883E-2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1252116</v>
      </c>
      <c r="D92" s="146">
        <v>1577079</v>
      </c>
      <c r="E92" s="146">
        <f t="shared" si="4"/>
        <v>324963</v>
      </c>
      <c r="F92" s="150">
        <f t="shared" si="5"/>
        <v>0.2595310658117938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1419935</v>
      </c>
      <c r="D93" s="146">
        <v>1298907</v>
      </c>
      <c r="E93" s="146">
        <f t="shared" si="4"/>
        <v>-121028</v>
      </c>
      <c r="F93" s="150">
        <f t="shared" si="5"/>
        <v>-8.5234887512456559E-2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1764369</v>
      </c>
      <c r="D94" s="146">
        <v>1711458</v>
      </c>
      <c r="E94" s="146">
        <f t="shared" si="4"/>
        <v>-52911</v>
      </c>
      <c r="F94" s="150">
        <f t="shared" si="5"/>
        <v>-2.9988624828479755E-2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7098420</v>
      </c>
      <c r="D95" s="146">
        <v>7936887</v>
      </c>
      <c r="E95" s="146">
        <f t="shared" si="4"/>
        <v>838467</v>
      </c>
      <c r="F95" s="150">
        <f t="shared" si="5"/>
        <v>0.11812022957221466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1581672</v>
      </c>
      <c r="D97" s="146">
        <v>1630347</v>
      </c>
      <c r="E97" s="146">
        <f t="shared" si="4"/>
        <v>48675</v>
      </c>
      <c r="F97" s="150">
        <f t="shared" si="5"/>
        <v>3.0774395702775292E-2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383139</v>
      </c>
      <c r="D98" s="146">
        <v>742171</v>
      </c>
      <c r="E98" s="146">
        <f t="shared" si="4"/>
        <v>359032</v>
      </c>
      <c r="F98" s="150">
        <f t="shared" si="5"/>
        <v>0.93708027634879243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980869</v>
      </c>
      <c r="D99" s="146">
        <v>991769</v>
      </c>
      <c r="E99" s="146">
        <f t="shared" si="4"/>
        <v>10900</v>
      </c>
      <c r="F99" s="150">
        <f t="shared" si="5"/>
        <v>1.1112595056016654E-2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3237703</v>
      </c>
      <c r="D100" s="146">
        <v>2973208</v>
      </c>
      <c r="E100" s="146">
        <f t="shared" si="4"/>
        <v>-264495</v>
      </c>
      <c r="F100" s="150">
        <f t="shared" si="5"/>
        <v>-8.1692174977136572E-2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4407098</v>
      </c>
      <c r="D101" s="146">
        <v>4481885</v>
      </c>
      <c r="E101" s="146">
        <f t="shared" si="4"/>
        <v>74787</v>
      </c>
      <c r="F101" s="150">
        <f t="shared" si="5"/>
        <v>1.696967029097152E-2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1148497</v>
      </c>
      <c r="D102" s="146">
        <v>1136096</v>
      </c>
      <c r="E102" s="146">
        <f t="shared" si="4"/>
        <v>-12401</v>
      </c>
      <c r="F102" s="150">
        <f t="shared" si="5"/>
        <v>-1.0797590241855224E-2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5504218</v>
      </c>
      <c r="D103" s="146">
        <v>5669978</v>
      </c>
      <c r="E103" s="146">
        <f t="shared" si="4"/>
        <v>165760</v>
      </c>
      <c r="F103" s="150">
        <f t="shared" si="5"/>
        <v>3.0115086284736543E-2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1210130</v>
      </c>
      <c r="D104" s="146">
        <v>1185368</v>
      </c>
      <c r="E104" s="146">
        <f t="shared" si="4"/>
        <v>-24762</v>
      </c>
      <c r="F104" s="150">
        <f t="shared" si="5"/>
        <v>-2.0462264384818161E-2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989170</v>
      </c>
      <c r="D105" s="146">
        <v>918253</v>
      </c>
      <c r="E105" s="146">
        <f t="shared" si="4"/>
        <v>-70917</v>
      </c>
      <c r="F105" s="150">
        <f t="shared" si="5"/>
        <v>-7.1693439954709504E-2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1236563</v>
      </c>
      <c r="D106" s="146">
        <v>1373863</v>
      </c>
      <c r="E106" s="146">
        <f t="shared" si="4"/>
        <v>137300</v>
      </c>
      <c r="F106" s="150">
        <f t="shared" si="5"/>
        <v>0.11103356642564916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9427206</v>
      </c>
      <c r="D107" s="146">
        <v>9325729</v>
      </c>
      <c r="E107" s="146">
        <f t="shared" si="4"/>
        <v>-101477</v>
      </c>
      <c r="F107" s="150">
        <f t="shared" si="5"/>
        <v>-1.076427098336453E-2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51104986</v>
      </c>
      <c r="D108" s="146">
        <v>40164452</v>
      </c>
      <c r="E108" s="146">
        <f t="shared" si="4"/>
        <v>-10940534</v>
      </c>
      <c r="F108" s="150">
        <f t="shared" si="5"/>
        <v>-0.21407958119781112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119347640</v>
      </c>
      <c r="D109" s="147">
        <f>SUM(D91:D108)</f>
        <v>111629089</v>
      </c>
      <c r="E109" s="147">
        <f t="shared" si="4"/>
        <v>-7718551</v>
      </c>
      <c r="F109" s="148">
        <f t="shared" si="5"/>
        <v>-6.4672841457107985E-2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9358161</v>
      </c>
      <c r="D112" s="146">
        <v>7813659</v>
      </c>
      <c r="E112" s="146">
        <f t="shared" ref="E112:E118" si="6">D112-C112</f>
        <v>-1544502</v>
      </c>
      <c r="F112" s="150">
        <f t="shared" ref="F112:F118" si="7">IF(C112=0,0,E112/C112)</f>
        <v>-0.16504332421722601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2009841</v>
      </c>
      <c r="D114" s="146">
        <v>1960468</v>
      </c>
      <c r="E114" s="146">
        <f t="shared" si="6"/>
        <v>-49373</v>
      </c>
      <c r="F114" s="150">
        <f t="shared" si="7"/>
        <v>-2.4565624842960213E-2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1764930</v>
      </c>
      <c r="D115" s="146">
        <v>1827372</v>
      </c>
      <c r="E115" s="146">
        <f t="shared" si="6"/>
        <v>62442</v>
      </c>
      <c r="F115" s="150">
        <f t="shared" si="7"/>
        <v>3.5379306828032843E-2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1208585</v>
      </c>
      <c r="D116" s="146">
        <v>1751926</v>
      </c>
      <c r="E116" s="146">
        <f t="shared" si="6"/>
        <v>543341</v>
      </c>
      <c r="F116" s="150">
        <f t="shared" si="7"/>
        <v>0.44956788310296752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7269592</v>
      </c>
      <c r="D117" s="146">
        <v>7622581</v>
      </c>
      <c r="E117" s="146">
        <f t="shared" si="6"/>
        <v>352989</v>
      </c>
      <c r="F117" s="150">
        <f t="shared" si="7"/>
        <v>4.8556920388379429E-2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21611109</v>
      </c>
      <c r="D118" s="147">
        <f>SUM(D112:D117)</f>
        <v>20976006</v>
      </c>
      <c r="E118" s="147">
        <f t="shared" si="6"/>
        <v>-635103</v>
      </c>
      <c r="F118" s="148">
        <f t="shared" si="7"/>
        <v>-2.9387802356649072E-2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23272821</v>
      </c>
      <c r="D121" s="146">
        <v>20392668</v>
      </c>
      <c r="E121" s="146">
        <f t="shared" ref="E121:E155" si="8">D121-C121</f>
        <v>-2880153</v>
      </c>
      <c r="F121" s="150">
        <f t="shared" ref="F121:F155" si="9">IF(C121=0,0,E121/C121)</f>
        <v>-0.12375607581049156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1013230</v>
      </c>
      <c r="D122" s="146">
        <v>1019896</v>
      </c>
      <c r="E122" s="146">
        <f t="shared" si="8"/>
        <v>6666</v>
      </c>
      <c r="F122" s="150">
        <f t="shared" si="9"/>
        <v>6.5789603545098347E-3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635732</v>
      </c>
      <c r="D123" s="146">
        <v>530545</v>
      </c>
      <c r="E123" s="146">
        <f t="shared" si="8"/>
        <v>-105187</v>
      </c>
      <c r="F123" s="150">
        <f t="shared" si="9"/>
        <v>-0.16545808611175777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3632236</v>
      </c>
      <c r="D125" s="146">
        <v>3676421</v>
      </c>
      <c r="E125" s="146">
        <f t="shared" si="8"/>
        <v>44185</v>
      </c>
      <c r="F125" s="150">
        <f t="shared" si="9"/>
        <v>1.2164683131822932E-2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436719</v>
      </c>
      <c r="D126" s="146">
        <v>467943</v>
      </c>
      <c r="E126" s="146">
        <f t="shared" si="8"/>
        <v>31224</v>
      </c>
      <c r="F126" s="150">
        <f t="shared" si="9"/>
        <v>7.1496774814010844E-2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68290</v>
      </c>
      <c r="D127" s="146">
        <v>21164</v>
      </c>
      <c r="E127" s="146">
        <f t="shared" si="8"/>
        <v>-47126</v>
      </c>
      <c r="F127" s="150">
        <f t="shared" si="9"/>
        <v>-0.69008639625128132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710770</v>
      </c>
      <c r="D128" s="146">
        <v>615711</v>
      </c>
      <c r="E128" s="146">
        <f t="shared" si="8"/>
        <v>-95059</v>
      </c>
      <c r="F128" s="150">
        <f t="shared" si="9"/>
        <v>-0.13374087257481324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963311</v>
      </c>
      <c r="D129" s="146">
        <v>938232</v>
      </c>
      <c r="E129" s="146">
        <f t="shared" si="8"/>
        <v>-25079</v>
      </c>
      <c r="F129" s="150">
        <f t="shared" si="9"/>
        <v>-2.6034167574127152E-2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8475864</v>
      </c>
      <c r="D130" s="146">
        <v>7977901</v>
      </c>
      <c r="E130" s="146">
        <f t="shared" si="8"/>
        <v>-497963</v>
      </c>
      <c r="F130" s="150">
        <f t="shared" si="9"/>
        <v>-5.8750706712613607E-2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2388006</v>
      </c>
      <c r="D131" s="146">
        <v>2148844</v>
      </c>
      <c r="E131" s="146">
        <f t="shared" si="8"/>
        <v>-239162</v>
      </c>
      <c r="F131" s="150">
        <f t="shared" si="9"/>
        <v>-0.10015133965325045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5422357</v>
      </c>
      <c r="D132" s="146">
        <v>5753018</v>
      </c>
      <c r="E132" s="146">
        <f t="shared" si="8"/>
        <v>330661</v>
      </c>
      <c r="F132" s="150">
        <f t="shared" si="9"/>
        <v>6.0981045696548566E-2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592986</v>
      </c>
      <c r="D134" s="146">
        <v>518496</v>
      </c>
      <c r="E134" s="146">
        <f t="shared" si="8"/>
        <v>-74490</v>
      </c>
      <c r="F134" s="150">
        <f t="shared" si="9"/>
        <v>-0.12561848003156903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14666</v>
      </c>
      <c r="D136" s="146">
        <v>1950</v>
      </c>
      <c r="E136" s="146">
        <f t="shared" si="8"/>
        <v>-12716</v>
      </c>
      <c r="F136" s="150">
        <f t="shared" si="9"/>
        <v>-0.86703941088231284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1525700</v>
      </c>
      <c r="D138" s="146">
        <v>1507972</v>
      </c>
      <c r="E138" s="146">
        <f t="shared" si="8"/>
        <v>-17728</v>
      </c>
      <c r="F138" s="150">
        <f t="shared" si="9"/>
        <v>-1.161958445303795E-2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18226</v>
      </c>
      <c r="D139" s="146">
        <v>19356</v>
      </c>
      <c r="E139" s="146">
        <f t="shared" si="8"/>
        <v>1130</v>
      </c>
      <c r="F139" s="150">
        <f t="shared" si="9"/>
        <v>6.1999341599912217E-2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6702635</v>
      </c>
      <c r="D142" s="146">
        <v>6431358</v>
      </c>
      <c r="E142" s="146">
        <f t="shared" si="8"/>
        <v>-271277</v>
      </c>
      <c r="F142" s="150">
        <f t="shared" si="9"/>
        <v>-4.0473187037635201E-2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528164</v>
      </c>
      <c r="D143" s="146">
        <v>452659</v>
      </c>
      <c r="E143" s="146">
        <f t="shared" si="8"/>
        <v>-75505</v>
      </c>
      <c r="F143" s="150">
        <f t="shared" si="9"/>
        <v>-0.14295749047644293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11714122</v>
      </c>
      <c r="D144" s="146">
        <v>8727779</v>
      </c>
      <c r="E144" s="146">
        <f t="shared" si="8"/>
        <v>-2986343</v>
      </c>
      <c r="F144" s="150">
        <f t="shared" si="9"/>
        <v>-0.25493528238821483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1257500</v>
      </c>
      <c r="D145" s="146">
        <v>1132157</v>
      </c>
      <c r="E145" s="146">
        <f t="shared" si="8"/>
        <v>-125343</v>
      </c>
      <c r="F145" s="150">
        <f t="shared" si="9"/>
        <v>-9.967634194831014E-2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1165963</v>
      </c>
      <c r="D148" s="146">
        <v>1352519</v>
      </c>
      <c r="E148" s="146">
        <f t="shared" si="8"/>
        <v>186556</v>
      </c>
      <c r="F148" s="150">
        <f t="shared" si="9"/>
        <v>0.16000164670748557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947632</v>
      </c>
      <c r="D149" s="146">
        <v>1015547</v>
      </c>
      <c r="E149" s="146">
        <f t="shared" si="8"/>
        <v>67915</v>
      </c>
      <c r="F149" s="150">
        <f t="shared" si="9"/>
        <v>7.1668115893089301E-2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259610</v>
      </c>
      <c r="D151" s="146">
        <v>234020</v>
      </c>
      <c r="E151" s="146">
        <f t="shared" si="8"/>
        <v>-25590</v>
      </c>
      <c r="F151" s="150">
        <f t="shared" si="9"/>
        <v>-9.8570933323061521E-2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1213362</v>
      </c>
      <c r="D152" s="146">
        <v>1254223</v>
      </c>
      <c r="E152" s="146">
        <f t="shared" si="8"/>
        <v>40861</v>
      </c>
      <c r="F152" s="150">
        <f t="shared" si="9"/>
        <v>3.367585271336996E-2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463336</v>
      </c>
      <c r="D154" s="146">
        <v>466722</v>
      </c>
      <c r="E154" s="146">
        <f t="shared" si="8"/>
        <v>3386</v>
      </c>
      <c r="F154" s="150">
        <f t="shared" si="9"/>
        <v>7.3078716093720325E-3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73423238</v>
      </c>
      <c r="D155" s="147">
        <f>SUM(D121:D154)</f>
        <v>66657101</v>
      </c>
      <c r="E155" s="147">
        <f t="shared" si="8"/>
        <v>-6766137</v>
      </c>
      <c r="F155" s="148">
        <f t="shared" si="9"/>
        <v>-9.21525280593046E-2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18443277</v>
      </c>
      <c r="D158" s="146">
        <v>17455492</v>
      </c>
      <c r="E158" s="146">
        <f t="shared" ref="E158:E171" si="10">D158-C158</f>
        <v>-987785</v>
      </c>
      <c r="F158" s="150">
        <f t="shared" ref="F158:F171" si="11">IF(C158=0,0,E158/C158)</f>
        <v>-5.3557998396922629E-2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5484044</v>
      </c>
      <c r="D159" s="146">
        <v>5127742</v>
      </c>
      <c r="E159" s="146">
        <f t="shared" si="10"/>
        <v>-356302</v>
      </c>
      <c r="F159" s="150">
        <f t="shared" si="11"/>
        <v>-6.4970667631404855E-2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1877629</v>
      </c>
      <c r="D160" s="146">
        <v>1732194</v>
      </c>
      <c r="E160" s="146">
        <f t="shared" si="10"/>
        <v>-145435</v>
      </c>
      <c r="F160" s="150">
        <f t="shared" si="11"/>
        <v>-7.7456728672171127E-2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3305549</v>
      </c>
      <c r="D161" s="146">
        <v>3267693</v>
      </c>
      <c r="E161" s="146">
        <f t="shared" si="10"/>
        <v>-37856</v>
      </c>
      <c r="F161" s="150">
        <f t="shared" si="11"/>
        <v>-1.1452258006158735E-2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238525</v>
      </c>
      <c r="D162" s="146">
        <v>0</v>
      </c>
      <c r="E162" s="146">
        <f t="shared" si="10"/>
        <v>-238525</v>
      </c>
      <c r="F162" s="150">
        <f t="shared" si="11"/>
        <v>-1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4028858</v>
      </c>
      <c r="D163" s="146">
        <v>4198709</v>
      </c>
      <c r="E163" s="146">
        <f t="shared" si="10"/>
        <v>169851</v>
      </c>
      <c r="F163" s="150">
        <f t="shared" si="11"/>
        <v>4.2158596803362147E-2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1348051</v>
      </c>
      <c r="D164" s="146">
        <v>1346803</v>
      </c>
      <c r="E164" s="146">
        <f t="shared" si="10"/>
        <v>-1248</v>
      </c>
      <c r="F164" s="150">
        <f t="shared" si="11"/>
        <v>-9.2578099789993105E-4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2021307</v>
      </c>
      <c r="D167" s="146">
        <v>2129184</v>
      </c>
      <c r="E167" s="146">
        <f t="shared" si="10"/>
        <v>107877</v>
      </c>
      <c r="F167" s="150">
        <f t="shared" si="11"/>
        <v>5.3369923519782002E-2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36747240</v>
      </c>
      <c r="D171" s="147">
        <f>SUM(D158:D170)</f>
        <v>35257817</v>
      </c>
      <c r="E171" s="147">
        <f t="shared" si="10"/>
        <v>-1489423</v>
      </c>
      <c r="F171" s="148">
        <f t="shared" si="11"/>
        <v>-4.0531561009752026E-2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2403367</v>
      </c>
      <c r="D174" s="146">
        <v>2999563</v>
      </c>
      <c r="E174" s="146">
        <f>D174-C174</f>
        <v>596196</v>
      </c>
      <c r="F174" s="150">
        <f>IF(C174=0,0,E174/C174)</f>
        <v>0.24806698269552674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253532594</v>
      </c>
      <c r="D176" s="147">
        <f>+D174+D171+D155+D118+D109</f>
        <v>237519576</v>
      </c>
      <c r="E176" s="147">
        <f>D176-C176</f>
        <v>-16013018</v>
      </c>
      <c r="F176" s="148">
        <f>IF(C176=0,0,E176/C176)</f>
        <v>-6.3159603060740976E-2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FILING&amp;RWATERBURY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>
      <selection activeCell="A8" sqref="A8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221441319</v>
      </c>
      <c r="D11" s="164">
        <v>239928524</v>
      </c>
      <c r="E11" s="51">
        <v>229011318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11605995</v>
      </c>
      <c r="D12" s="49">
        <v>8617813</v>
      </c>
      <c r="E12" s="49">
        <v>7866089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233047314</v>
      </c>
      <c r="D13" s="51">
        <f>+D11+D12</f>
        <v>248546337</v>
      </c>
      <c r="E13" s="51">
        <f>+E11+E12</f>
        <v>236877407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245407419</v>
      </c>
      <c r="D14" s="49">
        <v>253532594</v>
      </c>
      <c r="E14" s="49">
        <v>237519576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-12360105</v>
      </c>
      <c r="D15" s="51">
        <f>+D13-D14</f>
        <v>-4986257</v>
      </c>
      <c r="E15" s="51">
        <f>+E13-E14</f>
        <v>-642169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1875322</v>
      </c>
      <c r="D16" s="49">
        <v>3066686</v>
      </c>
      <c r="E16" s="49">
        <v>969525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-10484783</v>
      </c>
      <c r="D17" s="51">
        <f>D15+D16</f>
        <v>-1919571</v>
      </c>
      <c r="E17" s="51">
        <f>E15+E16</f>
        <v>327356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-5.261351230538721E-2</v>
      </c>
      <c r="D20" s="169">
        <f>IF(+D27=0,0,+D24/+D27)</f>
        <v>-1.9817165822931193E-2</v>
      </c>
      <c r="E20" s="169">
        <f>IF(+E27=0,0,+E24/+E27)</f>
        <v>-2.699925513439038E-3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7.982721596909036E-3</v>
      </c>
      <c r="D21" s="169">
        <f>IF(D27=0,0,+D26/D27)</f>
        <v>1.2188105223790423E-2</v>
      </c>
      <c r="E21" s="169">
        <f>IF(E27=0,0,+E26/E27)</f>
        <v>4.0762560687560186E-3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-4.4630790708478175E-2</v>
      </c>
      <c r="D22" s="169">
        <f>IF(D27=0,0,+D28/D27)</f>
        <v>-7.6290605991407683E-3</v>
      </c>
      <c r="E22" s="169">
        <f>IF(E27=0,0,+E28/E27)</f>
        <v>1.3763305553169802E-3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-12360105</v>
      </c>
      <c r="D24" s="51">
        <f>+D15</f>
        <v>-4986257</v>
      </c>
      <c r="E24" s="51">
        <f>+E15</f>
        <v>-642169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233047314</v>
      </c>
      <c r="D25" s="51">
        <f>+D13</f>
        <v>248546337</v>
      </c>
      <c r="E25" s="51">
        <f>+E13</f>
        <v>236877407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1875322</v>
      </c>
      <c r="D26" s="51">
        <f>+D16</f>
        <v>3066686</v>
      </c>
      <c r="E26" s="51">
        <f>+E16</f>
        <v>969525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234922636</v>
      </c>
      <c r="D27" s="51">
        <f>+D25+D26</f>
        <v>251613023</v>
      </c>
      <c r="E27" s="51">
        <f>+E25+E26</f>
        <v>237846932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-10484783</v>
      </c>
      <c r="D28" s="51">
        <f>+D17</f>
        <v>-1919571</v>
      </c>
      <c r="E28" s="51">
        <f>+E17</f>
        <v>327356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47953352</v>
      </c>
      <c r="D31" s="51">
        <v>44636663</v>
      </c>
      <c r="E31" s="51">
        <v>40084846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99996300</v>
      </c>
      <c r="D32" s="51">
        <v>93058584</v>
      </c>
      <c r="E32" s="51">
        <v>90753820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-22520197</v>
      </c>
      <c r="D33" s="51">
        <f>+D32-C32</f>
        <v>-6937716</v>
      </c>
      <c r="E33" s="51">
        <f>+E32-D32</f>
        <v>-2304764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0.81610000000000005</v>
      </c>
      <c r="D34" s="171">
        <f>IF(C32=0,0,+D33/C32)</f>
        <v>-6.9379727049900849E-2</v>
      </c>
      <c r="E34" s="171">
        <f>IF(D32=0,0,+E33/D32)</f>
        <v>-2.4766807111528798E-2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0.31469030174814777</v>
      </c>
      <c r="D38" s="172">
        <f>IF((D40+D41)=0,0,+D39/(D40+D41))</f>
        <v>0.29549667040851779</v>
      </c>
      <c r="E38" s="172">
        <f>IF((E40+E41)=0,0,+E39/(E40+E41))</f>
        <v>0.28743413077596919</v>
      </c>
      <c r="F38" s="5"/>
    </row>
    <row r="39" spans="1:6" ht="24" customHeight="1" x14ac:dyDescent="0.2">
      <c r="A39" s="21">
        <v>2</v>
      </c>
      <c r="B39" s="48" t="s">
        <v>324</v>
      </c>
      <c r="C39" s="51">
        <v>227689900</v>
      </c>
      <c r="D39" s="51">
        <v>253532594</v>
      </c>
      <c r="E39" s="23">
        <v>237519576</v>
      </c>
      <c r="F39" s="5"/>
    </row>
    <row r="40" spans="1:6" ht="24" customHeight="1" x14ac:dyDescent="0.2">
      <c r="A40" s="21">
        <v>3</v>
      </c>
      <c r="B40" s="48" t="s">
        <v>325</v>
      </c>
      <c r="C40" s="51">
        <v>709569118</v>
      </c>
      <c r="D40" s="51">
        <v>844914267</v>
      </c>
      <c r="E40" s="23">
        <v>815767927</v>
      </c>
      <c r="F40" s="5"/>
    </row>
    <row r="41" spans="1:6" ht="24" customHeight="1" x14ac:dyDescent="0.2">
      <c r="A41" s="21">
        <v>4</v>
      </c>
      <c r="B41" s="48" t="s">
        <v>326</v>
      </c>
      <c r="C41" s="51">
        <v>13967320</v>
      </c>
      <c r="D41" s="51">
        <v>13073722</v>
      </c>
      <c r="E41" s="23">
        <v>10576444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1.1461256486182074</v>
      </c>
      <c r="D43" s="173">
        <f>IF(D38=0,0,IF((D46-D47)=0,0,((+D44-D45)/(D46-D47)/D38)))</f>
        <v>1.0918585676049313</v>
      </c>
      <c r="E43" s="173">
        <f>IF(E38=0,0,IF((E46-E47)=0,0,((+E44-E45)/(E46-E47)/E38)))</f>
        <v>1.1635047956340552</v>
      </c>
      <c r="F43" s="5"/>
    </row>
    <row r="44" spans="1:6" ht="24" customHeight="1" x14ac:dyDescent="0.2">
      <c r="A44" s="21">
        <v>6</v>
      </c>
      <c r="B44" s="48" t="s">
        <v>328</v>
      </c>
      <c r="C44" s="51">
        <v>86587089</v>
      </c>
      <c r="D44" s="51">
        <v>93517673</v>
      </c>
      <c r="E44" s="23">
        <v>89132989</v>
      </c>
      <c r="F44" s="5"/>
    </row>
    <row r="45" spans="1:6" ht="24" customHeight="1" x14ac:dyDescent="0.2">
      <c r="A45" s="21">
        <v>7</v>
      </c>
      <c r="B45" s="48" t="s">
        <v>329</v>
      </c>
      <c r="C45" s="51">
        <v>1060888</v>
      </c>
      <c r="D45" s="51">
        <v>4673624</v>
      </c>
      <c r="E45" s="23">
        <v>714101</v>
      </c>
      <c r="F45" s="5"/>
    </row>
    <row r="46" spans="1:6" ht="24" customHeight="1" x14ac:dyDescent="0.2">
      <c r="A46" s="21">
        <v>8</v>
      </c>
      <c r="B46" s="48" t="s">
        <v>330</v>
      </c>
      <c r="C46" s="51">
        <v>256722477</v>
      </c>
      <c r="D46" s="51">
        <v>295361960</v>
      </c>
      <c r="E46" s="23">
        <v>280737111</v>
      </c>
      <c r="F46" s="5"/>
    </row>
    <row r="47" spans="1:6" ht="24" customHeight="1" x14ac:dyDescent="0.2">
      <c r="A47" s="21">
        <v>9</v>
      </c>
      <c r="B47" s="48" t="s">
        <v>331</v>
      </c>
      <c r="C47" s="51">
        <v>19594066</v>
      </c>
      <c r="D47" s="51">
        <v>19996563</v>
      </c>
      <c r="E47" s="174">
        <v>16351062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0.90658499003535498</v>
      </c>
      <c r="D49" s="175">
        <f>IF(D38=0,0,IF(D51=0,0,(D50/D51)/D38))</f>
        <v>0.88148866387317693</v>
      </c>
      <c r="E49" s="175">
        <f>IF(E38=0,0,IF(E51=0,0,(E50/E51)/E38))</f>
        <v>0.89143204122783659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94927962</v>
      </c>
      <c r="D50" s="176">
        <v>105422025</v>
      </c>
      <c r="E50" s="176">
        <v>99518147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332737902</v>
      </c>
      <c r="D51" s="176">
        <v>404726863</v>
      </c>
      <c r="E51" s="176">
        <v>388396855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0.66438803313508865</v>
      </c>
      <c r="D53" s="175">
        <f>IF(D38=0,0,IF(D55=0,0,(D54/D55)/D38))</f>
        <v>0.68049116395745213</v>
      </c>
      <c r="E53" s="175">
        <f>IF(E38=0,0,IF(E55=0,0,(E54/E55)/E38))</f>
        <v>0.62381749034559697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19562259</v>
      </c>
      <c r="D54" s="176">
        <v>21623564</v>
      </c>
      <c r="E54" s="176">
        <v>19487482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93565091</v>
      </c>
      <c r="D55" s="176">
        <v>107535583</v>
      </c>
      <c r="E55" s="176">
        <v>108682556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6390260.8152808752</v>
      </c>
      <c r="D57" s="53">
        <f>+D60*D38</f>
        <v>4766186.35966051</v>
      </c>
      <c r="E57" s="53">
        <f>+E60*E38</f>
        <v>4856676.780117088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2588984</v>
      </c>
      <c r="D58" s="51">
        <v>1809921</v>
      </c>
      <c r="E58" s="52">
        <v>1910845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17717523</v>
      </c>
      <c r="D59" s="51">
        <v>14319487</v>
      </c>
      <c r="E59" s="52">
        <v>14985815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20306507</v>
      </c>
      <c r="D60" s="51">
        <v>16129408</v>
      </c>
      <c r="E60" s="52">
        <v>16896660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2.8065631436795725E-2</v>
      </c>
      <c r="D62" s="178">
        <f>IF(D63=0,0,+D57/D63)</f>
        <v>1.8799106988431277E-2</v>
      </c>
      <c r="E62" s="178">
        <f>IF(E63=0,0,+E57/E63)</f>
        <v>2.0447480001046684E-2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227689900</v>
      </c>
      <c r="D63" s="176">
        <v>253532594</v>
      </c>
      <c r="E63" s="176">
        <v>237519576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1.6320912574300284</v>
      </c>
      <c r="D67" s="179">
        <f>IF(D69=0,0,D68/D69)</f>
        <v>1.9966898726054148</v>
      </c>
      <c r="E67" s="179">
        <f>IF(E69=0,0,E68/E69)</f>
        <v>1.7874268249013481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50995793</v>
      </c>
      <c r="D68" s="180">
        <v>49565466</v>
      </c>
      <c r="E68" s="180">
        <v>48912347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31245675</v>
      </c>
      <c r="D69" s="180">
        <v>24823818</v>
      </c>
      <c r="E69" s="180">
        <v>27364671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16.162790408187256</v>
      </c>
      <c r="D71" s="181">
        <f>IF((D77/365)=0,0,+D74/(D77/365))</f>
        <v>21.883261480926794</v>
      </c>
      <c r="E71" s="181">
        <f>IF((E77/365)=0,0,+E74/(E77/365))</f>
        <v>25.970168651052425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10440801</v>
      </c>
      <c r="D72" s="182">
        <v>14657330</v>
      </c>
      <c r="E72" s="182">
        <v>16243349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10440801</v>
      </c>
      <c r="D74" s="180">
        <f>+D72+D73</f>
        <v>14657330</v>
      </c>
      <c r="E74" s="180">
        <f>+E72+E73</f>
        <v>16243349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245407419</v>
      </c>
      <c r="D75" s="180">
        <f>+D14</f>
        <v>253532594</v>
      </c>
      <c r="E75" s="180">
        <f>+E14</f>
        <v>237519576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9625585</v>
      </c>
      <c r="D76" s="180">
        <v>9056904</v>
      </c>
      <c r="E76" s="180">
        <v>9226011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235781834</v>
      </c>
      <c r="D77" s="180">
        <f>+D75-D76</f>
        <v>244475690</v>
      </c>
      <c r="E77" s="180">
        <f>+E75-E76</f>
        <v>228293565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56.807650766386551</v>
      </c>
      <c r="D79" s="179">
        <f>IF((D84/365)=0,0,+D83/(D84/365))</f>
        <v>44.676063380442415</v>
      </c>
      <c r="E79" s="179">
        <f>IF((E84/365)=0,0,+E83/(E84/365))</f>
        <v>43.88448589689353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33654146</v>
      </c>
      <c r="D80" s="189">
        <v>30390471</v>
      </c>
      <c r="E80" s="189">
        <v>27764677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810405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1023178</v>
      </c>
      <c r="E82" s="190">
        <v>230310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34464551</v>
      </c>
      <c r="D83" s="191">
        <f>+D80+D81-D82</f>
        <v>29367293</v>
      </c>
      <c r="E83" s="191">
        <f>+E80+E81-E82</f>
        <v>27534367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221441319</v>
      </c>
      <c r="D84" s="191">
        <f>+D11</f>
        <v>239928524</v>
      </c>
      <c r="E84" s="191">
        <f>+E11</f>
        <v>229011318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48.369593117169494</v>
      </c>
      <c r="D86" s="179">
        <f>IF((D90/365)=0,0,+D87/(D90/365))</f>
        <v>37.061736363235134</v>
      </c>
      <c r="E86" s="179">
        <f>IF((E90/365)=0,0,+E87/(E90/365))</f>
        <v>43.751145219533448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31245675</v>
      </c>
      <c r="D87" s="51">
        <f>+D69</f>
        <v>24823818</v>
      </c>
      <c r="E87" s="51">
        <f>+E69</f>
        <v>27364671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245407419</v>
      </c>
      <c r="D88" s="51">
        <f t="shared" si="0"/>
        <v>253532594</v>
      </c>
      <c r="E88" s="51">
        <f t="shared" si="0"/>
        <v>237519576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9625585</v>
      </c>
      <c r="D89" s="52">
        <f t="shared" si="0"/>
        <v>9056904</v>
      </c>
      <c r="E89" s="52">
        <f t="shared" si="0"/>
        <v>9226011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235781834</v>
      </c>
      <c r="D90" s="51">
        <f>+D88-D89</f>
        <v>244475690</v>
      </c>
      <c r="E90" s="51">
        <f>+E88-E89</f>
        <v>228293565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62.949954596294809</v>
      </c>
      <c r="D94" s="192">
        <f>IF(D96=0,0,(D95/D96)*100)</f>
        <v>61.50717516306441</v>
      </c>
      <c r="E94" s="192">
        <f>IF(E96=0,0,(E95/E96)*100)</f>
        <v>60.316799073360286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99996300</v>
      </c>
      <c r="D95" s="51">
        <f>+D32</f>
        <v>93058584</v>
      </c>
      <c r="E95" s="51">
        <f>+E32</f>
        <v>90753820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158850472</v>
      </c>
      <c r="D96" s="51">
        <v>151297119</v>
      </c>
      <c r="E96" s="51">
        <v>150461930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-1.6837836713914496</v>
      </c>
      <c r="D98" s="192">
        <f>IF(D104=0,0,(D101/D104)*100)</f>
        <v>16.268029643767289</v>
      </c>
      <c r="E98" s="192">
        <f>IF(E104=0,0,(E101/E104)*100)</f>
        <v>20.993002740412233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-10484783</v>
      </c>
      <c r="D99" s="51">
        <f>+D28</f>
        <v>-1919571</v>
      </c>
      <c r="E99" s="51">
        <f>+E28</f>
        <v>327356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9625585</v>
      </c>
      <c r="D100" s="52">
        <f>+D76</f>
        <v>9056904</v>
      </c>
      <c r="E100" s="52">
        <f>+E76</f>
        <v>9226011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-859198</v>
      </c>
      <c r="D101" s="51">
        <f>+D99+D100</f>
        <v>7137333</v>
      </c>
      <c r="E101" s="51">
        <f>+E99+E100</f>
        <v>9553367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31245675</v>
      </c>
      <c r="D102" s="180">
        <f>+D69</f>
        <v>24823818</v>
      </c>
      <c r="E102" s="180">
        <f>+E69</f>
        <v>27364671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19782139</v>
      </c>
      <c r="D103" s="194">
        <v>19049553</v>
      </c>
      <c r="E103" s="194">
        <v>18142716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51027814</v>
      </c>
      <c r="D104" s="180">
        <f>+D102+D103</f>
        <v>43873371</v>
      </c>
      <c r="E104" s="180">
        <f>+E102+E103</f>
        <v>45507387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16.515609290917542</v>
      </c>
      <c r="D106" s="197">
        <f>IF(D109=0,0,(D107/D109)*100)</f>
        <v>16.992123417410816</v>
      </c>
      <c r="E106" s="197">
        <f>IF(E109=0,0,(E107/E109)*100)</f>
        <v>16.660507915513492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19782139</v>
      </c>
      <c r="D107" s="180">
        <f>+D103</f>
        <v>19049553</v>
      </c>
      <c r="E107" s="180">
        <f>+E103</f>
        <v>18142716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99996300</v>
      </c>
      <c r="D108" s="180">
        <f>+D32</f>
        <v>93058584</v>
      </c>
      <c r="E108" s="180">
        <f>+E32</f>
        <v>90753820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119778439</v>
      </c>
      <c r="D109" s="180">
        <f>+D107+D108</f>
        <v>112108137</v>
      </c>
      <c r="E109" s="180">
        <f>+E107+E108</f>
        <v>108896536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0.39253578016418256</v>
      </c>
      <c r="D111" s="197">
        <f>IF((+D113+D115)=0,0,((+D112+D113+D114)/(+D113+D115)))</f>
        <v>3.444562045766598</v>
      </c>
      <c r="E111" s="197">
        <f>IF((+E113+E115)=0,0,((+E112+E113+E114)/(+E113+E115)))</f>
        <v>4.2581020083030845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-10484783</v>
      </c>
      <c r="D112" s="180">
        <f>+D17</f>
        <v>-1919571</v>
      </c>
      <c r="E112" s="180">
        <f>+E17</f>
        <v>327356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1414401</v>
      </c>
      <c r="D113" s="180">
        <v>1281962</v>
      </c>
      <c r="E113" s="180">
        <v>1188449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9625585</v>
      </c>
      <c r="D114" s="180">
        <v>9056904</v>
      </c>
      <c r="E114" s="180">
        <v>9226011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1162266</v>
      </c>
      <c r="E115" s="180">
        <v>1334228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19.602885538904907</v>
      </c>
      <c r="D119" s="197">
        <f>IF(+D121=0,0,(+D120)/(+D121))</f>
        <v>21.793407217300746</v>
      </c>
      <c r="E119" s="197">
        <f>IF(+E121=0,0,(+E120)/(+E121))</f>
        <v>22.360112729109037</v>
      </c>
    </row>
    <row r="120" spans="1:8" ht="24" customHeight="1" x14ac:dyDescent="0.25">
      <c r="A120" s="17">
        <v>21</v>
      </c>
      <c r="B120" s="48" t="s">
        <v>369</v>
      </c>
      <c r="C120" s="180">
        <v>188689241</v>
      </c>
      <c r="D120" s="180">
        <v>197380797</v>
      </c>
      <c r="E120" s="180">
        <v>206294646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9625585</v>
      </c>
      <c r="D121" s="180">
        <v>9056904</v>
      </c>
      <c r="E121" s="180">
        <v>9226011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70997</v>
      </c>
      <c r="D124" s="198">
        <v>67682</v>
      </c>
      <c r="E124" s="198">
        <v>59271</v>
      </c>
    </row>
    <row r="125" spans="1:8" ht="24" customHeight="1" x14ac:dyDescent="0.2">
      <c r="A125" s="44">
        <v>2</v>
      </c>
      <c r="B125" s="48" t="s">
        <v>373</v>
      </c>
      <c r="C125" s="198">
        <v>14736</v>
      </c>
      <c r="D125" s="198">
        <v>13916</v>
      </c>
      <c r="E125" s="198">
        <v>13046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4.8179288816503796</v>
      </c>
      <c r="D126" s="199">
        <f>IF(D125=0,0,D124/D125)</f>
        <v>4.8636102328255246</v>
      </c>
      <c r="E126" s="199">
        <f>IF(E125=0,0,E124/E125)</f>
        <v>4.5432316418825698</v>
      </c>
    </row>
    <row r="127" spans="1:8" ht="24" customHeight="1" x14ac:dyDescent="0.2">
      <c r="A127" s="44">
        <v>4</v>
      </c>
      <c r="B127" s="48" t="s">
        <v>375</v>
      </c>
      <c r="C127" s="198">
        <v>238</v>
      </c>
      <c r="D127" s="198">
        <v>214</v>
      </c>
      <c r="E127" s="198">
        <v>192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292</v>
      </c>
      <c r="E128" s="198">
        <v>292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393</v>
      </c>
      <c r="D129" s="198">
        <v>393</v>
      </c>
      <c r="E129" s="198">
        <v>393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0.81720000000000004</v>
      </c>
      <c r="D130" s="171">
        <v>0.86639999999999995</v>
      </c>
      <c r="E130" s="171">
        <v>0.84570000000000001</v>
      </c>
    </row>
    <row r="131" spans="1:8" ht="24" customHeight="1" x14ac:dyDescent="0.2">
      <c r="A131" s="44">
        <v>7</v>
      </c>
      <c r="B131" s="48" t="s">
        <v>379</v>
      </c>
      <c r="C131" s="171">
        <v>0.66610000000000003</v>
      </c>
      <c r="D131" s="171">
        <v>0.63500000000000001</v>
      </c>
      <c r="E131" s="171">
        <v>0.55610000000000004</v>
      </c>
    </row>
    <row r="132" spans="1:8" ht="24" customHeight="1" x14ac:dyDescent="0.2">
      <c r="A132" s="44">
        <v>8</v>
      </c>
      <c r="B132" s="48" t="s">
        <v>380</v>
      </c>
      <c r="C132" s="199">
        <v>1625</v>
      </c>
      <c r="D132" s="199">
        <v>1589.2</v>
      </c>
      <c r="E132" s="199">
        <v>1513.1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0.33418648724224775</v>
      </c>
      <c r="D135" s="203">
        <f>IF(D149=0,0,D143/D149)</f>
        <v>0.32590927595260977</v>
      </c>
      <c r="E135" s="203">
        <f>IF(E149=0,0,E143/E149)</f>
        <v>0.32409468459036389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0.4689295144888197</v>
      </c>
      <c r="D136" s="203">
        <f>IF(D149=0,0,D144/D149)</f>
        <v>0.47901530227089895</v>
      </c>
      <c r="E136" s="203">
        <f>IF(E149=0,0,E144/E149)</f>
        <v>0.4761119457445892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0.13186184210457705</v>
      </c>
      <c r="D137" s="203">
        <f>IF(D149=0,0,D145/D149)</f>
        <v>0.12727395808076702</v>
      </c>
      <c r="E137" s="203">
        <f>IF(E149=0,0,E145/E149)</f>
        <v>0.13322729713054776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3.6572067951807341E-2</v>
      </c>
      <c r="D138" s="203">
        <f>IF(D149=0,0,D146/D149)</f>
        <v>4.2635046426550638E-2</v>
      </c>
      <c r="E138" s="203">
        <f>IF(E149=0,0,E146/E149)</f>
        <v>4.5451074714782214E-2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2.761403435260552E-2</v>
      </c>
      <c r="D139" s="203">
        <f>IF(D149=0,0,D147/D149)</f>
        <v>2.36669728290906E-2</v>
      </c>
      <c r="E139" s="203">
        <f>IF(E149=0,0,E147/E149)</f>
        <v>2.0043766687581479E-2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8.3605385994264759E-4</v>
      </c>
      <c r="D140" s="203">
        <f>IF(D149=0,0,D148/D149)</f>
        <v>1.4994444400830552E-3</v>
      </c>
      <c r="E140" s="203">
        <f>IF(E149=0,0,E148/E149)</f>
        <v>1.071231132135451E-3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237128411</v>
      </c>
      <c r="D143" s="205">
        <f>+D46-D147</f>
        <v>275365397</v>
      </c>
      <c r="E143" s="205">
        <f>+E46-E147</f>
        <v>264386049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332737902</v>
      </c>
      <c r="D144" s="205">
        <f>+D51</f>
        <v>404726863</v>
      </c>
      <c r="E144" s="205">
        <f>+E51</f>
        <v>388396855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93565091</v>
      </c>
      <c r="D145" s="205">
        <f>+D55</f>
        <v>107535583</v>
      </c>
      <c r="E145" s="205">
        <f>+E55</f>
        <v>108682556</v>
      </c>
    </row>
    <row r="146" spans="1:7" ht="20.100000000000001" customHeight="1" x14ac:dyDescent="0.2">
      <c r="A146" s="202">
        <v>11</v>
      </c>
      <c r="B146" s="201" t="s">
        <v>392</v>
      </c>
      <c r="C146" s="204">
        <v>25950410</v>
      </c>
      <c r="D146" s="205">
        <v>36022959</v>
      </c>
      <c r="E146" s="205">
        <v>37077529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19594066</v>
      </c>
      <c r="D147" s="205">
        <f>+D47</f>
        <v>19996563</v>
      </c>
      <c r="E147" s="205">
        <f>+E47</f>
        <v>16351062</v>
      </c>
    </row>
    <row r="148" spans="1:7" ht="20.100000000000001" customHeight="1" x14ac:dyDescent="0.2">
      <c r="A148" s="202">
        <v>13</v>
      </c>
      <c r="B148" s="201" t="s">
        <v>394</v>
      </c>
      <c r="C148" s="206">
        <v>593238</v>
      </c>
      <c r="D148" s="205">
        <v>1266902</v>
      </c>
      <c r="E148" s="205">
        <v>873876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709569118</v>
      </c>
      <c r="D149" s="205">
        <f>SUM(D143:D148)</f>
        <v>844914267</v>
      </c>
      <c r="E149" s="205">
        <f>SUM(E143:E148)</f>
        <v>815767927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0.42030582265547933</v>
      </c>
      <c r="D152" s="203">
        <f>IF(D166=0,0,D160/D166)</f>
        <v>0.3970725369166439</v>
      </c>
      <c r="E152" s="203">
        <f>IF(E166=0,0,E160/E166)</f>
        <v>0.41718415507857676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0.46650938186086482</v>
      </c>
      <c r="D153" s="203">
        <f>IF(D166=0,0,D161/D166)</f>
        <v>0.47116482628611234</v>
      </c>
      <c r="E153" s="203">
        <f>IF(E166=0,0,E161/E166)</f>
        <v>0.46955345187309527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9.6135818800072201E-2</v>
      </c>
      <c r="D154" s="203">
        <f>IF(D166=0,0,D162/D166)</f>
        <v>9.6642639673698474E-2</v>
      </c>
      <c r="E154" s="203">
        <f>IF(E166=0,0,E162/E166)</f>
        <v>9.1947194730372245E-2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1.1062328308526768E-2</v>
      </c>
      <c r="D155" s="203">
        <f>IF(D166=0,0,D163/D166)</f>
        <v>1.313729075730425E-2</v>
      </c>
      <c r="E155" s="203">
        <f>IF(E166=0,0,E163/E166)</f>
        <v>1.7012093939521834E-2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5.2135766393426753E-3</v>
      </c>
      <c r="D156" s="203">
        <f>IF(D166=0,0,D164/D166)</f>
        <v>2.0887923942711266E-2</v>
      </c>
      <c r="E156" s="203">
        <f>IF(E166=0,0,E164/E166)</f>
        <v>3.369321070015795E-3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7.7307173571419124E-4</v>
      </c>
      <c r="D157" s="203">
        <f>IF(D166=0,0,D165/D166)</f>
        <v>1.0947824235297571E-3</v>
      </c>
      <c r="E157" s="203">
        <f>IF(E166=0,0,E165/E166)</f>
        <v>9.3378330841811731E-4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85526201</v>
      </c>
      <c r="D160" s="208">
        <f>+D44-D164</f>
        <v>88844049</v>
      </c>
      <c r="E160" s="208">
        <f>+E44-E164</f>
        <v>88418888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94927962</v>
      </c>
      <c r="D161" s="208">
        <f>+D50</f>
        <v>105422025</v>
      </c>
      <c r="E161" s="208">
        <f>+E50</f>
        <v>99518147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19562259</v>
      </c>
      <c r="D162" s="208">
        <f>+D54</f>
        <v>21623564</v>
      </c>
      <c r="E162" s="208">
        <f>+E54</f>
        <v>19487482</v>
      </c>
    </row>
    <row r="163" spans="1:6" ht="20.100000000000001" customHeight="1" x14ac:dyDescent="0.2">
      <c r="A163" s="202">
        <v>11</v>
      </c>
      <c r="B163" s="201" t="s">
        <v>408</v>
      </c>
      <c r="C163" s="207">
        <v>2251025</v>
      </c>
      <c r="D163" s="208">
        <v>2939438</v>
      </c>
      <c r="E163" s="208">
        <v>3605579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1060888</v>
      </c>
      <c r="D164" s="208">
        <f>+D45</f>
        <v>4673624</v>
      </c>
      <c r="E164" s="208">
        <f>+E45</f>
        <v>714101</v>
      </c>
    </row>
    <row r="165" spans="1:6" ht="20.100000000000001" customHeight="1" x14ac:dyDescent="0.2">
      <c r="A165" s="202">
        <v>13</v>
      </c>
      <c r="B165" s="201" t="s">
        <v>410</v>
      </c>
      <c r="C165" s="209">
        <v>157309</v>
      </c>
      <c r="D165" s="208">
        <v>244955</v>
      </c>
      <c r="E165" s="208">
        <v>197908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203485644</v>
      </c>
      <c r="D166" s="208">
        <f>SUM(D160:D165)</f>
        <v>223747655</v>
      </c>
      <c r="E166" s="208">
        <f>SUM(E160:E165)</f>
        <v>211942105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4942</v>
      </c>
      <c r="D169" s="198">
        <v>4524</v>
      </c>
      <c r="E169" s="198">
        <v>3968</v>
      </c>
    </row>
    <row r="170" spans="1:6" ht="20.100000000000001" customHeight="1" x14ac:dyDescent="0.2">
      <c r="A170" s="202">
        <v>2</v>
      </c>
      <c r="B170" s="201" t="s">
        <v>414</v>
      </c>
      <c r="C170" s="198">
        <v>6566</v>
      </c>
      <c r="D170" s="198">
        <v>6496</v>
      </c>
      <c r="E170" s="198">
        <v>6077</v>
      </c>
    </row>
    <row r="171" spans="1:6" ht="20.100000000000001" customHeight="1" x14ac:dyDescent="0.2">
      <c r="A171" s="202">
        <v>3</v>
      </c>
      <c r="B171" s="201" t="s">
        <v>415</v>
      </c>
      <c r="C171" s="198">
        <v>3216</v>
      </c>
      <c r="D171" s="198">
        <v>2881</v>
      </c>
      <c r="E171" s="198">
        <v>2991</v>
      </c>
    </row>
    <row r="172" spans="1:6" ht="20.100000000000001" customHeight="1" x14ac:dyDescent="0.2">
      <c r="A172" s="202">
        <v>4</v>
      </c>
      <c r="B172" s="201" t="s">
        <v>416</v>
      </c>
      <c r="C172" s="198">
        <v>2730</v>
      </c>
      <c r="D172" s="198">
        <v>2363</v>
      </c>
      <c r="E172" s="198">
        <v>2411</v>
      </c>
    </row>
    <row r="173" spans="1:6" ht="20.100000000000001" customHeight="1" x14ac:dyDescent="0.2">
      <c r="A173" s="202">
        <v>5</v>
      </c>
      <c r="B173" s="201" t="s">
        <v>417</v>
      </c>
      <c r="C173" s="198">
        <v>486</v>
      </c>
      <c r="D173" s="198">
        <v>518</v>
      </c>
      <c r="E173" s="198">
        <v>580</v>
      </c>
    </row>
    <row r="174" spans="1:6" ht="20.100000000000001" customHeight="1" x14ac:dyDescent="0.2">
      <c r="A174" s="202">
        <v>6</v>
      </c>
      <c r="B174" s="201" t="s">
        <v>418</v>
      </c>
      <c r="C174" s="198">
        <v>12</v>
      </c>
      <c r="D174" s="198">
        <v>15</v>
      </c>
      <c r="E174" s="198">
        <v>10</v>
      </c>
    </row>
    <row r="175" spans="1:6" ht="20.100000000000001" customHeight="1" x14ac:dyDescent="0.2">
      <c r="A175" s="202">
        <v>7</v>
      </c>
      <c r="B175" s="201" t="s">
        <v>419</v>
      </c>
      <c r="C175" s="198">
        <v>335</v>
      </c>
      <c r="D175" s="198">
        <v>265</v>
      </c>
      <c r="E175" s="198">
        <v>216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14736</v>
      </c>
      <c r="D176" s="198">
        <f>+D169+D170+D171+D174</f>
        <v>13916</v>
      </c>
      <c r="E176" s="198">
        <f>+E169+E170+E171+E174</f>
        <v>13046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1.1924999999999999</v>
      </c>
      <c r="D179" s="210">
        <v>1.29365</v>
      </c>
      <c r="E179" s="210">
        <v>1.3151600000000001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1.5815999999999999</v>
      </c>
      <c r="D180" s="210">
        <v>1.5927</v>
      </c>
      <c r="E180" s="210">
        <v>1.66675</v>
      </c>
    </row>
    <row r="181" spans="1:6" ht="20.100000000000001" customHeight="1" x14ac:dyDescent="0.2">
      <c r="A181" s="202">
        <v>3</v>
      </c>
      <c r="B181" s="201" t="s">
        <v>415</v>
      </c>
      <c r="C181" s="210">
        <v>1.005844</v>
      </c>
      <c r="D181" s="210">
        <v>1.7559990000000001</v>
      </c>
      <c r="E181" s="210">
        <v>1.032599</v>
      </c>
    </row>
    <row r="182" spans="1:6" ht="20.100000000000001" customHeight="1" x14ac:dyDescent="0.2">
      <c r="A182" s="202">
        <v>4</v>
      </c>
      <c r="B182" s="201" t="s">
        <v>416</v>
      </c>
      <c r="C182" s="210">
        <v>0.98019999999999996</v>
      </c>
      <c r="D182" s="210">
        <v>1.8863000000000001</v>
      </c>
      <c r="E182" s="210">
        <v>0.99880000000000002</v>
      </c>
    </row>
    <row r="183" spans="1:6" ht="20.100000000000001" customHeight="1" x14ac:dyDescent="0.2">
      <c r="A183" s="202">
        <v>5</v>
      </c>
      <c r="B183" s="201" t="s">
        <v>417</v>
      </c>
      <c r="C183" s="210">
        <v>1.1498999999999999</v>
      </c>
      <c r="D183" s="210">
        <v>1.1616</v>
      </c>
      <c r="E183" s="210">
        <v>1.1731</v>
      </c>
    </row>
    <row r="184" spans="1:6" ht="20.100000000000001" customHeight="1" x14ac:dyDescent="0.2">
      <c r="A184" s="202">
        <v>6</v>
      </c>
      <c r="B184" s="201" t="s">
        <v>418</v>
      </c>
      <c r="C184" s="210">
        <v>1.3293999999999999</v>
      </c>
      <c r="D184" s="210">
        <v>1.6600999999999999</v>
      </c>
      <c r="E184" s="210">
        <v>1.7150000000000001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1.119</v>
      </c>
      <c r="D185" s="210">
        <v>1.1466000000000001</v>
      </c>
      <c r="E185" s="210">
        <v>1.1609</v>
      </c>
    </row>
    <row r="186" spans="1:6" ht="20.100000000000001" customHeight="1" x14ac:dyDescent="0.2">
      <c r="A186" s="202">
        <v>8</v>
      </c>
      <c r="B186" s="201" t="s">
        <v>423</v>
      </c>
      <c r="C186" s="210">
        <v>1.3252489999999999</v>
      </c>
      <c r="D186" s="210">
        <v>1.529361</v>
      </c>
      <c r="E186" s="210">
        <v>1.4144600000000001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9294</v>
      </c>
      <c r="D189" s="198">
        <v>8895</v>
      </c>
      <c r="E189" s="198">
        <v>8340</v>
      </c>
    </row>
    <row r="190" spans="1:6" ht="20.100000000000001" customHeight="1" x14ac:dyDescent="0.2">
      <c r="A190" s="202">
        <v>2</v>
      </c>
      <c r="B190" s="201" t="s">
        <v>427</v>
      </c>
      <c r="C190" s="198">
        <v>45166</v>
      </c>
      <c r="D190" s="198">
        <v>49237</v>
      </c>
      <c r="E190" s="198">
        <v>49393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54460</v>
      </c>
      <c r="D191" s="198">
        <f>+D190+D189</f>
        <v>58132</v>
      </c>
      <c r="E191" s="198">
        <f>+E190+E189</f>
        <v>57733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FILING&amp;RWATERBURY HOSPITAL</oddHeader>
    <oddFooter>&amp;L&amp;8REPORT 185&amp;C&amp;8PAGE &amp;P of &amp;N&amp;R&amp;D, &amp;T</oddFooter>
  </headerFooter>
  <rowBreaks count="4" manualBreakCount="4">
    <brk id="42" max="4" man="1"/>
    <brk id="78" max="4" man="1"/>
    <brk id="110" max="4" man="1"/>
    <brk id="14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71093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429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873350</v>
      </c>
      <c r="D14" s="237">
        <v>1985732</v>
      </c>
      <c r="E14" s="237">
        <f t="shared" ref="E14:E24" si="0">D14-C14</f>
        <v>1112382</v>
      </c>
      <c r="F14" s="238">
        <f t="shared" ref="F14:F24" si="1">IF(C14=0,0,E14/C14)</f>
        <v>1.2736955401614474</v>
      </c>
    </row>
    <row r="15" spans="1:7" ht="20.25" customHeight="1" x14ac:dyDescent="0.3">
      <c r="A15" s="235">
        <v>2</v>
      </c>
      <c r="B15" s="236" t="s">
        <v>435</v>
      </c>
      <c r="C15" s="237">
        <v>264902</v>
      </c>
      <c r="D15" s="237">
        <v>599367</v>
      </c>
      <c r="E15" s="237">
        <f t="shared" si="0"/>
        <v>334465</v>
      </c>
      <c r="F15" s="238">
        <f t="shared" si="1"/>
        <v>1.2625989988750557</v>
      </c>
    </row>
    <row r="16" spans="1:7" ht="20.25" customHeight="1" x14ac:dyDescent="0.3">
      <c r="A16" s="235">
        <v>3</v>
      </c>
      <c r="B16" s="236" t="s">
        <v>436</v>
      </c>
      <c r="C16" s="237">
        <v>322857</v>
      </c>
      <c r="D16" s="237">
        <v>563100</v>
      </c>
      <c r="E16" s="237">
        <f t="shared" si="0"/>
        <v>240243</v>
      </c>
      <c r="F16" s="238">
        <f t="shared" si="1"/>
        <v>0.74411581598044951</v>
      </c>
    </row>
    <row r="17" spans="1:6" ht="20.25" customHeight="1" x14ac:dyDescent="0.3">
      <c r="A17" s="235">
        <v>4</v>
      </c>
      <c r="B17" s="236" t="s">
        <v>437</v>
      </c>
      <c r="C17" s="237">
        <v>71397</v>
      </c>
      <c r="D17" s="237">
        <v>105533</v>
      </c>
      <c r="E17" s="237">
        <f t="shared" si="0"/>
        <v>34136</v>
      </c>
      <c r="F17" s="238">
        <f t="shared" si="1"/>
        <v>0.47811532697452275</v>
      </c>
    </row>
    <row r="18" spans="1:6" ht="20.25" customHeight="1" x14ac:dyDescent="0.3">
      <c r="A18" s="235">
        <v>5</v>
      </c>
      <c r="B18" s="236" t="s">
        <v>373</v>
      </c>
      <c r="C18" s="239">
        <v>23</v>
      </c>
      <c r="D18" s="239">
        <v>43</v>
      </c>
      <c r="E18" s="239">
        <f t="shared" si="0"/>
        <v>20</v>
      </c>
      <c r="F18" s="238">
        <f t="shared" si="1"/>
        <v>0.86956521739130432</v>
      </c>
    </row>
    <row r="19" spans="1:6" ht="20.25" customHeight="1" x14ac:dyDescent="0.3">
      <c r="A19" s="235">
        <v>6</v>
      </c>
      <c r="B19" s="236" t="s">
        <v>372</v>
      </c>
      <c r="C19" s="239">
        <v>83</v>
      </c>
      <c r="D19" s="239">
        <v>241</v>
      </c>
      <c r="E19" s="239">
        <f t="shared" si="0"/>
        <v>158</v>
      </c>
      <c r="F19" s="238">
        <f t="shared" si="1"/>
        <v>1.9036144578313252</v>
      </c>
    </row>
    <row r="20" spans="1:6" ht="20.25" customHeight="1" x14ac:dyDescent="0.3">
      <c r="A20" s="235">
        <v>7</v>
      </c>
      <c r="B20" s="236" t="s">
        <v>438</v>
      </c>
      <c r="C20" s="239">
        <v>162</v>
      </c>
      <c r="D20" s="239">
        <v>293</v>
      </c>
      <c r="E20" s="239">
        <f t="shared" si="0"/>
        <v>131</v>
      </c>
      <c r="F20" s="238">
        <f t="shared" si="1"/>
        <v>0.80864197530864201</v>
      </c>
    </row>
    <row r="21" spans="1:6" ht="20.25" customHeight="1" x14ac:dyDescent="0.3">
      <c r="A21" s="235">
        <v>8</v>
      </c>
      <c r="B21" s="236" t="s">
        <v>439</v>
      </c>
      <c r="C21" s="239">
        <v>19</v>
      </c>
      <c r="D21" s="239">
        <v>46</v>
      </c>
      <c r="E21" s="239">
        <f t="shared" si="0"/>
        <v>27</v>
      </c>
      <c r="F21" s="238">
        <f t="shared" si="1"/>
        <v>1.4210526315789473</v>
      </c>
    </row>
    <row r="22" spans="1:6" ht="20.25" customHeight="1" x14ac:dyDescent="0.3">
      <c r="A22" s="235">
        <v>9</v>
      </c>
      <c r="B22" s="236" t="s">
        <v>440</v>
      </c>
      <c r="C22" s="239">
        <v>12</v>
      </c>
      <c r="D22" s="239">
        <v>33</v>
      </c>
      <c r="E22" s="239">
        <f t="shared" si="0"/>
        <v>21</v>
      </c>
      <c r="F22" s="238">
        <f t="shared" si="1"/>
        <v>1.75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1196207</v>
      </c>
      <c r="D23" s="243">
        <f>+D14+D16</f>
        <v>2548832</v>
      </c>
      <c r="E23" s="243">
        <f t="shared" si="0"/>
        <v>1352625</v>
      </c>
      <c r="F23" s="244">
        <f t="shared" si="1"/>
        <v>1.13076164911257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336299</v>
      </c>
      <c r="D24" s="243">
        <f>+D15+D17</f>
        <v>704900</v>
      </c>
      <c r="E24" s="243">
        <f t="shared" si="0"/>
        <v>368601</v>
      </c>
      <c r="F24" s="244">
        <f t="shared" si="1"/>
        <v>1.0960514304235218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4543191</v>
      </c>
      <c r="D40" s="237">
        <v>5277689</v>
      </c>
      <c r="E40" s="237">
        <f t="shared" ref="E40:E50" si="4">D40-C40</f>
        <v>734498</v>
      </c>
      <c r="F40" s="238">
        <f t="shared" ref="F40:F50" si="5">IF(C40=0,0,E40/C40)</f>
        <v>0.16167006846069207</v>
      </c>
    </row>
    <row r="41" spans="1:6" ht="20.25" customHeight="1" x14ac:dyDescent="0.3">
      <c r="A41" s="235">
        <v>2</v>
      </c>
      <c r="B41" s="236" t="s">
        <v>435</v>
      </c>
      <c r="C41" s="237">
        <v>986461</v>
      </c>
      <c r="D41" s="237">
        <v>1362449</v>
      </c>
      <c r="E41" s="237">
        <f t="shared" si="4"/>
        <v>375988</v>
      </c>
      <c r="F41" s="238">
        <f t="shared" si="5"/>
        <v>0.38114836775098054</v>
      </c>
    </row>
    <row r="42" spans="1:6" ht="20.25" customHeight="1" x14ac:dyDescent="0.3">
      <c r="A42" s="235">
        <v>3</v>
      </c>
      <c r="B42" s="236" t="s">
        <v>436</v>
      </c>
      <c r="C42" s="237">
        <v>1909114</v>
      </c>
      <c r="D42" s="237">
        <v>3044725</v>
      </c>
      <c r="E42" s="237">
        <f t="shared" si="4"/>
        <v>1135611</v>
      </c>
      <c r="F42" s="238">
        <f t="shared" si="5"/>
        <v>0.594836662451797</v>
      </c>
    </row>
    <row r="43" spans="1:6" ht="20.25" customHeight="1" x14ac:dyDescent="0.3">
      <c r="A43" s="235">
        <v>4</v>
      </c>
      <c r="B43" s="236" t="s">
        <v>437</v>
      </c>
      <c r="C43" s="237">
        <v>345612</v>
      </c>
      <c r="D43" s="237">
        <v>517539</v>
      </c>
      <c r="E43" s="237">
        <f t="shared" si="4"/>
        <v>171927</v>
      </c>
      <c r="F43" s="238">
        <f t="shared" si="5"/>
        <v>0.49745668553175237</v>
      </c>
    </row>
    <row r="44" spans="1:6" ht="20.25" customHeight="1" x14ac:dyDescent="0.3">
      <c r="A44" s="235">
        <v>5</v>
      </c>
      <c r="B44" s="236" t="s">
        <v>373</v>
      </c>
      <c r="C44" s="239">
        <v>85</v>
      </c>
      <c r="D44" s="239">
        <v>84</v>
      </c>
      <c r="E44" s="239">
        <f t="shared" si="4"/>
        <v>-1</v>
      </c>
      <c r="F44" s="238">
        <f t="shared" si="5"/>
        <v>-1.1764705882352941E-2</v>
      </c>
    </row>
    <row r="45" spans="1:6" ht="20.25" customHeight="1" x14ac:dyDescent="0.3">
      <c r="A45" s="235">
        <v>6</v>
      </c>
      <c r="B45" s="236" t="s">
        <v>372</v>
      </c>
      <c r="C45" s="239">
        <v>457</v>
      </c>
      <c r="D45" s="239">
        <v>513</v>
      </c>
      <c r="E45" s="239">
        <f t="shared" si="4"/>
        <v>56</v>
      </c>
      <c r="F45" s="238">
        <f t="shared" si="5"/>
        <v>0.12253829321663019</v>
      </c>
    </row>
    <row r="46" spans="1:6" ht="20.25" customHeight="1" x14ac:dyDescent="0.3">
      <c r="A46" s="235">
        <v>7</v>
      </c>
      <c r="B46" s="236" t="s">
        <v>438</v>
      </c>
      <c r="C46" s="239">
        <v>1086</v>
      </c>
      <c r="D46" s="239">
        <v>1403</v>
      </c>
      <c r="E46" s="239">
        <f t="shared" si="4"/>
        <v>317</v>
      </c>
      <c r="F46" s="238">
        <f t="shared" si="5"/>
        <v>0.29189686924493552</v>
      </c>
    </row>
    <row r="47" spans="1:6" ht="20.25" customHeight="1" x14ac:dyDescent="0.3">
      <c r="A47" s="235">
        <v>8</v>
      </c>
      <c r="B47" s="236" t="s">
        <v>439</v>
      </c>
      <c r="C47" s="239">
        <v>89</v>
      </c>
      <c r="D47" s="239">
        <v>122</v>
      </c>
      <c r="E47" s="239">
        <f t="shared" si="4"/>
        <v>33</v>
      </c>
      <c r="F47" s="238">
        <f t="shared" si="5"/>
        <v>0.3707865168539326</v>
      </c>
    </row>
    <row r="48" spans="1:6" ht="20.25" customHeight="1" x14ac:dyDescent="0.3">
      <c r="A48" s="235">
        <v>9</v>
      </c>
      <c r="B48" s="236" t="s">
        <v>440</v>
      </c>
      <c r="C48" s="239">
        <v>59</v>
      </c>
      <c r="D48" s="239">
        <v>50</v>
      </c>
      <c r="E48" s="239">
        <f t="shared" si="4"/>
        <v>-9</v>
      </c>
      <c r="F48" s="238">
        <f t="shared" si="5"/>
        <v>-0.15254237288135594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6452305</v>
      </c>
      <c r="D49" s="243">
        <f>+D40+D42</f>
        <v>8322414</v>
      </c>
      <c r="E49" s="243">
        <f t="shared" si="4"/>
        <v>1870109</v>
      </c>
      <c r="F49" s="244">
        <f t="shared" si="5"/>
        <v>0.28983580286424776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1332073</v>
      </c>
      <c r="D50" s="243">
        <f>+D41+D43</f>
        <v>1879988</v>
      </c>
      <c r="E50" s="243">
        <f t="shared" si="4"/>
        <v>547915</v>
      </c>
      <c r="F50" s="244">
        <f t="shared" si="5"/>
        <v>0.41132505500824657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23042540</v>
      </c>
      <c r="D53" s="237">
        <v>22852409</v>
      </c>
      <c r="E53" s="237">
        <f t="shared" ref="E53:E63" si="6">D53-C53</f>
        <v>-190131</v>
      </c>
      <c r="F53" s="238">
        <f t="shared" ref="F53:F63" si="7">IF(C53=0,0,E53/C53)</f>
        <v>-8.2513038927132173E-3</v>
      </c>
    </row>
    <row r="54" spans="1:6" ht="20.25" customHeight="1" x14ac:dyDescent="0.3">
      <c r="A54" s="235">
        <v>2</v>
      </c>
      <c r="B54" s="236" t="s">
        <v>435</v>
      </c>
      <c r="C54" s="237">
        <v>5684461</v>
      </c>
      <c r="D54" s="237">
        <v>6077233</v>
      </c>
      <c r="E54" s="237">
        <f t="shared" si="6"/>
        <v>392772</v>
      </c>
      <c r="F54" s="238">
        <f t="shared" si="7"/>
        <v>6.9095733087094796E-2</v>
      </c>
    </row>
    <row r="55" spans="1:6" ht="20.25" customHeight="1" x14ac:dyDescent="0.3">
      <c r="A55" s="235">
        <v>3</v>
      </c>
      <c r="B55" s="236" t="s">
        <v>436</v>
      </c>
      <c r="C55" s="237">
        <v>7870733</v>
      </c>
      <c r="D55" s="237">
        <v>7204954</v>
      </c>
      <c r="E55" s="237">
        <f t="shared" si="6"/>
        <v>-665779</v>
      </c>
      <c r="F55" s="238">
        <f t="shared" si="7"/>
        <v>-8.4589198998365214E-2</v>
      </c>
    </row>
    <row r="56" spans="1:6" ht="20.25" customHeight="1" x14ac:dyDescent="0.3">
      <c r="A56" s="235">
        <v>4</v>
      </c>
      <c r="B56" s="236" t="s">
        <v>437</v>
      </c>
      <c r="C56" s="237">
        <v>1439150</v>
      </c>
      <c r="D56" s="237">
        <v>1221290</v>
      </c>
      <c r="E56" s="237">
        <f t="shared" si="6"/>
        <v>-217860</v>
      </c>
      <c r="F56" s="238">
        <f t="shared" si="7"/>
        <v>-0.15138102352082827</v>
      </c>
    </row>
    <row r="57" spans="1:6" ht="20.25" customHeight="1" x14ac:dyDescent="0.3">
      <c r="A57" s="235">
        <v>5</v>
      </c>
      <c r="B57" s="236" t="s">
        <v>373</v>
      </c>
      <c r="C57" s="239">
        <v>483</v>
      </c>
      <c r="D57" s="239">
        <v>451</v>
      </c>
      <c r="E57" s="239">
        <f t="shared" si="6"/>
        <v>-32</v>
      </c>
      <c r="F57" s="238">
        <f t="shared" si="7"/>
        <v>-6.6252587991718431E-2</v>
      </c>
    </row>
    <row r="58" spans="1:6" ht="20.25" customHeight="1" x14ac:dyDescent="0.3">
      <c r="A58" s="235">
        <v>6</v>
      </c>
      <c r="B58" s="236" t="s">
        <v>372</v>
      </c>
      <c r="C58" s="239">
        <v>2693</v>
      </c>
      <c r="D58" s="239">
        <v>2257</v>
      </c>
      <c r="E58" s="239">
        <f t="shared" si="6"/>
        <v>-436</v>
      </c>
      <c r="F58" s="238">
        <f t="shared" si="7"/>
        <v>-0.16190122539918306</v>
      </c>
    </row>
    <row r="59" spans="1:6" ht="20.25" customHeight="1" x14ac:dyDescent="0.3">
      <c r="A59" s="235">
        <v>7</v>
      </c>
      <c r="B59" s="236" t="s">
        <v>438</v>
      </c>
      <c r="C59" s="239">
        <v>3990</v>
      </c>
      <c r="D59" s="239">
        <v>3924</v>
      </c>
      <c r="E59" s="239">
        <f t="shared" si="6"/>
        <v>-66</v>
      </c>
      <c r="F59" s="238">
        <f t="shared" si="7"/>
        <v>-1.6541353383458645E-2</v>
      </c>
    </row>
    <row r="60" spans="1:6" ht="20.25" customHeight="1" x14ac:dyDescent="0.3">
      <c r="A60" s="235">
        <v>8</v>
      </c>
      <c r="B60" s="236" t="s">
        <v>439</v>
      </c>
      <c r="C60" s="239">
        <v>489</v>
      </c>
      <c r="D60" s="239">
        <v>474</v>
      </c>
      <c r="E60" s="239">
        <f t="shared" si="6"/>
        <v>-15</v>
      </c>
      <c r="F60" s="238">
        <f t="shared" si="7"/>
        <v>-3.0674846625766871E-2</v>
      </c>
    </row>
    <row r="61" spans="1:6" ht="20.25" customHeight="1" x14ac:dyDescent="0.3">
      <c r="A61" s="235">
        <v>9</v>
      </c>
      <c r="B61" s="236" t="s">
        <v>440</v>
      </c>
      <c r="C61" s="239">
        <v>370</v>
      </c>
      <c r="D61" s="239">
        <v>337</v>
      </c>
      <c r="E61" s="239">
        <f t="shared" si="6"/>
        <v>-33</v>
      </c>
      <c r="F61" s="238">
        <f t="shared" si="7"/>
        <v>-8.9189189189189194E-2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30913273</v>
      </c>
      <c r="D62" s="243">
        <f>+D53+D55</f>
        <v>30057363</v>
      </c>
      <c r="E62" s="243">
        <f t="shared" si="6"/>
        <v>-855910</v>
      </c>
      <c r="F62" s="244">
        <f t="shared" si="7"/>
        <v>-2.7687459687623501E-2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7123611</v>
      </c>
      <c r="D63" s="243">
        <f>+D54+D56</f>
        <v>7298523</v>
      </c>
      <c r="E63" s="243">
        <f t="shared" si="6"/>
        <v>174912</v>
      </c>
      <c r="F63" s="244">
        <f t="shared" si="7"/>
        <v>2.4553839337942512E-2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924840</v>
      </c>
      <c r="D66" s="237">
        <v>1836208</v>
      </c>
      <c r="E66" s="237">
        <f t="shared" ref="E66:E76" si="8">D66-C66</f>
        <v>911368</v>
      </c>
      <c r="F66" s="238">
        <f t="shared" ref="F66:F76" si="9">IF(C66=0,0,E66/C66)</f>
        <v>0.98543315600536308</v>
      </c>
    </row>
    <row r="67" spans="1:6" ht="20.25" customHeight="1" x14ac:dyDescent="0.3">
      <c r="A67" s="235">
        <v>2</v>
      </c>
      <c r="B67" s="236" t="s">
        <v>435</v>
      </c>
      <c r="C67" s="237">
        <v>217218</v>
      </c>
      <c r="D67" s="237">
        <v>458731</v>
      </c>
      <c r="E67" s="237">
        <f t="shared" si="8"/>
        <v>241513</v>
      </c>
      <c r="F67" s="238">
        <f t="shared" si="9"/>
        <v>1.1118461637617509</v>
      </c>
    </row>
    <row r="68" spans="1:6" ht="20.25" customHeight="1" x14ac:dyDescent="0.3">
      <c r="A68" s="235">
        <v>3</v>
      </c>
      <c r="B68" s="236" t="s">
        <v>436</v>
      </c>
      <c r="C68" s="237">
        <v>482976</v>
      </c>
      <c r="D68" s="237">
        <v>397667</v>
      </c>
      <c r="E68" s="237">
        <f t="shared" si="8"/>
        <v>-85309</v>
      </c>
      <c r="F68" s="238">
        <f t="shared" si="9"/>
        <v>-0.17663196514940702</v>
      </c>
    </row>
    <row r="69" spans="1:6" ht="20.25" customHeight="1" x14ac:dyDescent="0.3">
      <c r="A69" s="235">
        <v>4</v>
      </c>
      <c r="B69" s="236" t="s">
        <v>437</v>
      </c>
      <c r="C69" s="237">
        <v>66628</v>
      </c>
      <c r="D69" s="237">
        <v>65956</v>
      </c>
      <c r="E69" s="237">
        <f t="shared" si="8"/>
        <v>-672</v>
      </c>
      <c r="F69" s="238">
        <f t="shared" si="9"/>
        <v>-1.008584979287987E-2</v>
      </c>
    </row>
    <row r="70" spans="1:6" ht="20.25" customHeight="1" x14ac:dyDescent="0.3">
      <c r="A70" s="235">
        <v>5</v>
      </c>
      <c r="B70" s="236" t="s">
        <v>373</v>
      </c>
      <c r="C70" s="239">
        <v>23</v>
      </c>
      <c r="D70" s="239">
        <v>36</v>
      </c>
      <c r="E70" s="239">
        <f t="shared" si="8"/>
        <v>13</v>
      </c>
      <c r="F70" s="238">
        <f t="shared" si="9"/>
        <v>0.56521739130434778</v>
      </c>
    </row>
    <row r="71" spans="1:6" ht="20.25" customHeight="1" x14ac:dyDescent="0.3">
      <c r="A71" s="235">
        <v>6</v>
      </c>
      <c r="B71" s="236" t="s">
        <v>372</v>
      </c>
      <c r="C71" s="239">
        <v>92</v>
      </c>
      <c r="D71" s="239">
        <v>208</v>
      </c>
      <c r="E71" s="239">
        <f t="shared" si="8"/>
        <v>116</v>
      </c>
      <c r="F71" s="238">
        <f t="shared" si="9"/>
        <v>1.2608695652173914</v>
      </c>
    </row>
    <row r="72" spans="1:6" ht="20.25" customHeight="1" x14ac:dyDescent="0.3">
      <c r="A72" s="235">
        <v>7</v>
      </c>
      <c r="B72" s="236" t="s">
        <v>438</v>
      </c>
      <c r="C72" s="239">
        <v>167</v>
      </c>
      <c r="D72" s="239">
        <v>186</v>
      </c>
      <c r="E72" s="239">
        <f t="shared" si="8"/>
        <v>19</v>
      </c>
      <c r="F72" s="238">
        <f t="shared" si="9"/>
        <v>0.11377245508982035</v>
      </c>
    </row>
    <row r="73" spans="1:6" ht="20.25" customHeight="1" x14ac:dyDescent="0.3">
      <c r="A73" s="235">
        <v>8</v>
      </c>
      <c r="B73" s="236" t="s">
        <v>439</v>
      </c>
      <c r="C73" s="239">
        <v>33</v>
      </c>
      <c r="D73" s="239">
        <v>50</v>
      </c>
      <c r="E73" s="239">
        <f t="shared" si="8"/>
        <v>17</v>
      </c>
      <c r="F73" s="238">
        <f t="shared" si="9"/>
        <v>0.51515151515151514</v>
      </c>
    </row>
    <row r="74" spans="1:6" ht="20.25" customHeight="1" x14ac:dyDescent="0.3">
      <c r="A74" s="235">
        <v>9</v>
      </c>
      <c r="B74" s="236" t="s">
        <v>440</v>
      </c>
      <c r="C74" s="239">
        <v>14</v>
      </c>
      <c r="D74" s="239">
        <v>32</v>
      </c>
      <c r="E74" s="239">
        <f t="shared" si="8"/>
        <v>18</v>
      </c>
      <c r="F74" s="238">
        <f t="shared" si="9"/>
        <v>1.2857142857142858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1407816</v>
      </c>
      <c r="D75" s="243">
        <f>+D66+D68</f>
        <v>2233875</v>
      </c>
      <c r="E75" s="243">
        <f t="shared" si="8"/>
        <v>826059</v>
      </c>
      <c r="F75" s="244">
        <f t="shared" si="9"/>
        <v>0.58676631037010518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283846</v>
      </c>
      <c r="D76" s="243">
        <f>+D67+D69</f>
        <v>524687</v>
      </c>
      <c r="E76" s="243">
        <f t="shared" si="8"/>
        <v>240841</v>
      </c>
      <c r="F76" s="244">
        <f t="shared" si="9"/>
        <v>0.848491787800427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1265714</v>
      </c>
      <c r="D79" s="237">
        <v>4156536</v>
      </c>
      <c r="E79" s="237">
        <f t="shared" ref="E79:E89" si="10">D79-C79</f>
        <v>2890822</v>
      </c>
      <c r="F79" s="238">
        <f t="shared" ref="F79:F89" si="11">IF(C79=0,0,E79/C79)</f>
        <v>2.283945662290217</v>
      </c>
    </row>
    <row r="80" spans="1:6" ht="20.25" customHeight="1" x14ac:dyDescent="0.3">
      <c r="A80" s="235">
        <v>2</v>
      </c>
      <c r="B80" s="236" t="s">
        <v>435</v>
      </c>
      <c r="C80" s="237">
        <v>297221</v>
      </c>
      <c r="D80" s="237">
        <v>1075104</v>
      </c>
      <c r="E80" s="237">
        <f t="shared" si="10"/>
        <v>777883</v>
      </c>
      <c r="F80" s="238">
        <f t="shared" si="11"/>
        <v>2.617187210863297</v>
      </c>
    </row>
    <row r="81" spans="1:6" ht="20.25" customHeight="1" x14ac:dyDescent="0.3">
      <c r="A81" s="235">
        <v>3</v>
      </c>
      <c r="B81" s="236" t="s">
        <v>436</v>
      </c>
      <c r="C81" s="237">
        <v>662503</v>
      </c>
      <c r="D81" s="237">
        <v>1163006</v>
      </c>
      <c r="E81" s="237">
        <f t="shared" si="10"/>
        <v>500503</v>
      </c>
      <c r="F81" s="238">
        <f t="shared" si="11"/>
        <v>0.75547280540616424</v>
      </c>
    </row>
    <row r="82" spans="1:6" ht="20.25" customHeight="1" x14ac:dyDescent="0.3">
      <c r="A82" s="235">
        <v>4</v>
      </c>
      <c r="B82" s="236" t="s">
        <v>437</v>
      </c>
      <c r="C82" s="237">
        <v>89328</v>
      </c>
      <c r="D82" s="237">
        <v>155592</v>
      </c>
      <c r="E82" s="237">
        <f t="shared" si="10"/>
        <v>66264</v>
      </c>
      <c r="F82" s="238">
        <f t="shared" si="11"/>
        <v>0.74180548092423426</v>
      </c>
    </row>
    <row r="83" spans="1:6" ht="20.25" customHeight="1" x14ac:dyDescent="0.3">
      <c r="A83" s="235">
        <v>5</v>
      </c>
      <c r="B83" s="236" t="s">
        <v>373</v>
      </c>
      <c r="C83" s="239">
        <v>32</v>
      </c>
      <c r="D83" s="239">
        <v>85</v>
      </c>
      <c r="E83" s="239">
        <f t="shared" si="10"/>
        <v>53</v>
      </c>
      <c r="F83" s="238">
        <f t="shared" si="11"/>
        <v>1.65625</v>
      </c>
    </row>
    <row r="84" spans="1:6" ht="20.25" customHeight="1" x14ac:dyDescent="0.3">
      <c r="A84" s="235">
        <v>6</v>
      </c>
      <c r="B84" s="236" t="s">
        <v>372</v>
      </c>
      <c r="C84" s="239">
        <v>164</v>
      </c>
      <c r="D84" s="239">
        <v>443</v>
      </c>
      <c r="E84" s="239">
        <f t="shared" si="10"/>
        <v>279</v>
      </c>
      <c r="F84" s="238">
        <f t="shared" si="11"/>
        <v>1.7012195121951219</v>
      </c>
    </row>
    <row r="85" spans="1:6" ht="20.25" customHeight="1" x14ac:dyDescent="0.3">
      <c r="A85" s="235">
        <v>7</v>
      </c>
      <c r="B85" s="236" t="s">
        <v>438</v>
      </c>
      <c r="C85" s="239">
        <v>539</v>
      </c>
      <c r="D85" s="239">
        <v>795</v>
      </c>
      <c r="E85" s="239">
        <f t="shared" si="10"/>
        <v>256</v>
      </c>
      <c r="F85" s="238">
        <f t="shared" si="11"/>
        <v>0.47495361781076068</v>
      </c>
    </row>
    <row r="86" spans="1:6" ht="20.25" customHeight="1" x14ac:dyDescent="0.3">
      <c r="A86" s="235">
        <v>8</v>
      </c>
      <c r="B86" s="236" t="s">
        <v>439</v>
      </c>
      <c r="C86" s="239">
        <v>70</v>
      </c>
      <c r="D86" s="239">
        <v>97</v>
      </c>
      <c r="E86" s="239">
        <f t="shared" si="10"/>
        <v>27</v>
      </c>
      <c r="F86" s="238">
        <f t="shared" si="11"/>
        <v>0.38571428571428573</v>
      </c>
    </row>
    <row r="87" spans="1:6" ht="20.25" customHeight="1" x14ac:dyDescent="0.3">
      <c r="A87" s="235">
        <v>9</v>
      </c>
      <c r="B87" s="236" t="s">
        <v>440</v>
      </c>
      <c r="C87" s="239">
        <v>24</v>
      </c>
      <c r="D87" s="239">
        <v>69</v>
      </c>
      <c r="E87" s="239">
        <f t="shared" si="10"/>
        <v>45</v>
      </c>
      <c r="F87" s="238">
        <f t="shared" si="11"/>
        <v>1.875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1928217</v>
      </c>
      <c r="D88" s="243">
        <f>+D79+D81</f>
        <v>5319542</v>
      </c>
      <c r="E88" s="243">
        <f t="shared" si="10"/>
        <v>3391325</v>
      </c>
      <c r="F88" s="244">
        <f t="shared" si="11"/>
        <v>1.7587880409725669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386549</v>
      </c>
      <c r="D89" s="243">
        <f>+D80+D82</f>
        <v>1230696</v>
      </c>
      <c r="E89" s="243">
        <f t="shared" si="10"/>
        <v>844147</v>
      </c>
      <c r="F89" s="244">
        <f t="shared" si="11"/>
        <v>2.1838033470530256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332570</v>
      </c>
      <c r="E92" s="237">
        <f t="shared" ref="E92:E102" si="12">D92-C92</f>
        <v>332570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92997</v>
      </c>
      <c r="E93" s="237">
        <f t="shared" si="12"/>
        <v>92997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241003</v>
      </c>
      <c r="E94" s="237">
        <f t="shared" si="12"/>
        <v>241003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47519</v>
      </c>
      <c r="E95" s="237">
        <f t="shared" si="12"/>
        <v>47519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5</v>
      </c>
      <c r="E96" s="239">
        <f t="shared" si="12"/>
        <v>5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29</v>
      </c>
      <c r="E97" s="239">
        <f t="shared" si="12"/>
        <v>29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37</v>
      </c>
      <c r="E98" s="239">
        <f t="shared" si="12"/>
        <v>37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4</v>
      </c>
      <c r="E99" s="239">
        <f t="shared" si="12"/>
        <v>4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5</v>
      </c>
      <c r="E100" s="239">
        <f t="shared" si="12"/>
        <v>5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573573</v>
      </c>
      <c r="E101" s="243">
        <f t="shared" si="12"/>
        <v>573573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140516</v>
      </c>
      <c r="E102" s="243">
        <f t="shared" si="12"/>
        <v>140516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3637996</v>
      </c>
      <c r="D105" s="237">
        <v>2555226</v>
      </c>
      <c r="E105" s="237">
        <f t="shared" ref="E105:E115" si="14">D105-C105</f>
        <v>-1082770</v>
      </c>
      <c r="F105" s="238">
        <f t="shared" ref="F105:F115" si="15">IF(C105=0,0,E105/C105)</f>
        <v>-0.2976281447258326</v>
      </c>
    </row>
    <row r="106" spans="1:6" ht="20.25" customHeight="1" x14ac:dyDescent="0.3">
      <c r="A106" s="235">
        <v>2</v>
      </c>
      <c r="B106" s="236" t="s">
        <v>435</v>
      </c>
      <c r="C106" s="237">
        <v>848357</v>
      </c>
      <c r="D106" s="237">
        <v>709085</v>
      </c>
      <c r="E106" s="237">
        <f t="shared" si="14"/>
        <v>-139272</v>
      </c>
      <c r="F106" s="238">
        <f t="shared" si="15"/>
        <v>-0.16416673640931825</v>
      </c>
    </row>
    <row r="107" spans="1:6" ht="20.25" customHeight="1" x14ac:dyDescent="0.3">
      <c r="A107" s="235">
        <v>3</v>
      </c>
      <c r="B107" s="236" t="s">
        <v>436</v>
      </c>
      <c r="C107" s="237">
        <v>1780835</v>
      </c>
      <c r="D107" s="237">
        <v>1439997</v>
      </c>
      <c r="E107" s="237">
        <f t="shared" si="14"/>
        <v>-340838</v>
      </c>
      <c r="F107" s="238">
        <f t="shared" si="15"/>
        <v>-0.19139224015700501</v>
      </c>
    </row>
    <row r="108" spans="1:6" ht="20.25" customHeight="1" x14ac:dyDescent="0.3">
      <c r="A108" s="235">
        <v>4</v>
      </c>
      <c r="B108" s="236" t="s">
        <v>437</v>
      </c>
      <c r="C108" s="237">
        <v>365890</v>
      </c>
      <c r="D108" s="237">
        <v>242040</v>
      </c>
      <c r="E108" s="237">
        <f t="shared" si="14"/>
        <v>-123850</v>
      </c>
      <c r="F108" s="238">
        <f t="shared" si="15"/>
        <v>-0.33848971002213779</v>
      </c>
    </row>
    <row r="109" spans="1:6" ht="20.25" customHeight="1" x14ac:dyDescent="0.3">
      <c r="A109" s="235">
        <v>5</v>
      </c>
      <c r="B109" s="236" t="s">
        <v>373</v>
      </c>
      <c r="C109" s="239">
        <v>85</v>
      </c>
      <c r="D109" s="239">
        <v>60</v>
      </c>
      <c r="E109" s="239">
        <f t="shared" si="14"/>
        <v>-25</v>
      </c>
      <c r="F109" s="238">
        <f t="shared" si="15"/>
        <v>-0.29411764705882354</v>
      </c>
    </row>
    <row r="110" spans="1:6" ht="20.25" customHeight="1" x14ac:dyDescent="0.3">
      <c r="A110" s="235">
        <v>6</v>
      </c>
      <c r="B110" s="236" t="s">
        <v>372</v>
      </c>
      <c r="C110" s="239">
        <v>485</v>
      </c>
      <c r="D110" s="239">
        <v>293</v>
      </c>
      <c r="E110" s="239">
        <f t="shared" si="14"/>
        <v>-192</v>
      </c>
      <c r="F110" s="238">
        <f t="shared" si="15"/>
        <v>-0.3958762886597938</v>
      </c>
    </row>
    <row r="111" spans="1:6" ht="20.25" customHeight="1" x14ac:dyDescent="0.3">
      <c r="A111" s="235">
        <v>7</v>
      </c>
      <c r="B111" s="236" t="s">
        <v>438</v>
      </c>
      <c r="C111" s="239">
        <v>1050</v>
      </c>
      <c r="D111" s="239">
        <v>867</v>
      </c>
      <c r="E111" s="239">
        <f t="shared" si="14"/>
        <v>-183</v>
      </c>
      <c r="F111" s="238">
        <f t="shared" si="15"/>
        <v>-0.17428571428571429</v>
      </c>
    </row>
    <row r="112" spans="1:6" ht="20.25" customHeight="1" x14ac:dyDescent="0.3">
      <c r="A112" s="235">
        <v>8</v>
      </c>
      <c r="B112" s="236" t="s">
        <v>439</v>
      </c>
      <c r="C112" s="239">
        <v>238</v>
      </c>
      <c r="D112" s="239">
        <v>189</v>
      </c>
      <c r="E112" s="239">
        <f t="shared" si="14"/>
        <v>-49</v>
      </c>
      <c r="F112" s="238">
        <f t="shared" si="15"/>
        <v>-0.20588235294117646</v>
      </c>
    </row>
    <row r="113" spans="1:6" ht="20.25" customHeight="1" x14ac:dyDescent="0.3">
      <c r="A113" s="235">
        <v>9</v>
      </c>
      <c r="B113" s="236" t="s">
        <v>440</v>
      </c>
      <c r="C113" s="239">
        <v>75</v>
      </c>
      <c r="D113" s="239">
        <v>54</v>
      </c>
      <c r="E113" s="239">
        <f t="shared" si="14"/>
        <v>-21</v>
      </c>
      <c r="F113" s="238">
        <f t="shared" si="15"/>
        <v>-0.28000000000000003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5418831</v>
      </c>
      <c r="D114" s="243">
        <f>+D105+D107</f>
        <v>3995223</v>
      </c>
      <c r="E114" s="243">
        <f t="shared" si="14"/>
        <v>-1423608</v>
      </c>
      <c r="F114" s="244">
        <f t="shared" si="15"/>
        <v>-0.26271496564480418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1214247</v>
      </c>
      <c r="D115" s="243">
        <f>+D106+D108</f>
        <v>951125</v>
      </c>
      <c r="E115" s="243">
        <f t="shared" si="14"/>
        <v>-263122</v>
      </c>
      <c r="F115" s="244">
        <f t="shared" si="15"/>
        <v>-0.21669561464841997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1572905</v>
      </c>
      <c r="D118" s="237">
        <v>3149502</v>
      </c>
      <c r="E118" s="237">
        <f t="shared" ref="E118:E128" si="16">D118-C118</f>
        <v>1576597</v>
      </c>
      <c r="F118" s="238">
        <f t="shared" ref="F118:F128" si="17">IF(C118=0,0,E118/C118)</f>
        <v>1.0023472491981398</v>
      </c>
    </row>
    <row r="119" spans="1:6" ht="20.25" customHeight="1" x14ac:dyDescent="0.3">
      <c r="A119" s="235">
        <v>2</v>
      </c>
      <c r="B119" s="236" t="s">
        <v>435</v>
      </c>
      <c r="C119" s="237">
        <v>401812</v>
      </c>
      <c r="D119" s="237">
        <v>879180</v>
      </c>
      <c r="E119" s="237">
        <f t="shared" si="16"/>
        <v>477368</v>
      </c>
      <c r="F119" s="238">
        <f t="shared" si="17"/>
        <v>1.1880381870128318</v>
      </c>
    </row>
    <row r="120" spans="1:6" ht="20.25" customHeight="1" x14ac:dyDescent="0.3">
      <c r="A120" s="235">
        <v>3</v>
      </c>
      <c r="B120" s="236" t="s">
        <v>436</v>
      </c>
      <c r="C120" s="237">
        <v>501864</v>
      </c>
      <c r="D120" s="237">
        <v>1342822</v>
      </c>
      <c r="E120" s="237">
        <f t="shared" si="16"/>
        <v>840958</v>
      </c>
      <c r="F120" s="238">
        <f t="shared" si="17"/>
        <v>1.6756691055744186</v>
      </c>
    </row>
    <row r="121" spans="1:6" ht="20.25" customHeight="1" x14ac:dyDescent="0.3">
      <c r="A121" s="235">
        <v>4</v>
      </c>
      <c r="B121" s="236" t="s">
        <v>437</v>
      </c>
      <c r="C121" s="237">
        <v>122644</v>
      </c>
      <c r="D121" s="237">
        <v>240838</v>
      </c>
      <c r="E121" s="237">
        <f t="shared" si="16"/>
        <v>118194</v>
      </c>
      <c r="F121" s="238">
        <f t="shared" si="17"/>
        <v>0.96371612145722574</v>
      </c>
    </row>
    <row r="122" spans="1:6" ht="20.25" customHeight="1" x14ac:dyDescent="0.3">
      <c r="A122" s="235">
        <v>5</v>
      </c>
      <c r="B122" s="236" t="s">
        <v>373</v>
      </c>
      <c r="C122" s="239">
        <v>31</v>
      </c>
      <c r="D122" s="239">
        <v>61</v>
      </c>
      <c r="E122" s="239">
        <f t="shared" si="16"/>
        <v>30</v>
      </c>
      <c r="F122" s="238">
        <f t="shared" si="17"/>
        <v>0.967741935483871</v>
      </c>
    </row>
    <row r="123" spans="1:6" ht="20.25" customHeight="1" x14ac:dyDescent="0.3">
      <c r="A123" s="235">
        <v>6</v>
      </c>
      <c r="B123" s="236" t="s">
        <v>372</v>
      </c>
      <c r="C123" s="239">
        <v>128</v>
      </c>
      <c r="D123" s="239">
        <v>337</v>
      </c>
      <c r="E123" s="239">
        <f t="shared" si="16"/>
        <v>209</v>
      </c>
      <c r="F123" s="238">
        <f t="shared" si="17"/>
        <v>1.6328125</v>
      </c>
    </row>
    <row r="124" spans="1:6" ht="20.25" customHeight="1" x14ac:dyDescent="0.3">
      <c r="A124" s="235">
        <v>7</v>
      </c>
      <c r="B124" s="236" t="s">
        <v>438</v>
      </c>
      <c r="C124" s="239">
        <v>337</v>
      </c>
      <c r="D124" s="239">
        <v>572</v>
      </c>
      <c r="E124" s="239">
        <f t="shared" si="16"/>
        <v>235</v>
      </c>
      <c r="F124" s="238">
        <f t="shared" si="17"/>
        <v>0.69732937685459939</v>
      </c>
    </row>
    <row r="125" spans="1:6" ht="20.25" customHeight="1" x14ac:dyDescent="0.3">
      <c r="A125" s="235">
        <v>8</v>
      </c>
      <c r="B125" s="236" t="s">
        <v>439</v>
      </c>
      <c r="C125" s="239">
        <v>40</v>
      </c>
      <c r="D125" s="239">
        <v>81</v>
      </c>
      <c r="E125" s="239">
        <f t="shared" si="16"/>
        <v>41</v>
      </c>
      <c r="F125" s="238">
        <f t="shared" si="17"/>
        <v>1.0249999999999999</v>
      </c>
    </row>
    <row r="126" spans="1:6" ht="20.25" customHeight="1" x14ac:dyDescent="0.3">
      <c r="A126" s="235">
        <v>9</v>
      </c>
      <c r="B126" s="236" t="s">
        <v>440</v>
      </c>
      <c r="C126" s="239">
        <v>19</v>
      </c>
      <c r="D126" s="239">
        <v>42</v>
      </c>
      <c r="E126" s="239">
        <f t="shared" si="16"/>
        <v>23</v>
      </c>
      <c r="F126" s="238">
        <f t="shared" si="17"/>
        <v>1.2105263157894737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2074769</v>
      </c>
      <c r="D127" s="243">
        <f>+D118+D120</f>
        <v>4492324</v>
      </c>
      <c r="E127" s="243">
        <f t="shared" si="16"/>
        <v>2417555</v>
      </c>
      <c r="F127" s="244">
        <f t="shared" si="17"/>
        <v>1.1652164650618937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524456</v>
      </c>
      <c r="D128" s="243">
        <f>+D119+D121</f>
        <v>1120018</v>
      </c>
      <c r="E128" s="243">
        <f t="shared" si="16"/>
        <v>595562</v>
      </c>
      <c r="F128" s="244">
        <f t="shared" si="17"/>
        <v>1.1355804872096038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2899124</v>
      </c>
      <c r="D183" s="237">
        <v>1295788</v>
      </c>
      <c r="E183" s="237">
        <f t="shared" ref="E183:E193" si="26">D183-C183</f>
        <v>-1603336</v>
      </c>
      <c r="F183" s="238">
        <f t="shared" ref="F183:F193" si="27">IF(C183=0,0,E183/C183)</f>
        <v>-0.55304153944432866</v>
      </c>
    </row>
    <row r="184" spans="1:6" ht="20.25" customHeight="1" x14ac:dyDescent="0.3">
      <c r="A184" s="235">
        <v>2</v>
      </c>
      <c r="B184" s="236" t="s">
        <v>435</v>
      </c>
      <c r="C184" s="237">
        <v>707737</v>
      </c>
      <c r="D184" s="237">
        <v>450797</v>
      </c>
      <c r="E184" s="237">
        <f t="shared" si="26"/>
        <v>-256940</v>
      </c>
      <c r="F184" s="238">
        <f t="shared" si="27"/>
        <v>-0.36304446425720288</v>
      </c>
    </row>
    <row r="185" spans="1:6" ht="20.25" customHeight="1" x14ac:dyDescent="0.3">
      <c r="A185" s="235">
        <v>3</v>
      </c>
      <c r="B185" s="236" t="s">
        <v>436</v>
      </c>
      <c r="C185" s="237">
        <v>660268</v>
      </c>
      <c r="D185" s="237">
        <v>866839</v>
      </c>
      <c r="E185" s="237">
        <f t="shared" si="26"/>
        <v>206571</v>
      </c>
      <c r="F185" s="238">
        <f t="shared" si="27"/>
        <v>0.31285932378973386</v>
      </c>
    </row>
    <row r="186" spans="1:6" ht="20.25" customHeight="1" x14ac:dyDescent="0.3">
      <c r="A186" s="235">
        <v>4</v>
      </c>
      <c r="B186" s="236" t="s">
        <v>437</v>
      </c>
      <c r="C186" s="237">
        <v>124590</v>
      </c>
      <c r="D186" s="237">
        <v>138280</v>
      </c>
      <c r="E186" s="237">
        <f t="shared" si="26"/>
        <v>13690</v>
      </c>
      <c r="F186" s="238">
        <f t="shared" si="27"/>
        <v>0.1098804077373786</v>
      </c>
    </row>
    <row r="187" spans="1:6" ht="20.25" customHeight="1" x14ac:dyDescent="0.3">
      <c r="A187" s="235">
        <v>5</v>
      </c>
      <c r="B187" s="236" t="s">
        <v>373</v>
      </c>
      <c r="C187" s="239">
        <v>53</v>
      </c>
      <c r="D187" s="239">
        <v>35</v>
      </c>
      <c r="E187" s="239">
        <f t="shared" si="26"/>
        <v>-18</v>
      </c>
      <c r="F187" s="238">
        <f t="shared" si="27"/>
        <v>-0.33962264150943394</v>
      </c>
    </row>
    <row r="188" spans="1:6" ht="20.25" customHeight="1" x14ac:dyDescent="0.3">
      <c r="A188" s="235">
        <v>6</v>
      </c>
      <c r="B188" s="236" t="s">
        <v>372</v>
      </c>
      <c r="C188" s="239">
        <v>360</v>
      </c>
      <c r="D188" s="239">
        <v>168</v>
      </c>
      <c r="E188" s="239">
        <f t="shared" si="26"/>
        <v>-192</v>
      </c>
      <c r="F188" s="238">
        <f t="shared" si="27"/>
        <v>-0.53333333333333333</v>
      </c>
    </row>
    <row r="189" spans="1:6" ht="20.25" customHeight="1" x14ac:dyDescent="0.3">
      <c r="A189" s="235">
        <v>7</v>
      </c>
      <c r="B189" s="236" t="s">
        <v>438</v>
      </c>
      <c r="C189" s="239">
        <v>339</v>
      </c>
      <c r="D189" s="239">
        <v>481</v>
      </c>
      <c r="E189" s="239">
        <f t="shared" si="26"/>
        <v>142</v>
      </c>
      <c r="F189" s="238">
        <f t="shared" si="27"/>
        <v>0.41887905604719766</v>
      </c>
    </row>
    <row r="190" spans="1:6" ht="20.25" customHeight="1" x14ac:dyDescent="0.3">
      <c r="A190" s="235">
        <v>8</v>
      </c>
      <c r="B190" s="236" t="s">
        <v>439</v>
      </c>
      <c r="C190" s="239">
        <v>122</v>
      </c>
      <c r="D190" s="239">
        <v>156</v>
      </c>
      <c r="E190" s="239">
        <f t="shared" si="26"/>
        <v>34</v>
      </c>
      <c r="F190" s="238">
        <f t="shared" si="27"/>
        <v>0.27868852459016391</v>
      </c>
    </row>
    <row r="191" spans="1:6" ht="20.25" customHeight="1" x14ac:dyDescent="0.3">
      <c r="A191" s="235">
        <v>9</v>
      </c>
      <c r="B191" s="236" t="s">
        <v>440</v>
      </c>
      <c r="C191" s="239">
        <v>44</v>
      </c>
      <c r="D191" s="239">
        <v>32</v>
      </c>
      <c r="E191" s="239">
        <f t="shared" si="26"/>
        <v>-12</v>
      </c>
      <c r="F191" s="238">
        <f t="shared" si="27"/>
        <v>-0.27272727272727271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3559392</v>
      </c>
      <c r="D192" s="243">
        <f>+D183+D185</f>
        <v>2162627</v>
      </c>
      <c r="E192" s="243">
        <f t="shared" si="26"/>
        <v>-1396765</v>
      </c>
      <c r="F192" s="244">
        <f t="shared" si="27"/>
        <v>-0.3924167385890624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832327</v>
      </c>
      <c r="D193" s="243">
        <f>+D184+D186</f>
        <v>589077</v>
      </c>
      <c r="E193" s="243">
        <f t="shared" si="26"/>
        <v>-243250</v>
      </c>
      <c r="F193" s="244">
        <f t="shared" si="27"/>
        <v>-0.29225292463178537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459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38759660</v>
      </c>
      <c r="D198" s="243">
        <f t="shared" si="28"/>
        <v>43441660</v>
      </c>
      <c r="E198" s="243">
        <f t="shared" ref="E198:E208" si="29">D198-C198</f>
        <v>4682000</v>
      </c>
      <c r="F198" s="251">
        <f t="shared" ref="F198:F208" si="30">IF(C198=0,0,E198/C198)</f>
        <v>0.12079569325427519</v>
      </c>
    </row>
    <row r="199" spans="1:9" ht="20.25" customHeight="1" x14ac:dyDescent="0.3">
      <c r="A199" s="249"/>
      <c r="B199" s="250" t="s">
        <v>461</v>
      </c>
      <c r="C199" s="243">
        <f t="shared" si="28"/>
        <v>9408169</v>
      </c>
      <c r="D199" s="243">
        <f t="shared" si="28"/>
        <v>11704943</v>
      </c>
      <c r="E199" s="243">
        <f t="shared" si="29"/>
        <v>2296774</v>
      </c>
      <c r="F199" s="251">
        <f t="shared" si="30"/>
        <v>0.24412550412306583</v>
      </c>
    </row>
    <row r="200" spans="1:9" ht="20.25" customHeight="1" x14ac:dyDescent="0.3">
      <c r="A200" s="249"/>
      <c r="B200" s="250" t="s">
        <v>462</v>
      </c>
      <c r="C200" s="243">
        <f t="shared" si="28"/>
        <v>14191150</v>
      </c>
      <c r="D200" s="243">
        <f t="shared" si="28"/>
        <v>16264113</v>
      </c>
      <c r="E200" s="243">
        <f t="shared" si="29"/>
        <v>2072963</v>
      </c>
      <c r="F200" s="251">
        <f t="shared" si="30"/>
        <v>0.1460743491542264</v>
      </c>
    </row>
    <row r="201" spans="1:9" ht="20.25" customHeight="1" x14ac:dyDescent="0.3">
      <c r="A201" s="249"/>
      <c r="B201" s="250" t="s">
        <v>463</v>
      </c>
      <c r="C201" s="243">
        <f t="shared" si="28"/>
        <v>2625239</v>
      </c>
      <c r="D201" s="243">
        <f t="shared" si="28"/>
        <v>2734587</v>
      </c>
      <c r="E201" s="243">
        <f t="shared" si="29"/>
        <v>109348</v>
      </c>
      <c r="F201" s="251">
        <f t="shared" si="30"/>
        <v>4.1652588583363265E-2</v>
      </c>
    </row>
    <row r="202" spans="1:9" ht="20.25" customHeight="1" x14ac:dyDescent="0.3">
      <c r="A202" s="249"/>
      <c r="B202" s="250" t="s">
        <v>464</v>
      </c>
      <c r="C202" s="252">
        <f t="shared" si="28"/>
        <v>815</v>
      </c>
      <c r="D202" s="252">
        <f t="shared" si="28"/>
        <v>860</v>
      </c>
      <c r="E202" s="252">
        <f t="shared" si="29"/>
        <v>45</v>
      </c>
      <c r="F202" s="251">
        <f t="shared" si="30"/>
        <v>5.5214723926380369E-2</v>
      </c>
    </row>
    <row r="203" spans="1:9" ht="20.25" customHeight="1" x14ac:dyDescent="0.3">
      <c r="A203" s="249"/>
      <c r="B203" s="250" t="s">
        <v>465</v>
      </c>
      <c r="C203" s="252">
        <f t="shared" si="28"/>
        <v>4462</v>
      </c>
      <c r="D203" s="252">
        <f t="shared" si="28"/>
        <v>4489</v>
      </c>
      <c r="E203" s="252">
        <f t="shared" si="29"/>
        <v>27</v>
      </c>
      <c r="F203" s="251">
        <f t="shared" si="30"/>
        <v>6.0510981622590764E-3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7670</v>
      </c>
      <c r="D204" s="252">
        <f t="shared" si="28"/>
        <v>8558</v>
      </c>
      <c r="E204" s="252">
        <f t="shared" si="29"/>
        <v>888</v>
      </c>
      <c r="F204" s="251">
        <f t="shared" si="30"/>
        <v>0.11577574967405475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1100</v>
      </c>
      <c r="D205" s="252">
        <f t="shared" si="28"/>
        <v>1219</v>
      </c>
      <c r="E205" s="252">
        <f t="shared" si="29"/>
        <v>119</v>
      </c>
      <c r="F205" s="251">
        <f t="shared" si="30"/>
        <v>0.10818181818181818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617</v>
      </c>
      <c r="D206" s="252">
        <f t="shared" si="28"/>
        <v>654</v>
      </c>
      <c r="E206" s="252">
        <f t="shared" si="29"/>
        <v>37</v>
      </c>
      <c r="F206" s="251">
        <f t="shared" si="30"/>
        <v>5.9967585089141004E-2</v>
      </c>
    </row>
    <row r="207" spans="1:9" ht="20.25" customHeight="1" x14ac:dyDescent="0.3">
      <c r="A207" s="249"/>
      <c r="B207" s="242" t="s">
        <v>469</v>
      </c>
      <c r="C207" s="243">
        <f>+C198+C200</f>
        <v>52950810</v>
      </c>
      <c r="D207" s="243">
        <f>+D198+D200</f>
        <v>59705773</v>
      </c>
      <c r="E207" s="243">
        <f t="shared" si="29"/>
        <v>6754963</v>
      </c>
      <c r="F207" s="251">
        <f t="shared" si="30"/>
        <v>0.12757053197108789</v>
      </c>
    </row>
    <row r="208" spans="1:9" ht="20.25" customHeight="1" x14ac:dyDescent="0.3">
      <c r="A208" s="249"/>
      <c r="B208" s="242" t="s">
        <v>470</v>
      </c>
      <c r="C208" s="243">
        <f>+C199+C201</f>
        <v>12033408</v>
      </c>
      <c r="D208" s="243">
        <f>+D199+D201</f>
        <v>14439530</v>
      </c>
      <c r="E208" s="243">
        <f t="shared" si="29"/>
        <v>2406122</v>
      </c>
      <c r="F208" s="251">
        <f t="shared" si="30"/>
        <v>0.19995349613343119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FILING&amp;RWATERBURY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3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471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3581650</v>
      </c>
      <c r="D14" s="237">
        <v>0</v>
      </c>
      <c r="E14" s="237">
        <f t="shared" ref="E14:E24" si="0">D14-C14</f>
        <v>-3581650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781135</v>
      </c>
      <c r="D15" s="237">
        <v>0</v>
      </c>
      <c r="E15" s="237">
        <f t="shared" si="0"/>
        <v>-781135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5702796</v>
      </c>
      <c r="D16" s="237">
        <v>533</v>
      </c>
      <c r="E16" s="237">
        <f t="shared" si="0"/>
        <v>-5702263</v>
      </c>
      <c r="F16" s="238">
        <f t="shared" si="1"/>
        <v>-0.99990653707409494</v>
      </c>
    </row>
    <row r="17" spans="1:6" ht="20.25" customHeight="1" x14ac:dyDescent="0.3">
      <c r="A17" s="235">
        <v>4</v>
      </c>
      <c r="B17" s="236" t="s">
        <v>437</v>
      </c>
      <c r="C17" s="237">
        <v>1068024</v>
      </c>
      <c r="D17" s="237">
        <v>57</v>
      </c>
      <c r="E17" s="237">
        <f t="shared" si="0"/>
        <v>-1067967</v>
      </c>
      <c r="F17" s="238">
        <f t="shared" si="1"/>
        <v>-0.99994663041279974</v>
      </c>
    </row>
    <row r="18" spans="1:6" ht="20.25" customHeight="1" x14ac:dyDescent="0.3">
      <c r="A18" s="235">
        <v>5</v>
      </c>
      <c r="B18" s="236" t="s">
        <v>373</v>
      </c>
      <c r="C18" s="239">
        <v>232</v>
      </c>
      <c r="D18" s="239">
        <v>0</v>
      </c>
      <c r="E18" s="239">
        <f t="shared" si="0"/>
        <v>-232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698</v>
      </c>
      <c r="D19" s="239">
        <v>0</v>
      </c>
      <c r="E19" s="239">
        <f t="shared" si="0"/>
        <v>-698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2909</v>
      </c>
      <c r="D20" s="239">
        <v>2</v>
      </c>
      <c r="E20" s="239">
        <f t="shared" si="0"/>
        <v>-2907</v>
      </c>
      <c r="F20" s="238">
        <f t="shared" si="1"/>
        <v>-0.99931247851495364</v>
      </c>
    </row>
    <row r="21" spans="1:6" ht="20.25" customHeight="1" x14ac:dyDescent="0.3">
      <c r="A21" s="235">
        <v>8</v>
      </c>
      <c r="B21" s="236" t="s">
        <v>439</v>
      </c>
      <c r="C21" s="239">
        <v>1729</v>
      </c>
      <c r="D21" s="239">
        <v>0</v>
      </c>
      <c r="E21" s="239">
        <f t="shared" si="0"/>
        <v>-1729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77</v>
      </c>
      <c r="D22" s="239">
        <v>0</v>
      </c>
      <c r="E22" s="239">
        <f t="shared" si="0"/>
        <v>-77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9284446</v>
      </c>
      <c r="D23" s="243">
        <f>+D14+D16</f>
        <v>533</v>
      </c>
      <c r="E23" s="243">
        <f t="shared" si="0"/>
        <v>-9283913</v>
      </c>
      <c r="F23" s="244">
        <f t="shared" si="1"/>
        <v>-0.99994259215897208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1849159</v>
      </c>
      <c r="D24" s="243">
        <f>+D15+D17</f>
        <v>57</v>
      </c>
      <c r="E24" s="243">
        <f t="shared" si="0"/>
        <v>-1849102</v>
      </c>
      <c r="F24" s="244">
        <f t="shared" si="1"/>
        <v>-0.99996917517639095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13908471</v>
      </c>
      <c r="D26" s="237">
        <v>17439330</v>
      </c>
      <c r="E26" s="237">
        <f t="shared" ref="E26:E36" si="2">D26-C26</f>
        <v>3530859</v>
      </c>
      <c r="F26" s="238">
        <f t="shared" ref="F26:F36" si="3">IF(C26=0,0,E26/C26)</f>
        <v>0.25386392220970949</v>
      </c>
    </row>
    <row r="27" spans="1:6" ht="20.25" customHeight="1" x14ac:dyDescent="0.3">
      <c r="A27" s="235">
        <v>2</v>
      </c>
      <c r="B27" s="236" t="s">
        <v>435</v>
      </c>
      <c r="C27" s="237">
        <v>3132903</v>
      </c>
      <c r="D27" s="237">
        <v>3207142</v>
      </c>
      <c r="E27" s="237">
        <f t="shared" si="2"/>
        <v>74239</v>
      </c>
      <c r="F27" s="238">
        <f t="shared" si="3"/>
        <v>2.3696552366926138E-2</v>
      </c>
    </row>
    <row r="28" spans="1:6" ht="20.25" customHeight="1" x14ac:dyDescent="0.3">
      <c r="A28" s="235">
        <v>3</v>
      </c>
      <c r="B28" s="236" t="s">
        <v>436</v>
      </c>
      <c r="C28" s="237">
        <v>21424290</v>
      </c>
      <c r="D28" s="237">
        <v>25266627</v>
      </c>
      <c r="E28" s="237">
        <f t="shared" si="2"/>
        <v>3842337</v>
      </c>
      <c r="F28" s="238">
        <f t="shared" si="3"/>
        <v>0.1793448931096433</v>
      </c>
    </row>
    <row r="29" spans="1:6" ht="20.25" customHeight="1" x14ac:dyDescent="0.3">
      <c r="A29" s="235">
        <v>4</v>
      </c>
      <c r="B29" s="236" t="s">
        <v>437</v>
      </c>
      <c r="C29" s="237">
        <v>4215878</v>
      </c>
      <c r="D29" s="237">
        <v>4610218</v>
      </c>
      <c r="E29" s="237">
        <f t="shared" si="2"/>
        <v>394340</v>
      </c>
      <c r="F29" s="238">
        <f t="shared" si="3"/>
        <v>9.3536862309582969E-2</v>
      </c>
    </row>
    <row r="30" spans="1:6" ht="20.25" customHeight="1" x14ac:dyDescent="0.3">
      <c r="A30" s="235">
        <v>5</v>
      </c>
      <c r="B30" s="236" t="s">
        <v>373</v>
      </c>
      <c r="C30" s="239">
        <v>974</v>
      </c>
      <c r="D30" s="239">
        <v>1033</v>
      </c>
      <c r="E30" s="239">
        <f t="shared" si="2"/>
        <v>59</v>
      </c>
      <c r="F30" s="238">
        <f t="shared" si="3"/>
        <v>6.0574948665297744E-2</v>
      </c>
    </row>
    <row r="31" spans="1:6" ht="20.25" customHeight="1" x14ac:dyDescent="0.3">
      <c r="A31" s="235">
        <v>6</v>
      </c>
      <c r="B31" s="236" t="s">
        <v>372</v>
      </c>
      <c r="C31" s="239">
        <v>2883</v>
      </c>
      <c r="D31" s="239">
        <v>3334</v>
      </c>
      <c r="E31" s="239">
        <f t="shared" si="2"/>
        <v>451</v>
      </c>
      <c r="F31" s="238">
        <f t="shared" si="3"/>
        <v>0.15643426985778702</v>
      </c>
    </row>
    <row r="32" spans="1:6" ht="20.25" customHeight="1" x14ac:dyDescent="0.3">
      <c r="A32" s="235">
        <v>7</v>
      </c>
      <c r="B32" s="236" t="s">
        <v>438</v>
      </c>
      <c r="C32" s="239">
        <v>10979</v>
      </c>
      <c r="D32" s="239">
        <v>11355</v>
      </c>
      <c r="E32" s="239">
        <f t="shared" si="2"/>
        <v>376</v>
      </c>
      <c r="F32" s="238">
        <f t="shared" si="3"/>
        <v>3.4247199198469809E-2</v>
      </c>
    </row>
    <row r="33" spans="1:6" ht="20.25" customHeight="1" x14ac:dyDescent="0.3">
      <c r="A33" s="235">
        <v>8</v>
      </c>
      <c r="B33" s="236" t="s">
        <v>439</v>
      </c>
      <c r="C33" s="239">
        <v>6852</v>
      </c>
      <c r="D33" s="239">
        <v>8569</v>
      </c>
      <c r="E33" s="239">
        <f t="shared" si="2"/>
        <v>1717</v>
      </c>
      <c r="F33" s="238">
        <f t="shared" si="3"/>
        <v>0.2505837711617046</v>
      </c>
    </row>
    <row r="34" spans="1:6" ht="20.25" customHeight="1" x14ac:dyDescent="0.3">
      <c r="A34" s="235">
        <v>9</v>
      </c>
      <c r="B34" s="236" t="s">
        <v>440</v>
      </c>
      <c r="C34" s="239">
        <v>186</v>
      </c>
      <c r="D34" s="239">
        <v>244</v>
      </c>
      <c r="E34" s="239">
        <f t="shared" si="2"/>
        <v>58</v>
      </c>
      <c r="F34" s="238">
        <f t="shared" si="3"/>
        <v>0.31182795698924731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35332761</v>
      </c>
      <c r="D35" s="243">
        <f>+D26+D28</f>
        <v>42705957</v>
      </c>
      <c r="E35" s="243">
        <f t="shared" si="2"/>
        <v>7373196</v>
      </c>
      <c r="F35" s="244">
        <f t="shared" si="3"/>
        <v>0.20867873869239939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7348781</v>
      </c>
      <c r="D36" s="243">
        <f>+D27+D29</f>
        <v>7817360</v>
      </c>
      <c r="E36" s="243">
        <f t="shared" si="2"/>
        <v>468579</v>
      </c>
      <c r="F36" s="244">
        <f t="shared" si="3"/>
        <v>6.3762819983341448E-2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1141</v>
      </c>
      <c r="E40" s="237">
        <f t="shared" si="4"/>
        <v>1141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69</v>
      </c>
      <c r="E41" s="237">
        <f t="shared" si="4"/>
        <v>69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2</v>
      </c>
      <c r="E44" s="239">
        <f t="shared" si="4"/>
        <v>2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1141</v>
      </c>
      <c r="E47" s="243">
        <f t="shared" si="4"/>
        <v>1141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69</v>
      </c>
      <c r="E48" s="243">
        <f t="shared" si="4"/>
        <v>69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1095989</v>
      </c>
      <c r="D50" s="237">
        <v>2217568</v>
      </c>
      <c r="E50" s="237">
        <f t="shared" ref="E50:E60" si="6">D50-C50</f>
        <v>1121579</v>
      </c>
      <c r="F50" s="238">
        <f t="shared" ref="F50:F60" si="7">IF(C50=0,0,E50/C50)</f>
        <v>1.0233487744858754</v>
      </c>
    </row>
    <row r="51" spans="1:6" ht="20.25" customHeight="1" x14ac:dyDescent="0.3">
      <c r="A51" s="235">
        <v>2</v>
      </c>
      <c r="B51" s="236" t="s">
        <v>435</v>
      </c>
      <c r="C51" s="237">
        <v>236817</v>
      </c>
      <c r="D51" s="237">
        <v>375655</v>
      </c>
      <c r="E51" s="237">
        <f t="shared" si="6"/>
        <v>138838</v>
      </c>
      <c r="F51" s="238">
        <f t="shared" si="7"/>
        <v>0.58626703319440754</v>
      </c>
    </row>
    <row r="52" spans="1:6" ht="20.25" customHeight="1" x14ac:dyDescent="0.3">
      <c r="A52" s="235">
        <v>3</v>
      </c>
      <c r="B52" s="236" t="s">
        <v>436</v>
      </c>
      <c r="C52" s="237">
        <v>1332963</v>
      </c>
      <c r="D52" s="237">
        <v>2453042</v>
      </c>
      <c r="E52" s="237">
        <f t="shared" si="6"/>
        <v>1120079</v>
      </c>
      <c r="F52" s="238">
        <f t="shared" si="7"/>
        <v>0.8402926412811158</v>
      </c>
    </row>
    <row r="53" spans="1:6" ht="20.25" customHeight="1" x14ac:dyDescent="0.3">
      <c r="A53" s="235">
        <v>4</v>
      </c>
      <c r="B53" s="236" t="s">
        <v>437</v>
      </c>
      <c r="C53" s="237">
        <v>246343</v>
      </c>
      <c r="D53" s="237">
        <v>449212</v>
      </c>
      <c r="E53" s="237">
        <f t="shared" si="6"/>
        <v>202869</v>
      </c>
      <c r="F53" s="238">
        <f t="shared" si="7"/>
        <v>0.82352248693894281</v>
      </c>
    </row>
    <row r="54" spans="1:6" ht="20.25" customHeight="1" x14ac:dyDescent="0.3">
      <c r="A54" s="235">
        <v>5</v>
      </c>
      <c r="B54" s="236" t="s">
        <v>373</v>
      </c>
      <c r="C54" s="239">
        <v>40</v>
      </c>
      <c r="D54" s="239">
        <v>118</v>
      </c>
      <c r="E54" s="239">
        <f t="shared" si="6"/>
        <v>78</v>
      </c>
      <c r="F54" s="238">
        <f t="shared" si="7"/>
        <v>1.95</v>
      </c>
    </row>
    <row r="55" spans="1:6" ht="20.25" customHeight="1" x14ac:dyDescent="0.3">
      <c r="A55" s="235">
        <v>6</v>
      </c>
      <c r="B55" s="236" t="s">
        <v>372</v>
      </c>
      <c r="C55" s="239">
        <v>204</v>
      </c>
      <c r="D55" s="239">
        <v>426</v>
      </c>
      <c r="E55" s="239">
        <f t="shared" si="6"/>
        <v>222</v>
      </c>
      <c r="F55" s="238">
        <f t="shared" si="7"/>
        <v>1.088235294117647</v>
      </c>
    </row>
    <row r="56" spans="1:6" ht="20.25" customHeight="1" x14ac:dyDescent="0.3">
      <c r="A56" s="235">
        <v>7</v>
      </c>
      <c r="B56" s="236" t="s">
        <v>438</v>
      </c>
      <c r="C56" s="239">
        <v>265</v>
      </c>
      <c r="D56" s="239">
        <v>809</v>
      </c>
      <c r="E56" s="239">
        <f t="shared" si="6"/>
        <v>544</v>
      </c>
      <c r="F56" s="238">
        <f t="shared" si="7"/>
        <v>2.0528301886792453</v>
      </c>
    </row>
    <row r="57" spans="1:6" ht="20.25" customHeight="1" x14ac:dyDescent="0.3">
      <c r="A57" s="235">
        <v>8</v>
      </c>
      <c r="B57" s="236" t="s">
        <v>439</v>
      </c>
      <c r="C57" s="239">
        <v>674</v>
      </c>
      <c r="D57" s="239">
        <v>1273</v>
      </c>
      <c r="E57" s="239">
        <f t="shared" si="6"/>
        <v>599</v>
      </c>
      <c r="F57" s="238">
        <f t="shared" si="7"/>
        <v>0.88872403560830859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37</v>
      </c>
      <c r="E58" s="239">
        <f t="shared" si="6"/>
        <v>37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2428952</v>
      </c>
      <c r="D59" s="243">
        <f>+D50+D52</f>
        <v>4670610</v>
      </c>
      <c r="E59" s="243">
        <f t="shared" si="6"/>
        <v>2241658</v>
      </c>
      <c r="F59" s="244">
        <f t="shared" si="7"/>
        <v>0.92289102460649697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483160</v>
      </c>
      <c r="D60" s="243">
        <f>+D51+D53</f>
        <v>824867</v>
      </c>
      <c r="E60" s="243">
        <f t="shared" si="6"/>
        <v>341707</v>
      </c>
      <c r="F60" s="244">
        <f t="shared" si="7"/>
        <v>0.70723362861164007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2723</v>
      </c>
      <c r="D64" s="237">
        <v>0</v>
      </c>
      <c r="E64" s="237">
        <f t="shared" si="8"/>
        <v>-2723</v>
      </c>
      <c r="F64" s="238">
        <f t="shared" si="9"/>
        <v>-1</v>
      </c>
    </row>
    <row r="65" spans="1:6" ht="20.25" customHeight="1" x14ac:dyDescent="0.3">
      <c r="A65" s="235">
        <v>4</v>
      </c>
      <c r="B65" s="236" t="s">
        <v>437</v>
      </c>
      <c r="C65" s="237">
        <v>219</v>
      </c>
      <c r="D65" s="237">
        <v>0</v>
      </c>
      <c r="E65" s="237">
        <f t="shared" si="8"/>
        <v>-219</v>
      </c>
      <c r="F65" s="238">
        <f t="shared" si="9"/>
        <v>-1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2</v>
      </c>
      <c r="D69" s="239">
        <v>0</v>
      </c>
      <c r="E69" s="239">
        <f t="shared" si="8"/>
        <v>-2</v>
      </c>
      <c r="F69" s="238">
        <f t="shared" si="9"/>
        <v>-1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2723</v>
      </c>
      <c r="D71" s="243">
        <f>+D62+D64</f>
        <v>0</v>
      </c>
      <c r="E71" s="243">
        <f t="shared" si="8"/>
        <v>-2723</v>
      </c>
      <c r="F71" s="244">
        <f t="shared" si="9"/>
        <v>-1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219</v>
      </c>
      <c r="D72" s="243">
        <f>+D63+D65</f>
        <v>0</v>
      </c>
      <c r="E72" s="243">
        <f t="shared" si="8"/>
        <v>-219</v>
      </c>
      <c r="F72" s="244">
        <f t="shared" si="9"/>
        <v>-1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3342613</v>
      </c>
      <c r="D98" s="237">
        <v>5394816</v>
      </c>
      <c r="E98" s="237">
        <f t="shared" ref="E98:E108" si="14">D98-C98</f>
        <v>2052203</v>
      </c>
      <c r="F98" s="238">
        <f t="shared" ref="F98:F108" si="15">IF(C98=0,0,E98/C98)</f>
        <v>0.61395171980722862</v>
      </c>
    </row>
    <row r="99" spans="1:7" ht="20.25" customHeight="1" x14ac:dyDescent="0.3">
      <c r="A99" s="235">
        <v>2</v>
      </c>
      <c r="B99" s="236" t="s">
        <v>435</v>
      </c>
      <c r="C99" s="237">
        <v>641450</v>
      </c>
      <c r="D99" s="237">
        <v>975010</v>
      </c>
      <c r="E99" s="237">
        <f t="shared" si="14"/>
        <v>333560</v>
      </c>
      <c r="F99" s="238">
        <f t="shared" si="15"/>
        <v>0.52000935380777924</v>
      </c>
    </row>
    <row r="100" spans="1:7" ht="20.25" customHeight="1" x14ac:dyDescent="0.3">
      <c r="A100" s="235">
        <v>3</v>
      </c>
      <c r="B100" s="236" t="s">
        <v>436</v>
      </c>
      <c r="C100" s="237">
        <v>4779915</v>
      </c>
      <c r="D100" s="237">
        <v>7578470</v>
      </c>
      <c r="E100" s="237">
        <f t="shared" si="14"/>
        <v>2798555</v>
      </c>
      <c r="F100" s="238">
        <f t="shared" si="15"/>
        <v>0.58548216861596913</v>
      </c>
    </row>
    <row r="101" spans="1:7" ht="20.25" customHeight="1" x14ac:dyDescent="0.3">
      <c r="A101" s="235">
        <v>4</v>
      </c>
      <c r="B101" s="236" t="s">
        <v>437</v>
      </c>
      <c r="C101" s="237">
        <v>985034</v>
      </c>
      <c r="D101" s="237">
        <v>1419212</v>
      </c>
      <c r="E101" s="237">
        <f t="shared" si="14"/>
        <v>434178</v>
      </c>
      <c r="F101" s="238">
        <f t="shared" si="15"/>
        <v>0.44077463315987064</v>
      </c>
    </row>
    <row r="102" spans="1:7" ht="20.25" customHeight="1" x14ac:dyDescent="0.3">
      <c r="A102" s="235">
        <v>5</v>
      </c>
      <c r="B102" s="236" t="s">
        <v>373</v>
      </c>
      <c r="C102" s="239">
        <v>167</v>
      </c>
      <c r="D102" s="239">
        <v>334</v>
      </c>
      <c r="E102" s="239">
        <f t="shared" si="14"/>
        <v>167</v>
      </c>
      <c r="F102" s="238">
        <f t="shared" si="15"/>
        <v>1</v>
      </c>
    </row>
    <row r="103" spans="1:7" ht="20.25" customHeight="1" x14ac:dyDescent="0.3">
      <c r="A103" s="235">
        <v>6</v>
      </c>
      <c r="B103" s="236" t="s">
        <v>372</v>
      </c>
      <c r="C103" s="239">
        <v>580</v>
      </c>
      <c r="D103" s="239">
        <v>1021</v>
      </c>
      <c r="E103" s="239">
        <f t="shared" si="14"/>
        <v>441</v>
      </c>
      <c r="F103" s="238">
        <f t="shared" si="15"/>
        <v>0.76034482758620692</v>
      </c>
    </row>
    <row r="104" spans="1:7" ht="20.25" customHeight="1" x14ac:dyDescent="0.3">
      <c r="A104" s="235">
        <v>7</v>
      </c>
      <c r="B104" s="236" t="s">
        <v>438</v>
      </c>
      <c r="C104" s="239">
        <v>1732</v>
      </c>
      <c r="D104" s="239">
        <v>2890</v>
      </c>
      <c r="E104" s="239">
        <f t="shared" si="14"/>
        <v>1158</v>
      </c>
      <c r="F104" s="238">
        <f t="shared" si="15"/>
        <v>0.6685912240184757</v>
      </c>
    </row>
    <row r="105" spans="1:7" ht="20.25" customHeight="1" x14ac:dyDescent="0.3">
      <c r="A105" s="235">
        <v>8</v>
      </c>
      <c r="B105" s="236" t="s">
        <v>439</v>
      </c>
      <c r="C105" s="239">
        <v>1818</v>
      </c>
      <c r="D105" s="239">
        <v>2947</v>
      </c>
      <c r="E105" s="239">
        <f t="shared" si="14"/>
        <v>1129</v>
      </c>
      <c r="F105" s="238">
        <f t="shared" si="15"/>
        <v>0.62101210121012096</v>
      </c>
    </row>
    <row r="106" spans="1:7" ht="20.25" customHeight="1" x14ac:dyDescent="0.3">
      <c r="A106" s="235">
        <v>9</v>
      </c>
      <c r="B106" s="236" t="s">
        <v>440</v>
      </c>
      <c r="C106" s="239">
        <v>42</v>
      </c>
      <c r="D106" s="239">
        <v>76</v>
      </c>
      <c r="E106" s="239">
        <f t="shared" si="14"/>
        <v>34</v>
      </c>
      <c r="F106" s="238">
        <f t="shared" si="15"/>
        <v>0.80952380952380953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8122528</v>
      </c>
      <c r="D107" s="243">
        <f>+D98+D100</f>
        <v>12973286</v>
      </c>
      <c r="E107" s="243">
        <f t="shared" si="14"/>
        <v>4850758</v>
      </c>
      <c r="F107" s="244">
        <f t="shared" si="15"/>
        <v>0.59719806444496093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1626484</v>
      </c>
      <c r="D108" s="243">
        <f>+D99+D101</f>
        <v>2394222</v>
      </c>
      <c r="E108" s="243">
        <f t="shared" si="14"/>
        <v>767738</v>
      </c>
      <c r="F108" s="244">
        <f t="shared" si="15"/>
        <v>0.47202308783855235</v>
      </c>
    </row>
    <row r="109" spans="1:7" s="240" customFormat="1" ht="20.25" customHeight="1" x14ac:dyDescent="0.3">
      <c r="A109" s="688" t="s">
        <v>44</v>
      </c>
      <c r="B109" s="689" t="s">
        <v>478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21928723</v>
      </c>
      <c r="D112" s="243">
        <f t="shared" si="16"/>
        <v>25051714</v>
      </c>
      <c r="E112" s="243">
        <f t="shared" ref="E112:E122" si="17">D112-C112</f>
        <v>3122991</v>
      </c>
      <c r="F112" s="244">
        <f t="shared" ref="F112:F122" si="18">IF(C112=0,0,E112/C112)</f>
        <v>0.14241554330363879</v>
      </c>
    </row>
    <row r="113" spans="1:6" ht="20.25" customHeight="1" x14ac:dyDescent="0.3">
      <c r="A113" s="249"/>
      <c r="B113" s="250" t="s">
        <v>461</v>
      </c>
      <c r="C113" s="243">
        <f t="shared" si="16"/>
        <v>4792305</v>
      </c>
      <c r="D113" s="243">
        <f t="shared" si="16"/>
        <v>4557807</v>
      </c>
      <c r="E113" s="243">
        <f t="shared" si="17"/>
        <v>-234498</v>
      </c>
      <c r="F113" s="244">
        <f t="shared" si="18"/>
        <v>-4.8932194424186275E-2</v>
      </c>
    </row>
    <row r="114" spans="1:6" ht="20.25" customHeight="1" x14ac:dyDescent="0.3">
      <c r="A114" s="249"/>
      <c r="B114" s="250" t="s">
        <v>462</v>
      </c>
      <c r="C114" s="243">
        <f t="shared" si="16"/>
        <v>33242687</v>
      </c>
      <c r="D114" s="243">
        <f t="shared" si="16"/>
        <v>35299813</v>
      </c>
      <c r="E114" s="243">
        <f t="shared" si="17"/>
        <v>2057126</v>
      </c>
      <c r="F114" s="244">
        <f t="shared" si="18"/>
        <v>6.1882061459111293E-2</v>
      </c>
    </row>
    <row r="115" spans="1:6" ht="20.25" customHeight="1" x14ac:dyDescent="0.3">
      <c r="A115" s="249"/>
      <c r="B115" s="250" t="s">
        <v>463</v>
      </c>
      <c r="C115" s="243">
        <f t="shared" si="16"/>
        <v>6515498</v>
      </c>
      <c r="D115" s="243">
        <f t="shared" si="16"/>
        <v>6478768</v>
      </c>
      <c r="E115" s="243">
        <f t="shared" si="17"/>
        <v>-36730</v>
      </c>
      <c r="F115" s="244">
        <f t="shared" si="18"/>
        <v>-5.6373281060020279E-3</v>
      </c>
    </row>
    <row r="116" spans="1:6" ht="20.25" customHeight="1" x14ac:dyDescent="0.3">
      <c r="A116" s="249"/>
      <c r="B116" s="250" t="s">
        <v>464</v>
      </c>
      <c r="C116" s="252">
        <f t="shared" si="16"/>
        <v>1413</v>
      </c>
      <c r="D116" s="252">
        <f t="shared" si="16"/>
        <v>1485</v>
      </c>
      <c r="E116" s="252">
        <f t="shared" si="17"/>
        <v>72</v>
      </c>
      <c r="F116" s="244">
        <f t="shared" si="18"/>
        <v>5.0955414012738856E-2</v>
      </c>
    </row>
    <row r="117" spans="1:6" ht="20.25" customHeight="1" x14ac:dyDescent="0.3">
      <c r="A117" s="249"/>
      <c r="B117" s="250" t="s">
        <v>465</v>
      </c>
      <c r="C117" s="252">
        <f t="shared" si="16"/>
        <v>4365</v>
      </c>
      <c r="D117" s="252">
        <f t="shared" si="16"/>
        <v>4781</v>
      </c>
      <c r="E117" s="252">
        <f t="shared" si="17"/>
        <v>416</v>
      </c>
      <c r="F117" s="244">
        <f t="shared" si="18"/>
        <v>9.5303550973654061E-2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15885</v>
      </c>
      <c r="D118" s="252">
        <f t="shared" si="16"/>
        <v>15058</v>
      </c>
      <c r="E118" s="252">
        <f t="shared" si="17"/>
        <v>-827</v>
      </c>
      <c r="F118" s="244">
        <f t="shared" si="18"/>
        <v>-5.2061693421466791E-2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11075</v>
      </c>
      <c r="D119" s="252">
        <f t="shared" si="16"/>
        <v>12789</v>
      </c>
      <c r="E119" s="252">
        <f t="shared" si="17"/>
        <v>1714</v>
      </c>
      <c r="F119" s="244">
        <f t="shared" si="18"/>
        <v>0.1547629796839729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305</v>
      </c>
      <c r="D120" s="252">
        <f t="shared" si="16"/>
        <v>357</v>
      </c>
      <c r="E120" s="252">
        <f t="shared" si="17"/>
        <v>52</v>
      </c>
      <c r="F120" s="244">
        <f t="shared" si="18"/>
        <v>0.17049180327868851</v>
      </c>
    </row>
    <row r="121" spans="1:6" ht="39.950000000000003" customHeight="1" x14ac:dyDescent="0.3">
      <c r="A121" s="249"/>
      <c r="B121" s="242" t="s">
        <v>441</v>
      </c>
      <c r="C121" s="243">
        <f>+C112+C114</f>
        <v>55171410</v>
      </c>
      <c r="D121" s="243">
        <f>+D112+D114</f>
        <v>60351527</v>
      </c>
      <c r="E121" s="243">
        <f t="shared" si="17"/>
        <v>5180117</v>
      </c>
      <c r="F121" s="244">
        <f t="shared" si="18"/>
        <v>9.3891328860364456E-2</v>
      </c>
    </row>
    <row r="122" spans="1:6" ht="39.950000000000003" customHeight="1" x14ac:dyDescent="0.3">
      <c r="A122" s="249"/>
      <c r="B122" s="242" t="s">
        <v>470</v>
      </c>
      <c r="C122" s="243">
        <f>+C113+C115</f>
        <v>11307803</v>
      </c>
      <c r="D122" s="243">
        <f>+D113+D115</f>
        <v>11036575</v>
      </c>
      <c r="E122" s="243">
        <f t="shared" si="17"/>
        <v>-271228</v>
      </c>
      <c r="F122" s="244">
        <f t="shared" si="18"/>
        <v>-2.3985914858969511E-2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9" fitToHeight="2" orientation="portrait" horizontalDpi="1200" verticalDpi="1200" r:id="rId1"/>
  <headerFooter>
    <oddHeader>&amp;LOFFICE OF HEALTH CARE ACCESS&amp;CTWELVE MONTHS ACTUAL FILING&amp;RWATERBURY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19343506</v>
      </c>
      <c r="D13" s="23">
        <v>22269814</v>
      </c>
      <c r="E13" s="23">
        <f t="shared" ref="E13:E22" si="0">D13-C13</f>
        <v>2926308</v>
      </c>
      <c r="F13" s="24">
        <f t="shared" ref="F13:F22" si="1">IF(C13=0,0,E13/C13)</f>
        <v>0.15128115864828226</v>
      </c>
    </row>
    <row r="14" spans="1:8" ht="24" customHeight="1" x14ac:dyDescent="0.2">
      <c r="A14" s="21">
        <v>2</v>
      </c>
      <c r="B14" s="22" t="s">
        <v>17</v>
      </c>
      <c r="C14" s="23">
        <v>819938</v>
      </c>
      <c r="D14" s="23">
        <v>920291</v>
      </c>
      <c r="E14" s="23">
        <f t="shared" si="0"/>
        <v>100353</v>
      </c>
      <c r="F14" s="24">
        <f t="shared" si="1"/>
        <v>0.12239096126780317</v>
      </c>
    </row>
    <row r="15" spans="1:8" ht="35.1" customHeight="1" x14ac:dyDescent="0.2">
      <c r="A15" s="21">
        <v>3</v>
      </c>
      <c r="B15" s="22" t="s">
        <v>18</v>
      </c>
      <c r="C15" s="23">
        <v>34132488</v>
      </c>
      <c r="D15" s="23">
        <v>34332910</v>
      </c>
      <c r="E15" s="23">
        <f t="shared" si="0"/>
        <v>200422</v>
      </c>
      <c r="F15" s="24">
        <f t="shared" si="1"/>
        <v>5.8718837021198107E-3</v>
      </c>
    </row>
    <row r="16" spans="1:8" ht="35.1" customHeight="1" x14ac:dyDescent="0.2">
      <c r="A16" s="21">
        <v>4</v>
      </c>
      <c r="B16" s="22" t="s">
        <v>19</v>
      </c>
      <c r="C16" s="23">
        <v>573887</v>
      </c>
      <c r="D16" s="23">
        <v>582693</v>
      </c>
      <c r="E16" s="23">
        <f t="shared" si="0"/>
        <v>8806</v>
      </c>
      <c r="F16" s="24">
        <f t="shared" si="1"/>
        <v>1.5344484192881177E-2</v>
      </c>
    </row>
    <row r="17" spans="1:11" ht="24" customHeight="1" x14ac:dyDescent="0.2">
      <c r="A17" s="21">
        <v>5</v>
      </c>
      <c r="B17" s="22" t="s">
        <v>20</v>
      </c>
      <c r="C17" s="23">
        <v>1531902</v>
      </c>
      <c r="D17" s="23">
        <v>197863</v>
      </c>
      <c r="E17" s="23">
        <f t="shared" si="0"/>
        <v>-1334039</v>
      </c>
      <c r="F17" s="24">
        <f t="shared" si="1"/>
        <v>-0.87083834344494626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584339</v>
      </c>
      <c r="D19" s="23">
        <v>812360</v>
      </c>
      <c r="E19" s="23">
        <f t="shared" si="0"/>
        <v>228021</v>
      </c>
      <c r="F19" s="24">
        <f t="shared" si="1"/>
        <v>0.39022040288257331</v>
      </c>
    </row>
    <row r="20" spans="1:11" ht="24" customHeight="1" x14ac:dyDescent="0.2">
      <c r="A20" s="21">
        <v>8</v>
      </c>
      <c r="B20" s="22" t="s">
        <v>23</v>
      </c>
      <c r="C20" s="23">
        <v>1404755</v>
      </c>
      <c r="D20" s="23">
        <v>1423516</v>
      </c>
      <c r="E20" s="23">
        <f t="shared" si="0"/>
        <v>18761</v>
      </c>
      <c r="F20" s="24">
        <f t="shared" si="1"/>
        <v>1.3355353780552481E-2</v>
      </c>
    </row>
    <row r="21" spans="1:11" ht="24" customHeight="1" x14ac:dyDescent="0.2">
      <c r="A21" s="21">
        <v>9</v>
      </c>
      <c r="B21" s="22" t="s">
        <v>24</v>
      </c>
      <c r="C21" s="23">
        <v>145408</v>
      </c>
      <c r="D21" s="23">
        <v>0</v>
      </c>
      <c r="E21" s="23">
        <f t="shared" si="0"/>
        <v>-145408</v>
      </c>
      <c r="F21" s="24">
        <f t="shared" si="1"/>
        <v>-1</v>
      </c>
    </row>
    <row r="22" spans="1:11" ht="24" customHeight="1" x14ac:dyDescent="0.25">
      <c r="A22" s="25"/>
      <c r="B22" s="26" t="s">
        <v>25</v>
      </c>
      <c r="C22" s="27">
        <f>SUM(C13:C21)</f>
        <v>58536223</v>
      </c>
      <c r="D22" s="27">
        <f>SUM(D13:D21)</f>
        <v>60539447</v>
      </c>
      <c r="E22" s="27">
        <f t="shared" si="0"/>
        <v>2003224</v>
      </c>
      <c r="F22" s="28">
        <f t="shared" si="1"/>
        <v>3.4221955181495053E-2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37864978</v>
      </c>
      <c r="D25" s="23">
        <v>39561090</v>
      </c>
      <c r="E25" s="23">
        <f>D25-C25</f>
        <v>1696112</v>
      </c>
      <c r="F25" s="24">
        <f>IF(C25=0,0,E25/C25)</f>
        <v>4.479368771850336E-2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2055943</v>
      </c>
      <c r="D28" s="23">
        <v>2051129</v>
      </c>
      <c r="E28" s="23">
        <f>D28-C28</f>
        <v>-4814</v>
      </c>
      <c r="F28" s="24">
        <f>IF(C28=0,0,E28/C28)</f>
        <v>-2.3415046039700518E-3</v>
      </c>
    </row>
    <row r="29" spans="1:11" ht="35.1" customHeight="1" x14ac:dyDescent="0.25">
      <c r="A29" s="25"/>
      <c r="B29" s="26" t="s">
        <v>32</v>
      </c>
      <c r="C29" s="27">
        <f>SUM(C25:C28)</f>
        <v>39920921</v>
      </c>
      <c r="D29" s="27">
        <f>SUM(D25:D28)</f>
        <v>41612219</v>
      </c>
      <c r="E29" s="27">
        <f>D29-C29</f>
        <v>1691298</v>
      </c>
      <c r="F29" s="28">
        <f>IF(C29=0,0,E29/C29)</f>
        <v>4.2366206931949292E-2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30168049</v>
      </c>
      <c r="D32" s="23">
        <v>32295430</v>
      </c>
      <c r="E32" s="23">
        <f>D32-C32</f>
        <v>2127381</v>
      </c>
      <c r="F32" s="24">
        <f>IF(C32=0,0,E32/C32)</f>
        <v>7.051768578074108E-2</v>
      </c>
    </row>
    <row r="33" spans="1:8" ht="24" customHeight="1" x14ac:dyDescent="0.2">
      <c r="A33" s="21">
        <v>7</v>
      </c>
      <c r="B33" s="22" t="s">
        <v>35</v>
      </c>
      <c r="C33" s="23">
        <v>4587071</v>
      </c>
      <c r="D33" s="23">
        <v>4157120</v>
      </c>
      <c r="E33" s="23">
        <f>D33-C33</f>
        <v>-429951</v>
      </c>
      <c r="F33" s="24">
        <f>IF(C33=0,0,E33/C33)</f>
        <v>-9.373105408658379E-2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257885293</v>
      </c>
      <c r="D36" s="23">
        <v>259813818</v>
      </c>
      <c r="E36" s="23">
        <f>D36-C36</f>
        <v>1928525</v>
      </c>
      <c r="F36" s="24">
        <f>IF(C36=0,0,E36/C36)</f>
        <v>7.4782279267084839E-3</v>
      </c>
    </row>
    <row r="37" spans="1:8" ht="24" customHeight="1" x14ac:dyDescent="0.2">
      <c r="A37" s="21">
        <v>2</v>
      </c>
      <c r="B37" s="22" t="s">
        <v>39</v>
      </c>
      <c r="C37" s="23">
        <v>207922774</v>
      </c>
      <c r="D37" s="23">
        <v>215664310</v>
      </c>
      <c r="E37" s="23">
        <f>D37-C37</f>
        <v>7741536</v>
      </c>
      <c r="F37" s="23">
        <f>IF(C37=0,0,E37/C37)</f>
        <v>3.7232746808197166E-2</v>
      </c>
    </row>
    <row r="38" spans="1:8" ht="24" customHeight="1" x14ac:dyDescent="0.25">
      <c r="A38" s="25"/>
      <c r="B38" s="26" t="s">
        <v>40</v>
      </c>
      <c r="C38" s="27">
        <f>C36-C37</f>
        <v>49962519</v>
      </c>
      <c r="D38" s="27">
        <f>D36-D37</f>
        <v>44149508</v>
      </c>
      <c r="E38" s="27">
        <f>D38-C38</f>
        <v>-5813011</v>
      </c>
      <c r="F38" s="28">
        <f>IF(C38=0,0,E38/C38)</f>
        <v>-0.11634743636524812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134784</v>
      </c>
      <c r="D40" s="23">
        <v>1688586</v>
      </c>
      <c r="E40" s="23">
        <f>D40-C40</f>
        <v>1553802</v>
      </c>
      <c r="F40" s="24">
        <f>IF(C40=0,0,E40/C40)</f>
        <v>11.528089387464387</v>
      </c>
    </row>
    <row r="41" spans="1:8" ht="24" customHeight="1" x14ac:dyDescent="0.25">
      <c r="A41" s="25"/>
      <c r="B41" s="26" t="s">
        <v>42</v>
      </c>
      <c r="C41" s="27">
        <f>+C38+C40</f>
        <v>50097303</v>
      </c>
      <c r="D41" s="27">
        <f>+D38+D40</f>
        <v>45838094</v>
      </c>
      <c r="E41" s="27">
        <f>D41-C41</f>
        <v>-4259209</v>
      </c>
      <c r="F41" s="28">
        <f>IF(C41=0,0,E41/C41)</f>
        <v>-8.5018728453306158E-2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183309567</v>
      </c>
      <c r="D43" s="27">
        <f>D22+D29+D31+D32+D33+D41</f>
        <v>184442310</v>
      </c>
      <c r="E43" s="27">
        <f>D43-C43</f>
        <v>1132743</v>
      </c>
      <c r="F43" s="28">
        <f>IF(C43=0,0,E43/C43)</f>
        <v>6.1793992454305452E-3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25053002</v>
      </c>
      <c r="D49" s="23">
        <v>28749242</v>
      </c>
      <c r="E49" s="23">
        <f t="shared" ref="E49:E56" si="2">D49-C49</f>
        <v>3696240</v>
      </c>
      <c r="F49" s="24">
        <f t="shared" ref="F49:F56" si="3">IF(C49=0,0,E49/C49)</f>
        <v>0.147536810159517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0</v>
      </c>
      <c r="E50" s="23">
        <f t="shared" si="2"/>
        <v>0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1195037</v>
      </c>
      <c r="D51" s="23">
        <v>414546</v>
      </c>
      <c r="E51" s="23">
        <f t="shared" si="2"/>
        <v>-780491</v>
      </c>
      <c r="F51" s="24">
        <f t="shared" si="3"/>
        <v>-0.65311032210718167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10409</v>
      </c>
      <c r="E52" s="23">
        <f t="shared" si="2"/>
        <v>10409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865000</v>
      </c>
      <c r="D53" s="23">
        <v>910000</v>
      </c>
      <c r="E53" s="23">
        <f t="shared" si="2"/>
        <v>45000</v>
      </c>
      <c r="F53" s="24">
        <f t="shared" si="3"/>
        <v>5.2023121387283239E-2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442010</v>
      </c>
      <c r="D54" s="23">
        <v>502875</v>
      </c>
      <c r="E54" s="23">
        <f t="shared" si="2"/>
        <v>60865</v>
      </c>
      <c r="F54" s="24">
        <f t="shared" si="3"/>
        <v>0.13770050451347254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27555049</v>
      </c>
      <c r="D56" s="27">
        <f>SUM(D49:D55)</f>
        <v>30587072</v>
      </c>
      <c r="E56" s="27">
        <f t="shared" si="2"/>
        <v>3032023</v>
      </c>
      <c r="F56" s="28">
        <f t="shared" si="3"/>
        <v>0.11003511552456322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20547007</v>
      </c>
      <c r="D59" s="23">
        <v>19661864</v>
      </c>
      <c r="E59" s="23">
        <f>D59-C59</f>
        <v>-885143</v>
      </c>
      <c r="F59" s="24">
        <f>IF(C59=0,0,E59/C59)</f>
        <v>-4.3078926288388379E-2</v>
      </c>
    </row>
    <row r="60" spans="1:6" ht="24" customHeight="1" x14ac:dyDescent="0.2">
      <c r="A60" s="21">
        <v>2</v>
      </c>
      <c r="B60" s="22" t="s">
        <v>57</v>
      </c>
      <c r="C60" s="23">
        <v>634843</v>
      </c>
      <c r="D60" s="23">
        <v>736885</v>
      </c>
      <c r="E60" s="23">
        <f>D60-C60</f>
        <v>102042</v>
      </c>
      <c r="F60" s="24">
        <f>IF(C60=0,0,E60/C60)</f>
        <v>0.1607358039704305</v>
      </c>
    </row>
    <row r="61" spans="1:6" ht="24" customHeight="1" x14ac:dyDescent="0.25">
      <c r="A61" s="25"/>
      <c r="B61" s="26" t="s">
        <v>58</v>
      </c>
      <c r="C61" s="27">
        <f>SUM(C59:C60)</f>
        <v>21181850</v>
      </c>
      <c r="D61" s="27">
        <f>SUM(D59:D60)</f>
        <v>20398749</v>
      </c>
      <c r="E61" s="27">
        <f>D61-C61</f>
        <v>-783101</v>
      </c>
      <c r="F61" s="28">
        <f>IF(C61=0,0,E61/C61)</f>
        <v>-3.6970377941492362E-2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14365164</v>
      </c>
      <c r="D64" s="23">
        <v>14667421</v>
      </c>
      <c r="E64" s="23">
        <f>D64-C64</f>
        <v>302257</v>
      </c>
      <c r="F64" s="24">
        <f>IF(C64=0,0,E64/C64)</f>
        <v>2.1040971060267741E-2</v>
      </c>
    </row>
    <row r="65" spans="1:6" ht="24" customHeight="1" x14ac:dyDescent="0.25">
      <c r="A65" s="25"/>
      <c r="B65" s="26" t="s">
        <v>61</v>
      </c>
      <c r="C65" s="27">
        <f>SUM(C61:C64)</f>
        <v>35547014</v>
      </c>
      <c r="D65" s="27">
        <f>SUM(D61:D64)</f>
        <v>35066170</v>
      </c>
      <c r="E65" s="27">
        <f>D65-C65</f>
        <v>-480844</v>
      </c>
      <c r="F65" s="28">
        <f>IF(C65=0,0,E65/C65)</f>
        <v>-1.3526987105020974E-2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2530345</v>
      </c>
      <c r="D67" s="23">
        <v>2930053</v>
      </c>
      <c r="E67" s="23">
        <f>D67-C67</f>
        <v>399708</v>
      </c>
      <c r="F67" s="46">
        <f>IF(C67=0,0,E67/C67)</f>
        <v>0.1579658109862489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69255238</v>
      </c>
      <c r="D70" s="23">
        <v>65190041</v>
      </c>
      <c r="E70" s="23">
        <f>D70-C70</f>
        <v>-4065197</v>
      </c>
      <c r="F70" s="24">
        <f>IF(C70=0,0,E70/C70)</f>
        <v>-5.8698765860858065E-2</v>
      </c>
    </row>
    <row r="71" spans="1:6" ht="24" customHeight="1" x14ac:dyDescent="0.2">
      <c r="A71" s="21">
        <v>2</v>
      </c>
      <c r="B71" s="22" t="s">
        <v>65</v>
      </c>
      <c r="C71" s="23">
        <v>7764952</v>
      </c>
      <c r="D71" s="23">
        <v>8315873</v>
      </c>
      <c r="E71" s="23">
        <f>D71-C71</f>
        <v>550921</v>
      </c>
      <c r="F71" s="24">
        <f>IF(C71=0,0,E71/C71)</f>
        <v>7.0949698079266946E-2</v>
      </c>
    </row>
    <row r="72" spans="1:6" ht="24" customHeight="1" x14ac:dyDescent="0.2">
      <c r="A72" s="21">
        <v>3</v>
      </c>
      <c r="B72" s="22" t="s">
        <v>66</v>
      </c>
      <c r="C72" s="23">
        <v>40656969</v>
      </c>
      <c r="D72" s="23">
        <v>42353101</v>
      </c>
      <c r="E72" s="23">
        <f>D72-C72</f>
        <v>1696132</v>
      </c>
      <c r="F72" s="24">
        <f>IF(C72=0,0,E72/C72)</f>
        <v>4.1718112336411504E-2</v>
      </c>
    </row>
    <row r="73" spans="1:6" ht="24" customHeight="1" x14ac:dyDescent="0.25">
      <c r="A73" s="21"/>
      <c r="B73" s="26" t="s">
        <v>67</v>
      </c>
      <c r="C73" s="27">
        <f>SUM(C70:C72)</f>
        <v>117677159</v>
      </c>
      <c r="D73" s="27">
        <f>SUM(D70:D72)</f>
        <v>115859015</v>
      </c>
      <c r="E73" s="27">
        <f>D73-C73</f>
        <v>-1818144</v>
      </c>
      <c r="F73" s="28">
        <f>IF(C73=0,0,E73/C73)</f>
        <v>-1.5450271024982852E-2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183309567</v>
      </c>
      <c r="D75" s="27">
        <f>D56+D65+D67+D73</f>
        <v>184442310</v>
      </c>
      <c r="E75" s="27">
        <f>D75-C75</f>
        <v>1132743</v>
      </c>
      <c r="F75" s="28">
        <f>IF(C75=0,0,E75/C75)</f>
        <v>6.1793992454305452E-3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FILING&amp;RGREATER WATERBURY HEALTH NETWORK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activeCell="A8" sqref="A8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874444095</v>
      </c>
      <c r="D12" s="51">
        <v>872701324</v>
      </c>
      <c r="E12" s="51">
        <f t="shared" ref="E12:E19" si="0">D12-C12</f>
        <v>-1742771</v>
      </c>
      <c r="F12" s="70">
        <f t="shared" ref="F12:F19" si="1">IF(C12=0,0,E12/C12)</f>
        <v>-1.9930044813213587E-3</v>
      </c>
    </row>
    <row r="13" spans="1:8" ht="23.1" customHeight="1" x14ac:dyDescent="0.2">
      <c r="A13" s="25">
        <v>2</v>
      </c>
      <c r="B13" s="48" t="s">
        <v>72</v>
      </c>
      <c r="C13" s="51">
        <v>613049353</v>
      </c>
      <c r="D13" s="51">
        <v>609807896</v>
      </c>
      <c r="E13" s="51">
        <f t="shared" si="0"/>
        <v>-3241457</v>
      </c>
      <c r="F13" s="70">
        <f t="shared" si="1"/>
        <v>-5.2874323806683795E-3</v>
      </c>
    </row>
    <row r="14" spans="1:8" ht="23.1" customHeight="1" x14ac:dyDescent="0.2">
      <c r="A14" s="25">
        <v>3</v>
      </c>
      <c r="B14" s="48" t="s">
        <v>73</v>
      </c>
      <c r="C14" s="51">
        <v>3273671</v>
      </c>
      <c r="D14" s="51">
        <v>3081466</v>
      </c>
      <c r="E14" s="51">
        <f t="shared" si="0"/>
        <v>-192205</v>
      </c>
      <c r="F14" s="70">
        <f t="shared" si="1"/>
        <v>-5.8712375189809853E-2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258121071</v>
      </c>
      <c r="D16" s="27">
        <f>D12-D13-D14-D15</f>
        <v>259811962</v>
      </c>
      <c r="E16" s="27">
        <f t="shared" si="0"/>
        <v>1690891</v>
      </c>
      <c r="F16" s="28">
        <f t="shared" si="1"/>
        <v>6.5507670235879344E-3</v>
      </c>
    </row>
    <row r="17" spans="1:7" ht="23.1" customHeight="1" x14ac:dyDescent="0.2">
      <c r="A17" s="25">
        <v>5</v>
      </c>
      <c r="B17" s="48" t="s">
        <v>76</v>
      </c>
      <c r="C17" s="51">
        <v>13154938</v>
      </c>
      <c r="D17" s="51">
        <v>10548834</v>
      </c>
      <c r="E17" s="51">
        <f t="shared" si="0"/>
        <v>-2606104</v>
      </c>
      <c r="F17" s="70">
        <f t="shared" si="1"/>
        <v>-0.19810842133957607</v>
      </c>
      <c r="G17" s="64"/>
    </row>
    <row r="18" spans="1:7" ht="33" customHeight="1" x14ac:dyDescent="0.2">
      <c r="A18" s="25">
        <v>6</v>
      </c>
      <c r="B18" s="45" t="s">
        <v>77</v>
      </c>
      <c r="C18" s="51">
        <v>5108393</v>
      </c>
      <c r="D18" s="51">
        <v>5405414</v>
      </c>
      <c r="E18" s="51">
        <f t="shared" si="0"/>
        <v>297021</v>
      </c>
      <c r="F18" s="70">
        <f t="shared" si="1"/>
        <v>5.8143725433810592E-2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276384402</v>
      </c>
      <c r="D19" s="27">
        <f>SUM(D16:D18)</f>
        <v>275766210</v>
      </c>
      <c r="E19" s="27">
        <f t="shared" si="0"/>
        <v>-618192</v>
      </c>
      <c r="F19" s="28">
        <f t="shared" si="1"/>
        <v>-2.2367108835613667E-3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152082483</v>
      </c>
      <c r="D22" s="51">
        <v>158857461</v>
      </c>
      <c r="E22" s="51">
        <f t="shared" ref="E22:E31" si="2">D22-C22</f>
        <v>6774978</v>
      </c>
      <c r="F22" s="70">
        <f t="shared" ref="F22:F31" si="3">IF(C22=0,0,E22/C22)</f>
        <v>4.4548049626464872E-2</v>
      </c>
    </row>
    <row r="23" spans="1:7" ht="23.1" customHeight="1" x14ac:dyDescent="0.2">
      <c r="A23" s="25">
        <v>2</v>
      </c>
      <c r="B23" s="48" t="s">
        <v>81</v>
      </c>
      <c r="C23" s="51">
        <v>0</v>
      </c>
      <c r="D23" s="51">
        <v>0</v>
      </c>
      <c r="E23" s="51">
        <f t="shared" si="2"/>
        <v>0</v>
      </c>
      <c r="F23" s="70">
        <f t="shared" si="3"/>
        <v>0</v>
      </c>
    </row>
    <row r="24" spans="1:7" ht="23.1" customHeight="1" x14ac:dyDescent="0.2">
      <c r="A24" s="25">
        <v>3</v>
      </c>
      <c r="B24" s="48" t="s">
        <v>82</v>
      </c>
      <c r="C24" s="51">
        <v>0</v>
      </c>
      <c r="D24" s="51">
        <v>0</v>
      </c>
      <c r="E24" s="51">
        <f t="shared" si="2"/>
        <v>0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90618383</v>
      </c>
      <c r="D25" s="51">
        <v>90947561</v>
      </c>
      <c r="E25" s="51">
        <f t="shared" si="2"/>
        <v>329178</v>
      </c>
      <c r="F25" s="70">
        <f t="shared" si="3"/>
        <v>3.6325741985486545E-3</v>
      </c>
    </row>
    <row r="26" spans="1:7" ht="23.1" customHeight="1" x14ac:dyDescent="0.2">
      <c r="A26" s="25">
        <v>5</v>
      </c>
      <c r="B26" s="48" t="s">
        <v>84</v>
      </c>
      <c r="C26" s="51">
        <v>9919723</v>
      </c>
      <c r="D26" s="51">
        <v>9815349</v>
      </c>
      <c r="E26" s="51">
        <f t="shared" si="2"/>
        <v>-104374</v>
      </c>
      <c r="F26" s="70">
        <f t="shared" si="3"/>
        <v>-1.052186638679326E-2</v>
      </c>
    </row>
    <row r="27" spans="1:7" ht="23.1" customHeight="1" x14ac:dyDescent="0.2">
      <c r="A27" s="25">
        <v>6</v>
      </c>
      <c r="B27" s="48" t="s">
        <v>85</v>
      </c>
      <c r="C27" s="51">
        <v>14440795</v>
      </c>
      <c r="D27" s="51">
        <v>15713175</v>
      </c>
      <c r="E27" s="51">
        <f t="shared" si="2"/>
        <v>1272380</v>
      </c>
      <c r="F27" s="70">
        <f t="shared" si="3"/>
        <v>8.8110107511393934E-2</v>
      </c>
    </row>
    <row r="28" spans="1:7" ht="23.1" customHeight="1" x14ac:dyDescent="0.2">
      <c r="A28" s="25">
        <v>7</v>
      </c>
      <c r="B28" s="48" t="s">
        <v>86</v>
      </c>
      <c r="C28" s="51">
        <v>1607522</v>
      </c>
      <c r="D28" s="51">
        <v>1915699</v>
      </c>
      <c r="E28" s="51">
        <f t="shared" si="2"/>
        <v>308177</v>
      </c>
      <c r="F28" s="70">
        <f t="shared" si="3"/>
        <v>0.19170935141167586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0</v>
      </c>
      <c r="E29" s="51">
        <f t="shared" si="2"/>
        <v>0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12908481</v>
      </c>
      <c r="D30" s="51">
        <v>2695434</v>
      </c>
      <c r="E30" s="51">
        <f t="shared" si="2"/>
        <v>-10213047</v>
      </c>
      <c r="F30" s="70">
        <f t="shared" si="3"/>
        <v>-0.79118890905909067</v>
      </c>
    </row>
    <row r="31" spans="1:7" ht="23.1" customHeight="1" x14ac:dyDescent="0.25">
      <c r="A31" s="29"/>
      <c r="B31" s="71" t="s">
        <v>89</v>
      </c>
      <c r="C31" s="27">
        <f>SUM(C22:C30)</f>
        <v>281577387</v>
      </c>
      <c r="D31" s="27">
        <f>SUM(D22:D30)</f>
        <v>279944679</v>
      </c>
      <c r="E31" s="27">
        <f t="shared" si="2"/>
        <v>-1632708</v>
      </c>
      <c r="F31" s="28">
        <f t="shared" si="3"/>
        <v>-5.7984343749876476E-3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-5192985</v>
      </c>
      <c r="D33" s="27">
        <f>+D19-D31</f>
        <v>-4178469</v>
      </c>
      <c r="E33" s="27">
        <f>D33-C33</f>
        <v>1014516</v>
      </c>
      <c r="F33" s="28">
        <f>IF(C33=0,0,E33/C33)</f>
        <v>-0.19536278267701523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2668767</v>
      </c>
      <c r="D36" s="51">
        <v>1308292</v>
      </c>
      <c r="E36" s="51">
        <f>D36-C36</f>
        <v>-1360475</v>
      </c>
      <c r="F36" s="70">
        <f>IF(C36=0,0,E36/C36)</f>
        <v>-0.50977661219581927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-779918</v>
      </c>
      <c r="D38" s="51">
        <v>389113</v>
      </c>
      <c r="E38" s="51">
        <f>D38-C38</f>
        <v>1169031</v>
      </c>
      <c r="F38" s="70">
        <f>IF(C38=0,0,E38/C38)</f>
        <v>-1.4989152705797275</v>
      </c>
    </row>
    <row r="39" spans="1:6" ht="23.1" customHeight="1" x14ac:dyDescent="0.25">
      <c r="A39" s="20"/>
      <c r="B39" s="71" t="s">
        <v>95</v>
      </c>
      <c r="C39" s="27">
        <f>SUM(C36:C38)</f>
        <v>1888849</v>
      </c>
      <c r="D39" s="27">
        <f>SUM(D36:D38)</f>
        <v>1697405</v>
      </c>
      <c r="E39" s="27">
        <f>D39-C39</f>
        <v>-191444</v>
      </c>
      <c r="F39" s="28">
        <f>IF(C39=0,0,E39/C39)</f>
        <v>-0.10135484625822393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-3304136</v>
      </c>
      <c r="D41" s="27">
        <f>D33+D39</f>
        <v>-2481064</v>
      </c>
      <c r="E41" s="27">
        <f>D41-C41</f>
        <v>823072</v>
      </c>
      <c r="F41" s="28">
        <f>IF(C41=0,0,E41/C41)</f>
        <v>-0.24910354779585345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-3304136</v>
      </c>
      <c r="D48" s="27">
        <f>D41+D46</f>
        <v>-2481064</v>
      </c>
      <c r="E48" s="27">
        <f>D48-C48</f>
        <v>823072</v>
      </c>
      <c r="F48" s="28">
        <f>IF(C48=0,0,E48/C48)</f>
        <v>-0.24910354779585345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FILING&amp;R&amp;8GREATER WATERBURY HEALTH NETWORK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2007-12-14T18:49:33Z</cp:lastPrinted>
  <dcterms:created xsi:type="dcterms:W3CDTF">2006-08-03T13:49:12Z</dcterms:created>
  <dcterms:modified xsi:type="dcterms:W3CDTF">2011-08-08T16:49:14Z</dcterms:modified>
</cp:coreProperties>
</file>