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E101" i="22"/>
  <c r="E103" i="22" s="1"/>
  <c r="D83" i="22"/>
  <c r="D102" i="22"/>
  <c r="C83" i="22"/>
  <c r="C101" i="22" s="1"/>
  <c r="E76" i="22"/>
  <c r="D76" i="22"/>
  <c r="C76" i="22"/>
  <c r="E75" i="22"/>
  <c r="E77" i="22" s="1"/>
  <c r="E108" i="22" s="1"/>
  <c r="D75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4" i="22"/>
  <c r="C34" i="22"/>
  <c r="E28" i="22"/>
  <c r="D28" i="22"/>
  <c r="C28" i="22"/>
  <c r="E27" i="22"/>
  <c r="D27" i="22"/>
  <c r="C27" i="22"/>
  <c r="E23" i="22"/>
  <c r="E21" i="22"/>
  <c r="D21" i="22"/>
  <c r="C21" i="22"/>
  <c r="E12" i="22"/>
  <c r="E33" i="22"/>
  <c r="D12" i="22"/>
  <c r="D34" i="22" s="1"/>
  <c r="C12" i="22"/>
  <c r="C23" i="22" s="1"/>
  <c r="C33" i="22"/>
  <c r="D21" i="21"/>
  <c r="E21" i="21"/>
  <c r="C21" i="21"/>
  <c r="D19" i="21"/>
  <c r="E19" i="21"/>
  <c r="F19" i="21" s="1"/>
  <c r="C19" i="21"/>
  <c r="F17" i="21"/>
  <c r="E17" i="21"/>
  <c r="F15" i="21"/>
  <c r="E15" i="21"/>
  <c r="D45" i="20"/>
  <c r="E45" i="20"/>
  <c r="C45" i="20"/>
  <c r="D44" i="20"/>
  <c r="C44" i="20"/>
  <c r="D43" i="20"/>
  <c r="D46" i="20"/>
  <c r="C43" i="20"/>
  <c r="D36" i="20"/>
  <c r="D40" i="20" s="1"/>
  <c r="C36" i="20"/>
  <c r="F35" i="20"/>
  <c r="E35" i="20"/>
  <c r="E36" i="20" s="1"/>
  <c r="F34" i="20"/>
  <c r="E34" i="20"/>
  <c r="F33" i="20"/>
  <c r="E33" i="20"/>
  <c r="E30" i="20"/>
  <c r="F30" i="20" s="1"/>
  <c r="F29" i="20"/>
  <c r="E29" i="20"/>
  <c r="F28" i="20"/>
  <c r="E28" i="20"/>
  <c r="F27" i="20"/>
  <c r="E27" i="20"/>
  <c r="D25" i="20"/>
  <c r="D39" i="20"/>
  <c r="C25" i="20"/>
  <c r="C39" i="20" s="1"/>
  <c r="F24" i="20"/>
  <c r="E24" i="20"/>
  <c r="F23" i="20"/>
  <c r="E23" i="20"/>
  <c r="E22" i="20"/>
  <c r="E25" i="20" s="1"/>
  <c r="D19" i="20"/>
  <c r="D20" i="20" s="1"/>
  <c r="E20" i="20" s="1"/>
  <c r="C19" i="20"/>
  <c r="E18" i="20"/>
  <c r="F18" i="20" s="1"/>
  <c r="D16" i="20"/>
  <c r="E16" i="20" s="1"/>
  <c r="F16" i="20" s="1"/>
  <c r="C16" i="20"/>
  <c r="E15" i="20"/>
  <c r="F15" i="20" s="1"/>
  <c r="E13" i="20"/>
  <c r="F13" i="20" s="1"/>
  <c r="E12" i="20"/>
  <c r="F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4" i="19"/>
  <c r="C63" i="19"/>
  <c r="C65" i="19"/>
  <c r="C114" i="19" s="1"/>
  <c r="C116" i="19" s="1"/>
  <c r="C119" i="19" s="1"/>
  <c r="C123" i="19" s="1"/>
  <c r="C59" i="19"/>
  <c r="C60" i="19" s="1"/>
  <c r="C48" i="19"/>
  <c r="C49" i="19" s="1"/>
  <c r="C36" i="19"/>
  <c r="C32" i="19"/>
  <c r="C33" i="19" s="1"/>
  <c r="C21" i="19"/>
  <c r="C37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/>
  <c r="D320" i="18" s="1"/>
  <c r="E320" i="18" s="1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C292" i="18"/>
  <c r="E292" i="18"/>
  <c r="D291" i="18"/>
  <c r="E291" i="18"/>
  <c r="C291" i="18"/>
  <c r="D290" i="18"/>
  <c r="E290" i="18" s="1"/>
  <c r="C290" i="18"/>
  <c r="D288" i="18"/>
  <c r="C288" i="18"/>
  <c r="E288" i="18" s="1"/>
  <c r="D287" i="18"/>
  <c r="E287" i="18" s="1"/>
  <c r="C287" i="18"/>
  <c r="D282" i="18"/>
  <c r="E282" i="18" s="1"/>
  <c r="C282" i="18"/>
  <c r="D281" i="18"/>
  <c r="C281" i="18"/>
  <c r="D280" i="18"/>
  <c r="E280" i="18" s="1"/>
  <c r="C280" i="18"/>
  <c r="D279" i="18"/>
  <c r="C279" i="18"/>
  <c r="D278" i="18"/>
  <c r="C278" i="18"/>
  <c r="E278" i="18" s="1"/>
  <c r="D277" i="18"/>
  <c r="E277" i="18" s="1"/>
  <c r="C277" i="18"/>
  <c r="D276" i="18"/>
  <c r="C276" i="18"/>
  <c r="E276" i="18" s="1"/>
  <c r="E270" i="18"/>
  <c r="D265" i="18"/>
  <c r="D302" i="18" s="1"/>
  <c r="C265" i="18"/>
  <c r="C302" i="18"/>
  <c r="D262" i="18"/>
  <c r="C262" i="18"/>
  <c r="E262" i="18" s="1"/>
  <c r="D251" i="18"/>
  <c r="C251" i="18"/>
  <c r="D233" i="18"/>
  <c r="C233" i="18"/>
  <c r="D232" i="18"/>
  <c r="E232" i="18" s="1"/>
  <c r="C232" i="18"/>
  <c r="D231" i="18"/>
  <c r="C231" i="18"/>
  <c r="D230" i="18"/>
  <c r="E230" i="18" s="1"/>
  <c r="C230" i="18"/>
  <c r="D228" i="18"/>
  <c r="E228" i="18"/>
  <c r="C228" i="18"/>
  <c r="D227" i="18"/>
  <c r="E227" i="18" s="1"/>
  <c r="C227" i="18"/>
  <c r="D221" i="18"/>
  <c r="D245" i="18"/>
  <c r="C221" i="18"/>
  <c r="C245" i="18"/>
  <c r="D220" i="18"/>
  <c r="D244" i="18"/>
  <c r="C220" i="18"/>
  <c r="D219" i="18"/>
  <c r="D243" i="18"/>
  <c r="C219" i="18"/>
  <c r="C243" i="18"/>
  <c r="D218" i="18"/>
  <c r="D217" i="18" s="1"/>
  <c r="D242" i="18"/>
  <c r="C218" i="18"/>
  <c r="C242" i="18" s="1"/>
  <c r="D216" i="18"/>
  <c r="D240" i="18" s="1"/>
  <c r="C216" i="18"/>
  <c r="C240" i="18"/>
  <c r="D215" i="18"/>
  <c r="D239" i="18" s="1"/>
  <c r="E239" i="18" s="1"/>
  <c r="C215" i="18"/>
  <c r="C239" i="18" s="1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 s="1"/>
  <c r="C179" i="18"/>
  <c r="D178" i="18"/>
  <c r="E178" i="18"/>
  <c r="C178" i="18"/>
  <c r="D177" i="18"/>
  <c r="E177" i="18" s="1"/>
  <c r="C177" i="18"/>
  <c r="D176" i="18"/>
  <c r="E176" i="18" s="1"/>
  <c r="C176" i="18"/>
  <c r="D174" i="18"/>
  <c r="E174" i="18" s="1"/>
  <c r="C174" i="18"/>
  <c r="D173" i="18"/>
  <c r="C173" i="18"/>
  <c r="E173" i="18"/>
  <c r="D167" i="18"/>
  <c r="E167" i="18" s="1"/>
  <c r="C167" i="18"/>
  <c r="D166" i="18"/>
  <c r="E166" i="18" s="1"/>
  <c r="C166" i="18"/>
  <c r="D165" i="18"/>
  <c r="E165" i="18"/>
  <c r="C165" i="18"/>
  <c r="D164" i="18"/>
  <c r="C164" i="18"/>
  <c r="E164" i="18" s="1"/>
  <c r="D162" i="18"/>
  <c r="E162" i="18" s="1"/>
  <c r="C162" i="18"/>
  <c r="D161" i="18"/>
  <c r="E161" i="18" s="1"/>
  <c r="C161" i="18"/>
  <c r="D156" i="18"/>
  <c r="D157" i="18" s="1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D163" i="18" s="1"/>
  <c r="C139" i="18"/>
  <c r="E138" i="18"/>
  <c r="E137" i="18"/>
  <c r="D75" i="18"/>
  <c r="C75" i="18"/>
  <c r="E75" i="18"/>
  <c r="D74" i="18"/>
  <c r="E74" i="18"/>
  <c r="C74" i="18"/>
  <c r="D73" i="18"/>
  <c r="C73" i="18"/>
  <c r="D72" i="18"/>
  <c r="E72" i="18"/>
  <c r="C72" i="18"/>
  <c r="C71" i="18"/>
  <c r="D70" i="18"/>
  <c r="C70" i="18"/>
  <c r="C76" i="18" s="1"/>
  <c r="D69" i="18"/>
  <c r="C69" i="18"/>
  <c r="C65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 s="1"/>
  <c r="C40" i="18"/>
  <c r="D39" i="18"/>
  <c r="C39" i="18"/>
  <c r="E39" i="18"/>
  <c r="D38" i="18"/>
  <c r="C38" i="18"/>
  <c r="E38" i="18" s="1"/>
  <c r="D37" i="18"/>
  <c r="D43" i="18" s="1"/>
  <c r="C37" i="18"/>
  <c r="D36" i="18"/>
  <c r="D44" i="18"/>
  <c r="C36" i="18"/>
  <c r="D32" i="18"/>
  <c r="D33" i="18"/>
  <c r="C32" i="18"/>
  <c r="C33" i="18" s="1"/>
  <c r="E31" i="18"/>
  <c r="E30" i="18"/>
  <c r="E29" i="18"/>
  <c r="E28" i="18"/>
  <c r="E27" i="18"/>
  <c r="E26" i="18"/>
  <c r="E25" i="18"/>
  <c r="D21" i="18"/>
  <c r="D22" i="18" s="1"/>
  <c r="C21" i="18"/>
  <c r="C283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C311" i="17"/>
  <c r="F311" i="17" s="1"/>
  <c r="E308" i="17"/>
  <c r="F308" i="17"/>
  <c r="D307" i="17"/>
  <c r="E307" i="17" s="1"/>
  <c r="C307" i="17"/>
  <c r="F307" i="17" s="1"/>
  <c r="D299" i="17"/>
  <c r="C299" i="17"/>
  <c r="D298" i="17"/>
  <c r="C298" i="17"/>
  <c r="D297" i="17"/>
  <c r="E297" i="17" s="1"/>
  <c r="C297" i="17"/>
  <c r="D296" i="17"/>
  <c r="C296" i="17"/>
  <c r="D295" i="17"/>
  <c r="C295" i="17"/>
  <c r="D294" i="17"/>
  <c r="C294" i="17"/>
  <c r="D250" i="17"/>
  <c r="D306" i="17" s="1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C239" i="17" s="1"/>
  <c r="D237" i="17"/>
  <c r="C237" i="17"/>
  <c r="E234" i="17"/>
  <c r="F234" i="17"/>
  <c r="E233" i="17"/>
  <c r="F233" i="17"/>
  <c r="D230" i="17"/>
  <c r="E230" i="17" s="1"/>
  <c r="F230" i="17" s="1"/>
  <c r="C230" i="17"/>
  <c r="D229" i="17"/>
  <c r="C229" i="17"/>
  <c r="E228" i="17"/>
  <c r="F228" i="17"/>
  <c r="D226" i="17"/>
  <c r="D227" i="17"/>
  <c r="E227" i="17"/>
  <c r="F227" i="17" s="1"/>
  <c r="C226" i="17"/>
  <c r="C227" i="17"/>
  <c r="E225" i="17"/>
  <c r="F225" i="17" s="1"/>
  <c r="E224" i="17"/>
  <c r="F224" i="17" s="1"/>
  <c r="D223" i="17"/>
  <c r="C223" i="17"/>
  <c r="E222" i="17"/>
  <c r="F222" i="17"/>
  <c r="E221" i="17"/>
  <c r="F221" i="17" s="1"/>
  <c r="D204" i="17"/>
  <c r="D215" i="17" s="1"/>
  <c r="C204" i="17"/>
  <c r="C285" i="17"/>
  <c r="D203" i="17"/>
  <c r="C203" i="17"/>
  <c r="C283" i="17"/>
  <c r="D198" i="17"/>
  <c r="C198" i="17"/>
  <c r="C290" i="17"/>
  <c r="D191" i="17"/>
  <c r="D280" i="17"/>
  <c r="C191" i="17"/>
  <c r="D189" i="17"/>
  <c r="D278" i="17"/>
  <c r="C189" i="17"/>
  <c r="D188" i="17"/>
  <c r="C188" i="17"/>
  <c r="D180" i="17"/>
  <c r="C180" i="17"/>
  <c r="C181" i="17" s="1"/>
  <c r="D179" i="17"/>
  <c r="C179" i="17"/>
  <c r="D171" i="17"/>
  <c r="D172" i="17"/>
  <c r="C171" i="17"/>
  <c r="C172" i="17" s="1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C158" i="17"/>
  <c r="C159" i="17" s="1"/>
  <c r="E157" i="17"/>
  <c r="F157" i="17"/>
  <c r="E156" i="17"/>
  <c r="F156" i="17"/>
  <c r="D155" i="17"/>
  <c r="C155" i="17"/>
  <c r="E154" i="17"/>
  <c r="F154" i="17" s="1"/>
  <c r="E153" i="17"/>
  <c r="F153" i="17"/>
  <c r="D145" i="17"/>
  <c r="C145" i="17"/>
  <c r="D144" i="17"/>
  <c r="D146" i="17"/>
  <c r="C144" i="17"/>
  <c r="D136" i="17"/>
  <c r="D137" i="17"/>
  <c r="C136" i="17"/>
  <c r="C137" i="17"/>
  <c r="D135" i="17"/>
  <c r="C135" i="17"/>
  <c r="E134" i="17"/>
  <c r="F134" i="17" s="1"/>
  <c r="E133" i="17"/>
  <c r="F133" i="17"/>
  <c r="D130" i="17"/>
  <c r="C130" i="17"/>
  <c r="D129" i="17"/>
  <c r="C129" i="17"/>
  <c r="E128" i="17"/>
  <c r="F128" i="17" s="1"/>
  <c r="D123" i="17"/>
  <c r="C123" i="17"/>
  <c r="C193" i="17" s="1"/>
  <c r="E122" i="17"/>
  <c r="F122" i="17" s="1"/>
  <c r="E121" i="17"/>
  <c r="F121" i="17"/>
  <c r="D120" i="17"/>
  <c r="C120" i="17"/>
  <c r="E119" i="17"/>
  <c r="F119" i="17" s="1"/>
  <c r="E118" i="17"/>
  <c r="F118" i="17" s="1"/>
  <c r="D110" i="17"/>
  <c r="D111" i="17" s="1"/>
  <c r="C110" i="17"/>
  <c r="E110" i="17" s="1"/>
  <c r="D109" i="17"/>
  <c r="C109" i="17"/>
  <c r="C111" i="17"/>
  <c r="D101" i="17"/>
  <c r="D102" i="17"/>
  <c r="C101" i="17"/>
  <c r="C102" i="17" s="1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C89" i="17" s="1"/>
  <c r="E87" i="17"/>
  <c r="F87" i="17"/>
  <c r="E86" i="17"/>
  <c r="F86" i="17"/>
  <c r="D85" i="17"/>
  <c r="C85" i="17"/>
  <c r="E84" i="17"/>
  <c r="F84" i="17" s="1"/>
  <c r="E83" i="17"/>
  <c r="F83" i="17"/>
  <c r="D76" i="17"/>
  <c r="D77" i="17"/>
  <c r="C76" i="17"/>
  <c r="C77" i="17"/>
  <c r="F74" i="17"/>
  <c r="E74" i="17"/>
  <c r="E73" i="17"/>
  <c r="F73" i="17" s="1"/>
  <c r="D67" i="17"/>
  <c r="C67" i="17"/>
  <c r="D66" i="17"/>
  <c r="D68" i="17" s="1"/>
  <c r="C66" i="17"/>
  <c r="D59" i="17"/>
  <c r="D60" i="17"/>
  <c r="C59" i="17"/>
  <c r="C60" i="17"/>
  <c r="D58" i="17"/>
  <c r="E58" i="17" s="1"/>
  <c r="C58" i="17"/>
  <c r="F58" i="17" s="1"/>
  <c r="E57" i="17"/>
  <c r="F57" i="17"/>
  <c r="E56" i="17"/>
  <c r="F56" i="17"/>
  <c r="D53" i="17"/>
  <c r="E53" i="17" s="1"/>
  <c r="C53" i="17"/>
  <c r="F53" i="17" s="1"/>
  <c r="D52" i="17"/>
  <c r="E52" i="17"/>
  <c r="C52" i="17"/>
  <c r="E51" i="17"/>
  <c r="F51" i="17" s="1"/>
  <c r="D47" i="17"/>
  <c r="D48" i="17"/>
  <c r="C47" i="17"/>
  <c r="C48" i="17"/>
  <c r="E46" i="17"/>
  <c r="F46" i="17"/>
  <c r="E45" i="17"/>
  <c r="F45" i="17" s="1"/>
  <c r="D44" i="17"/>
  <c r="C44" i="17"/>
  <c r="E43" i="17"/>
  <c r="F43" i="17"/>
  <c r="E42" i="17"/>
  <c r="F42" i="17" s="1"/>
  <c r="D36" i="17"/>
  <c r="C36" i="17"/>
  <c r="D35" i="17"/>
  <c r="D37" i="17"/>
  <c r="C35" i="17"/>
  <c r="D30" i="17"/>
  <c r="D31" i="17"/>
  <c r="C30" i="17"/>
  <c r="C31" i="17" s="1"/>
  <c r="D29" i="17"/>
  <c r="E29" i="17" s="1"/>
  <c r="F29" i="17"/>
  <c r="C29" i="17"/>
  <c r="E28" i="17"/>
  <c r="F28" i="17"/>
  <c r="E27" i="17"/>
  <c r="F27" i="17" s="1"/>
  <c r="D24" i="17"/>
  <c r="C24" i="17"/>
  <c r="D23" i="17"/>
  <c r="C23" i="17"/>
  <c r="E23" i="17" s="1"/>
  <c r="E22" i="17"/>
  <c r="F22" i="17" s="1"/>
  <c r="D20" i="17"/>
  <c r="E20" i="17" s="1"/>
  <c r="C20" i="17"/>
  <c r="E19" i="17"/>
  <c r="F19" i="17" s="1"/>
  <c r="E18" i="17"/>
  <c r="F18" i="17" s="1"/>
  <c r="D17" i="17"/>
  <c r="E17" i="17" s="1"/>
  <c r="C17" i="17"/>
  <c r="E16" i="17"/>
  <c r="F16" i="17" s="1"/>
  <c r="F15" i="17"/>
  <c r="E15" i="17"/>
  <c r="D23" i="16"/>
  <c r="E23" i="16" s="1"/>
  <c r="C23" i="16"/>
  <c r="F23" i="16" s="1"/>
  <c r="F22" i="16"/>
  <c r="E22" i="16"/>
  <c r="D19" i="16"/>
  <c r="E19" i="16" s="1"/>
  <c r="C19" i="16"/>
  <c r="F19" i="16" s="1"/>
  <c r="E18" i="16"/>
  <c r="F18" i="16" s="1"/>
  <c r="F17" i="16"/>
  <c r="E17" i="16"/>
  <c r="D14" i="16"/>
  <c r="C14" i="16"/>
  <c r="E13" i="16"/>
  <c r="F13" i="16" s="1"/>
  <c r="F12" i="16"/>
  <c r="E12" i="16"/>
  <c r="D107" i="15"/>
  <c r="C107" i="15"/>
  <c r="E106" i="15"/>
  <c r="F106" i="15"/>
  <c r="E105" i="15"/>
  <c r="F105" i="15"/>
  <c r="E104" i="15"/>
  <c r="F104" i="15" s="1"/>
  <c r="D100" i="15"/>
  <c r="C100" i="15"/>
  <c r="E99" i="15"/>
  <c r="F99" i="15" s="1"/>
  <c r="E98" i="15"/>
  <c r="F98" i="15"/>
  <c r="E97" i="15"/>
  <c r="F97" i="15" s="1"/>
  <c r="E96" i="15"/>
  <c r="F96" i="15" s="1"/>
  <c r="E95" i="15"/>
  <c r="F95" i="15" s="1"/>
  <c r="D92" i="15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E82" i="15"/>
  <c r="F82" i="15" s="1"/>
  <c r="F81" i="15"/>
  <c r="E81" i="15"/>
  <c r="F80" i="15"/>
  <c r="E80" i="15"/>
  <c r="F79" i="15"/>
  <c r="E79" i="15"/>
  <c r="D75" i="15"/>
  <c r="C75" i="15"/>
  <c r="E74" i="15"/>
  <c r="F74" i="15"/>
  <c r="E73" i="15"/>
  <c r="F73" i="15"/>
  <c r="D70" i="15"/>
  <c r="C70" i="15"/>
  <c r="E69" i="15"/>
  <c r="F69" i="15" s="1"/>
  <c r="E68" i="15"/>
  <c r="F68" i="15" s="1"/>
  <c r="D65" i="15"/>
  <c r="C65" i="15"/>
  <c r="E64" i="15"/>
  <c r="F64" i="15" s="1"/>
  <c r="E63" i="15"/>
  <c r="F63" i="15" s="1"/>
  <c r="D60" i="15"/>
  <c r="C60" i="15"/>
  <c r="E59" i="15"/>
  <c r="F59" i="15"/>
  <c r="E58" i="15"/>
  <c r="F58" i="15" s="1"/>
  <c r="D55" i="15"/>
  <c r="C55" i="15"/>
  <c r="E54" i="15"/>
  <c r="F54" i="15" s="1"/>
  <c r="E53" i="15"/>
  <c r="F53" i="15"/>
  <c r="D50" i="15"/>
  <c r="C50" i="15"/>
  <c r="E49" i="15"/>
  <c r="F49" i="15" s="1"/>
  <c r="E48" i="15"/>
  <c r="F48" i="15"/>
  <c r="D45" i="15"/>
  <c r="C45" i="15"/>
  <c r="E44" i="15"/>
  <c r="F44" i="15" s="1"/>
  <c r="E43" i="15"/>
  <c r="F43" i="15" s="1"/>
  <c r="D37" i="15"/>
  <c r="C37" i="15"/>
  <c r="F36" i="15"/>
  <c r="E36" i="15"/>
  <c r="F35" i="15"/>
  <c r="E35" i="15"/>
  <c r="E34" i="15"/>
  <c r="F34" i="15" s="1"/>
  <c r="F33" i="15"/>
  <c r="E33" i="15"/>
  <c r="D30" i="15"/>
  <c r="C30" i="15"/>
  <c r="F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/>
  <c r="E19" i="15"/>
  <c r="F19" i="15"/>
  <c r="D16" i="15"/>
  <c r="C16" i="15"/>
  <c r="F15" i="15"/>
  <c r="E15" i="15"/>
  <c r="E14" i="15"/>
  <c r="F14" i="15"/>
  <c r="E13" i="15"/>
  <c r="F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 s="1"/>
  <c r="E17" i="14"/>
  <c r="E31" i="14"/>
  <c r="D17" i="14"/>
  <c r="D33" i="14"/>
  <c r="D36" i="14" s="1"/>
  <c r="D38" i="14" s="1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D77" i="13" s="1"/>
  <c r="C79" i="13"/>
  <c r="C80" i="13" s="1"/>
  <c r="C77" i="13" s="1"/>
  <c r="E78" i="13"/>
  <c r="E80" i="13"/>
  <c r="E77" i="13"/>
  <c r="D78" i="13"/>
  <c r="C78" i="13"/>
  <c r="E75" i="13"/>
  <c r="C75" i="13"/>
  <c r="E73" i="13"/>
  <c r="D73" i="13"/>
  <c r="D75" i="13"/>
  <c r="C73" i="13"/>
  <c r="E71" i="13"/>
  <c r="D71" i="13"/>
  <c r="C71" i="13"/>
  <c r="E66" i="13"/>
  <c r="E65" i="13" s="1"/>
  <c r="D66" i="13"/>
  <c r="C66" i="13"/>
  <c r="D65" i="13"/>
  <c r="C65" i="13"/>
  <c r="E60" i="13"/>
  <c r="D60" i="13"/>
  <c r="D61" i="13" s="1"/>
  <c r="D57" i="13" s="1"/>
  <c r="C60" i="13"/>
  <c r="E58" i="13"/>
  <c r="D58" i="13"/>
  <c r="C58" i="13"/>
  <c r="E55" i="13"/>
  <c r="E50" i="13" s="1"/>
  <c r="D55" i="13"/>
  <c r="D50" i="13" s="1"/>
  <c r="C55" i="13"/>
  <c r="E54" i="13"/>
  <c r="D54" i="13"/>
  <c r="C54" i="13"/>
  <c r="C50" i="13"/>
  <c r="E46" i="13"/>
  <c r="E59" i="13" s="1"/>
  <c r="E61" i="13"/>
  <c r="E57" i="13"/>
  <c r="D46" i="13"/>
  <c r="D59" i="13"/>
  <c r="C46" i="13"/>
  <c r="C59" i="13" s="1"/>
  <c r="C61" i="13" s="1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/>
  <c r="E27" i="13"/>
  <c r="D13" i="13"/>
  <c r="D25" i="13"/>
  <c r="D27" i="13"/>
  <c r="C13" i="13"/>
  <c r="C25" i="13"/>
  <c r="C27" i="13" s="1"/>
  <c r="D47" i="12"/>
  <c r="E47" i="12" s="1"/>
  <c r="C47" i="12"/>
  <c r="F46" i="12"/>
  <c r="E46" i="12"/>
  <c r="F45" i="12"/>
  <c r="E45" i="12"/>
  <c r="D40" i="12"/>
  <c r="E40" i="12"/>
  <c r="C40" i="12"/>
  <c r="F39" i="12"/>
  <c r="E39" i="12"/>
  <c r="F38" i="12"/>
  <c r="E38" i="12"/>
  <c r="E37" i="12"/>
  <c r="F37" i="12" s="1"/>
  <c r="D32" i="12"/>
  <c r="C32" i="12"/>
  <c r="E32" i="12" s="1"/>
  <c r="F31" i="12"/>
  <c r="E31" i="12"/>
  <c r="E30" i="12"/>
  <c r="F30" i="12" s="1"/>
  <c r="E29" i="12"/>
  <c r="F29" i="12" s="1"/>
  <c r="E28" i="12"/>
  <c r="F28" i="12" s="1"/>
  <c r="F27" i="12"/>
  <c r="E27" i="12"/>
  <c r="F26" i="12"/>
  <c r="E26" i="12"/>
  <c r="E25" i="12"/>
  <c r="F25" i="12" s="1"/>
  <c r="E24" i="12"/>
  <c r="F24" i="12" s="1"/>
  <c r="F23" i="12"/>
  <c r="E23" i="12"/>
  <c r="F19" i="12"/>
  <c r="E19" i="12"/>
  <c r="E18" i="12"/>
  <c r="F18" i="12" s="1"/>
  <c r="F16" i="12"/>
  <c r="E16" i="12"/>
  <c r="D15" i="12"/>
  <c r="D17" i="12" s="1"/>
  <c r="D20" i="12" s="1"/>
  <c r="C15" i="12"/>
  <c r="C17" i="12"/>
  <c r="E14" i="12"/>
  <c r="F14" i="12" s="1"/>
  <c r="E13" i="12"/>
  <c r="F13" i="12" s="1"/>
  <c r="F12" i="12"/>
  <c r="E12" i="12"/>
  <c r="E11" i="12"/>
  <c r="F11" i="12" s="1"/>
  <c r="D73" i="11"/>
  <c r="C73" i="11"/>
  <c r="E73" i="11" s="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C65" i="11" s="1"/>
  <c r="F60" i="11"/>
  <c r="E60" i="11"/>
  <c r="E59" i="11"/>
  <c r="F59" i="11" s="1"/>
  <c r="D56" i="11"/>
  <c r="C56" i="11"/>
  <c r="C75" i="11"/>
  <c r="E55" i="11"/>
  <c r="F55" i="11" s="1"/>
  <c r="F54" i="11"/>
  <c r="E54" i="11"/>
  <c r="E53" i="11"/>
  <c r="F53" i="11" s="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D41" i="11"/>
  <c r="C38" i="11"/>
  <c r="C41" i="11"/>
  <c r="F37" i="11"/>
  <c r="E37" i="11"/>
  <c r="E36" i="11"/>
  <c r="F36" i="11" s="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D43" i="11"/>
  <c r="C22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F14" i="11"/>
  <c r="E14" i="11"/>
  <c r="E13" i="11"/>
  <c r="F13" i="11" s="1"/>
  <c r="D120" i="10"/>
  <c r="C120" i="10"/>
  <c r="D119" i="10"/>
  <c r="E119" i="10" s="1"/>
  <c r="C119" i="10"/>
  <c r="F119" i="10" s="1"/>
  <c r="D118" i="10"/>
  <c r="C118" i="10"/>
  <c r="D117" i="10"/>
  <c r="E117" i="10" s="1"/>
  <c r="C117" i="10"/>
  <c r="D116" i="10"/>
  <c r="C116" i="10"/>
  <c r="D115" i="10"/>
  <c r="E115" i="10" s="1"/>
  <c r="C115" i="10"/>
  <c r="D114" i="10"/>
  <c r="E114" i="10"/>
  <c r="C114" i="10"/>
  <c r="D113" i="10"/>
  <c r="C113" i="10"/>
  <c r="C122" i="10"/>
  <c r="D112" i="10"/>
  <c r="D121" i="10" s="1"/>
  <c r="C112" i="10"/>
  <c r="D108" i="10"/>
  <c r="C108" i="10"/>
  <c r="D107" i="10"/>
  <c r="E107" i="10"/>
  <c r="F107" i="10"/>
  <c r="C107" i="10"/>
  <c r="E106" i="10"/>
  <c r="F106" i="10" s="1"/>
  <c r="E105" i="10"/>
  <c r="F105" i="10" s="1"/>
  <c r="E104" i="10"/>
  <c r="F104" i="10" s="1"/>
  <c r="F103" i="10"/>
  <c r="E103" i="10"/>
  <c r="E102" i="10"/>
  <c r="F102" i="10" s="1"/>
  <c r="E101" i="10"/>
  <c r="F101" i="10" s="1"/>
  <c r="E100" i="10"/>
  <c r="F100" i="10" s="1"/>
  <c r="F99" i="10"/>
  <c r="E99" i="10"/>
  <c r="E98" i="10"/>
  <c r="F98" i="10" s="1"/>
  <c r="D96" i="10"/>
  <c r="E96" i="10"/>
  <c r="C96" i="10"/>
  <c r="D95" i="10"/>
  <c r="E95" i="10" s="1"/>
  <c r="C95" i="10"/>
  <c r="F95" i="10" s="1"/>
  <c r="E94" i="10"/>
  <c r="F94" i="10" s="1"/>
  <c r="E93" i="10"/>
  <c r="F93" i="10" s="1"/>
  <c r="F92" i="10"/>
  <c r="E92" i="10"/>
  <c r="E91" i="10"/>
  <c r="F91" i="10" s="1"/>
  <c r="E90" i="10"/>
  <c r="F90" i="10" s="1"/>
  <c r="E89" i="10"/>
  <c r="F89" i="10" s="1"/>
  <c r="F88" i="10"/>
  <c r="E88" i="10"/>
  <c r="E87" i="10"/>
  <c r="F87" i="10" s="1"/>
  <c r="E86" i="10"/>
  <c r="F86" i="10" s="1"/>
  <c r="D84" i="10"/>
  <c r="E84" i="10"/>
  <c r="F84" i="10" s="1"/>
  <c r="C84" i="10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E76" i="10"/>
  <c r="F76" i="10" s="1"/>
  <c r="F75" i="10"/>
  <c r="E75" i="10"/>
  <c r="F74" i="10"/>
  <c r="E74" i="10"/>
  <c r="F72" i="10"/>
  <c r="D72" i="10"/>
  <c r="C72" i="10"/>
  <c r="E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E59" i="10"/>
  <c r="F59" i="10" s="1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E52" i="10"/>
  <c r="F52" i="10" s="1"/>
  <c r="F51" i="10"/>
  <c r="E51" i="10"/>
  <c r="E50" i="10"/>
  <c r="F50" i="10" s="1"/>
  <c r="F48" i="10"/>
  <c r="D48" i="10"/>
  <c r="C48" i="10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/>
  <c r="C36" i="10"/>
  <c r="D35" i="10"/>
  <c r="E35" i="10"/>
  <c r="C35" i="10"/>
  <c r="E34" i="10"/>
  <c r="F34" i="10" s="1"/>
  <c r="F33" i="10"/>
  <c r="E33" i="10"/>
  <c r="E32" i="10"/>
  <c r="F32" i="10" s="1"/>
  <c r="E31" i="10"/>
  <c r="F31" i="10" s="1"/>
  <c r="E30" i="10"/>
  <c r="F30" i="10" s="1"/>
  <c r="F29" i="10"/>
  <c r="E29" i="10"/>
  <c r="E28" i="10"/>
  <c r="F28" i="10" s="1"/>
  <c r="E27" i="10"/>
  <c r="F27" i="10" s="1"/>
  <c r="E26" i="10"/>
  <c r="F26" i="10" s="1"/>
  <c r="D24" i="10"/>
  <c r="C24" i="10"/>
  <c r="E24" i="10" s="1"/>
  <c r="F23" i="10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E206" i="9" s="1"/>
  <c r="D205" i="9"/>
  <c r="E205" i="9" s="1"/>
  <c r="C205" i="9"/>
  <c r="D204" i="9"/>
  <c r="C204" i="9"/>
  <c r="D203" i="9"/>
  <c r="E203" i="9"/>
  <c r="C203" i="9"/>
  <c r="D202" i="9"/>
  <c r="E202" i="9" s="1"/>
  <c r="C202" i="9"/>
  <c r="D201" i="9"/>
  <c r="E201" i="9" s="1"/>
  <c r="C201" i="9"/>
  <c r="D200" i="9"/>
  <c r="C200" i="9"/>
  <c r="D199" i="9"/>
  <c r="D208" i="9"/>
  <c r="C199" i="9"/>
  <c r="C208" i="9" s="1"/>
  <c r="D198" i="9"/>
  <c r="C198" i="9"/>
  <c r="D193" i="9"/>
  <c r="E193" i="9"/>
  <c r="F193" i="9" s="1"/>
  <c r="C193" i="9"/>
  <c r="D192" i="9"/>
  <c r="C192" i="9"/>
  <c r="E191" i="9"/>
  <c r="F191" i="9" s="1"/>
  <c r="F190" i="9"/>
  <c r="E190" i="9"/>
  <c r="E189" i="9"/>
  <c r="F189" i="9" s="1"/>
  <c r="E188" i="9"/>
  <c r="F188" i="9" s="1"/>
  <c r="E187" i="9"/>
  <c r="F187" i="9" s="1"/>
  <c r="F186" i="9"/>
  <c r="E186" i="9"/>
  <c r="E185" i="9"/>
  <c r="F185" i="9" s="1"/>
  <c r="F184" i="9"/>
  <c r="E184" i="9"/>
  <c r="E183" i="9"/>
  <c r="F183" i="9" s="1"/>
  <c r="D180" i="9"/>
  <c r="C180" i="9"/>
  <c r="D179" i="9"/>
  <c r="E179" i="9" s="1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 s="1"/>
  <c r="C140" i="9"/>
  <c r="E139" i="9"/>
  <c r="F139" i="9" s="1"/>
  <c r="F138" i="9"/>
  <c r="E138" i="9"/>
  <c r="E137" i="9"/>
  <c r="F137" i="9" s="1"/>
  <c r="F136" i="9"/>
  <c r="E136" i="9"/>
  <c r="E135" i="9"/>
  <c r="F135" i="9" s="1"/>
  <c r="F134" i="9"/>
  <c r="E134" i="9"/>
  <c r="F133" i="9"/>
  <c r="E133" i="9"/>
  <c r="E132" i="9"/>
  <c r="F132" i="9" s="1"/>
  <c r="E131" i="9"/>
  <c r="F131" i="9" s="1"/>
  <c r="D128" i="9"/>
  <c r="C128" i="9"/>
  <c r="D127" i="9"/>
  <c r="C127" i="9"/>
  <c r="F126" i="9"/>
  <c r="E126" i="9"/>
  <c r="E125" i="9"/>
  <c r="F125" i="9" s="1"/>
  <c r="F124" i="9"/>
  <c r="E124" i="9"/>
  <c r="E123" i="9"/>
  <c r="F123" i="9" s="1"/>
  <c r="F122" i="9"/>
  <c r="E122" i="9"/>
  <c r="E121" i="9"/>
  <c r="F121" i="9" s="1"/>
  <c r="E120" i="9"/>
  <c r="F120" i="9" s="1"/>
  <c r="E119" i="9"/>
  <c r="F119" i="9" s="1"/>
  <c r="F118" i="9"/>
  <c r="E118" i="9"/>
  <c r="D115" i="9"/>
  <c r="E115" i="9" s="1"/>
  <c r="C115" i="9"/>
  <c r="D114" i="9"/>
  <c r="C114" i="9"/>
  <c r="F113" i="9"/>
  <c r="E113" i="9"/>
  <c r="E112" i="9"/>
  <c r="F112" i="9" s="1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F102" i="9" s="1"/>
  <c r="C102" i="9"/>
  <c r="D101" i="9"/>
  <c r="E101" i="9"/>
  <c r="F101" i="9" s="1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D88" i="9"/>
  <c r="E88" i="9" s="1"/>
  <c r="F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 s="1"/>
  <c r="C76" i="9"/>
  <c r="D75" i="9"/>
  <c r="E75" i="9" s="1"/>
  <c r="F75" i="9" s="1"/>
  <c r="C75" i="9"/>
  <c r="E74" i="9"/>
  <c r="F74" i="9" s="1"/>
  <c r="F73" i="9"/>
  <c r="E73" i="9"/>
  <c r="F72" i="9"/>
  <c r="E72" i="9"/>
  <c r="F71" i="9"/>
  <c r="E71" i="9"/>
  <c r="E70" i="9"/>
  <c r="F70" i="9" s="1"/>
  <c r="F69" i="9"/>
  <c r="E69" i="9"/>
  <c r="F68" i="9"/>
  <c r="E68" i="9"/>
  <c r="F67" i="9"/>
  <c r="E67" i="9"/>
  <c r="E66" i="9"/>
  <c r="F66" i="9" s="1"/>
  <c r="D63" i="9"/>
  <c r="E63" i="9"/>
  <c r="C63" i="9"/>
  <c r="F63" i="9" s="1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/>
  <c r="F49" i="9" s="1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C37" i="9"/>
  <c r="D36" i="9"/>
  <c r="E36" i="9" s="1"/>
  <c r="F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 s="1"/>
  <c r="F23" i="9" s="1"/>
  <c r="C23" i="9"/>
  <c r="E22" i="9"/>
  <c r="F22" i="9" s="1"/>
  <c r="F21" i="9"/>
  <c r="E21" i="9"/>
  <c r="F20" i="9"/>
  <c r="E20" i="9"/>
  <c r="F19" i="9"/>
  <c r="E19" i="9"/>
  <c r="E18" i="9"/>
  <c r="F18" i="9" s="1"/>
  <c r="F17" i="9"/>
  <c r="E17" i="9"/>
  <c r="F16" i="9"/>
  <c r="E16" i="9"/>
  <c r="F15" i="9"/>
  <c r="E15" i="9"/>
  <c r="E14" i="9"/>
  <c r="F14" i="9" s="1"/>
  <c r="E191" i="8"/>
  <c r="D191" i="8"/>
  <c r="C191" i="8"/>
  <c r="E176" i="8"/>
  <c r="D176" i="8"/>
  <c r="C176" i="8"/>
  <c r="E164" i="8"/>
  <c r="D164" i="8"/>
  <c r="D160" i="8" s="1"/>
  <c r="D166" i="8" s="1"/>
  <c r="D152" i="8" s="1"/>
  <c r="C164" i="8"/>
  <c r="E162" i="8"/>
  <c r="D162" i="8"/>
  <c r="C162" i="8"/>
  <c r="E161" i="8"/>
  <c r="D161" i="8"/>
  <c r="C161" i="8"/>
  <c r="C166" i="8" s="1"/>
  <c r="E160" i="8"/>
  <c r="E166" i="8" s="1"/>
  <c r="C160" i="8"/>
  <c r="E147" i="8"/>
  <c r="E143" i="8"/>
  <c r="D147" i="8"/>
  <c r="C147" i="8"/>
  <c r="C143" i="8"/>
  <c r="C149" i="8" s="1"/>
  <c r="E145" i="8"/>
  <c r="D145" i="8"/>
  <c r="C145" i="8"/>
  <c r="E144" i="8"/>
  <c r="D144" i="8"/>
  <c r="C144" i="8"/>
  <c r="D143" i="8"/>
  <c r="D149" i="8" s="1"/>
  <c r="E126" i="8"/>
  <c r="D126" i="8"/>
  <c r="C126" i="8"/>
  <c r="E119" i="8"/>
  <c r="D119" i="8"/>
  <c r="C119" i="8"/>
  <c r="E108" i="8"/>
  <c r="D108" i="8"/>
  <c r="D109" i="8" s="1"/>
  <c r="D106" i="8" s="1"/>
  <c r="C108" i="8"/>
  <c r="C109" i="8" s="1"/>
  <c r="C106" i="8" s="1"/>
  <c r="E107" i="8"/>
  <c r="E109" i="8"/>
  <c r="E106" i="8" s="1"/>
  <c r="D107" i="8"/>
  <c r="C107" i="8"/>
  <c r="D104" i="8"/>
  <c r="E102" i="8"/>
  <c r="E104" i="8" s="1"/>
  <c r="D102" i="8"/>
  <c r="C102" i="8"/>
  <c r="C104" i="8" s="1"/>
  <c r="E100" i="8"/>
  <c r="D100" i="8"/>
  <c r="C100" i="8"/>
  <c r="E95" i="8"/>
  <c r="E94" i="8" s="1"/>
  <c r="D95" i="8"/>
  <c r="D94" i="8"/>
  <c r="C95" i="8"/>
  <c r="C94" i="8"/>
  <c r="E89" i="8"/>
  <c r="D89" i="8"/>
  <c r="D90" i="8" s="1"/>
  <c r="C89" i="8"/>
  <c r="D88" i="8"/>
  <c r="E87" i="8"/>
  <c r="D87" i="8"/>
  <c r="C87" i="8"/>
  <c r="E84" i="8"/>
  <c r="E79" i="8" s="1"/>
  <c r="D84" i="8"/>
  <c r="D79" i="8" s="1"/>
  <c r="C84" i="8"/>
  <c r="E83" i="8"/>
  <c r="D83" i="8"/>
  <c r="C83" i="8"/>
  <c r="C79" i="8"/>
  <c r="D77" i="8"/>
  <c r="D71" i="8" s="1"/>
  <c r="E75" i="8"/>
  <c r="E88" i="8"/>
  <c r="E90" i="8" s="1"/>
  <c r="E86" i="8"/>
  <c r="D75" i="8"/>
  <c r="C75" i="8"/>
  <c r="C88" i="8" s="1"/>
  <c r="C90" i="8" s="1"/>
  <c r="C86" i="8" s="1"/>
  <c r="E74" i="8"/>
  <c r="D74" i="8"/>
  <c r="C74" i="8"/>
  <c r="E67" i="8"/>
  <c r="D67" i="8"/>
  <c r="C67" i="8"/>
  <c r="C43" i="8"/>
  <c r="E38" i="8"/>
  <c r="D38" i="8"/>
  <c r="C38" i="8"/>
  <c r="C53" i="8" s="1"/>
  <c r="C57" i="8"/>
  <c r="C62" i="8"/>
  <c r="E33" i="8"/>
  <c r="E34" i="8" s="1"/>
  <c r="D33" i="8"/>
  <c r="D34" i="8" s="1"/>
  <c r="E26" i="8"/>
  <c r="D26" i="8"/>
  <c r="C26" i="8"/>
  <c r="E13" i="8"/>
  <c r="E25" i="8" s="1"/>
  <c r="E27" i="8" s="1"/>
  <c r="D13" i="8"/>
  <c r="D25" i="8" s="1"/>
  <c r="D27" i="8" s="1"/>
  <c r="C13" i="8"/>
  <c r="C25" i="8"/>
  <c r="C27" i="8" s="1"/>
  <c r="F186" i="7"/>
  <c r="E186" i="7"/>
  <c r="D183" i="7"/>
  <c r="C183" i="7"/>
  <c r="C188" i="7"/>
  <c r="F182" i="7"/>
  <c r="E182" i="7"/>
  <c r="F181" i="7"/>
  <c r="E181" i="7"/>
  <c r="F180" i="7"/>
  <c r="E180" i="7"/>
  <c r="E179" i="7"/>
  <c r="F179" i="7" s="1"/>
  <c r="E178" i="7"/>
  <c r="F178" i="7" s="1"/>
  <c r="F177" i="7"/>
  <c r="E177" i="7"/>
  <c r="E176" i="7"/>
  <c r="F176" i="7" s="1"/>
  <c r="E175" i="7"/>
  <c r="F175" i="7" s="1"/>
  <c r="E174" i="7"/>
  <c r="F174" i="7" s="1"/>
  <c r="F173" i="7"/>
  <c r="E173" i="7"/>
  <c r="F172" i="7"/>
  <c r="E172" i="7"/>
  <c r="E171" i="7"/>
  <c r="F171" i="7" s="1"/>
  <c r="E170" i="7"/>
  <c r="F170" i="7" s="1"/>
  <c r="D167" i="7"/>
  <c r="C167" i="7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E159" i="7"/>
  <c r="F159" i="7" s="1"/>
  <c r="F158" i="7"/>
  <c r="E158" i="7"/>
  <c r="E157" i="7"/>
  <c r="F157" i="7" s="1"/>
  <c r="F156" i="7"/>
  <c r="E156" i="7"/>
  <c r="E155" i="7"/>
  <c r="F155" i="7" s="1"/>
  <c r="F154" i="7"/>
  <c r="E154" i="7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E147" i="7"/>
  <c r="F147" i="7" s="1"/>
  <c r="E146" i="7"/>
  <c r="F146" i="7" s="1"/>
  <c r="E145" i="7"/>
  <c r="F145" i="7" s="1"/>
  <c r="F144" i="7"/>
  <c r="E144" i="7"/>
  <c r="F143" i="7"/>
  <c r="E143" i="7"/>
  <c r="E142" i="7"/>
  <c r="F142" i="7" s="1"/>
  <c r="E141" i="7"/>
  <c r="F141" i="7" s="1"/>
  <c r="F140" i="7"/>
  <c r="E140" i="7"/>
  <c r="E139" i="7"/>
  <c r="F139" i="7" s="1"/>
  <c r="E138" i="7"/>
  <c r="F138" i="7" s="1"/>
  <c r="E137" i="7"/>
  <c r="F137" i="7" s="1"/>
  <c r="F136" i="7"/>
  <c r="E136" i="7"/>
  <c r="E135" i="7"/>
  <c r="F135" i="7" s="1"/>
  <c r="E134" i="7"/>
  <c r="F134" i="7" s="1"/>
  <c r="E133" i="7"/>
  <c r="F133" i="7" s="1"/>
  <c r="D130" i="7"/>
  <c r="E130" i="7" s="1"/>
  <c r="C130" i="7"/>
  <c r="E129" i="7"/>
  <c r="F129" i="7" s="1"/>
  <c r="E128" i="7"/>
  <c r="F128" i="7" s="1"/>
  <c r="F127" i="7"/>
  <c r="E127" i="7"/>
  <c r="E126" i="7"/>
  <c r="F126" i="7" s="1"/>
  <c r="E125" i="7"/>
  <c r="F125" i="7" s="1"/>
  <c r="E124" i="7"/>
  <c r="F124" i="7" s="1"/>
  <c r="D121" i="7"/>
  <c r="E121" i="7" s="1"/>
  <c r="C121" i="7"/>
  <c r="F121" i="7" s="1"/>
  <c r="E120" i="7"/>
  <c r="F120" i="7" s="1"/>
  <c r="E119" i="7"/>
  <c r="F119" i="7" s="1"/>
  <c r="F118" i="7"/>
  <c r="E118" i="7"/>
  <c r="E117" i="7"/>
  <c r="F117" i="7" s="1"/>
  <c r="E116" i="7"/>
  <c r="F116" i="7" s="1"/>
  <c r="E115" i="7"/>
  <c r="F115" i="7" s="1"/>
  <c r="F114" i="7"/>
  <c r="E114" i="7"/>
  <c r="E113" i="7"/>
  <c r="F113" i="7" s="1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F106" i="7"/>
  <c r="E106" i="7"/>
  <c r="E105" i="7"/>
  <c r="F105" i="7" s="1"/>
  <c r="E104" i="7"/>
  <c r="F104" i="7" s="1"/>
  <c r="E103" i="7"/>
  <c r="F103" i="7" s="1"/>
  <c r="F93" i="7"/>
  <c r="E93" i="7"/>
  <c r="D90" i="7"/>
  <c r="C90" i="7"/>
  <c r="E89" i="7"/>
  <c r="F89" i="7" s="1"/>
  <c r="E88" i="7"/>
  <c r="F88" i="7" s="1"/>
  <c r="F87" i="7"/>
  <c r="E87" i="7"/>
  <c r="F86" i="7"/>
  <c r="E86" i="7"/>
  <c r="F85" i="7"/>
  <c r="E85" i="7"/>
  <c r="E84" i="7"/>
  <c r="F84" i="7" s="1"/>
  <c r="F83" i="7"/>
  <c r="E83" i="7"/>
  <c r="F82" i="7"/>
  <c r="E82" i="7"/>
  <c r="F81" i="7"/>
  <c r="E81" i="7"/>
  <c r="E80" i="7"/>
  <c r="F80" i="7" s="1"/>
  <c r="F79" i="7"/>
  <c r="E79" i="7"/>
  <c r="F78" i="7"/>
  <c r="E78" i="7"/>
  <c r="F77" i="7"/>
  <c r="E77" i="7"/>
  <c r="E76" i="7"/>
  <c r="F76" i="7" s="1"/>
  <c r="F75" i="7"/>
  <c r="E75" i="7"/>
  <c r="F74" i="7"/>
  <c r="E74" i="7"/>
  <c r="E73" i="7"/>
  <c r="F73" i="7" s="1"/>
  <c r="F72" i="7"/>
  <c r="E72" i="7"/>
  <c r="F71" i="7"/>
  <c r="E71" i="7"/>
  <c r="F70" i="7"/>
  <c r="E70" i="7"/>
  <c r="E69" i="7"/>
  <c r="F69" i="7" s="1"/>
  <c r="E68" i="7"/>
  <c r="F68" i="7" s="1"/>
  <c r="F67" i="7"/>
  <c r="E67" i="7"/>
  <c r="F66" i="7"/>
  <c r="E66" i="7"/>
  <c r="F65" i="7"/>
  <c r="E65" i="7"/>
  <c r="E64" i="7"/>
  <c r="F64" i="7" s="1"/>
  <c r="F63" i="7"/>
  <c r="E63" i="7"/>
  <c r="F62" i="7"/>
  <c r="E62" i="7"/>
  <c r="D59" i="7"/>
  <c r="E59" i="7"/>
  <c r="C59" i="7"/>
  <c r="F58" i="7"/>
  <c r="E58" i="7"/>
  <c r="F57" i="7"/>
  <c r="E57" i="7"/>
  <c r="F56" i="7"/>
  <c r="E56" i="7"/>
  <c r="E55" i="7"/>
  <c r="F55" i="7" s="1"/>
  <c r="F54" i="7"/>
  <c r="E54" i="7"/>
  <c r="F53" i="7"/>
  <c r="E53" i="7"/>
  <c r="E50" i="7"/>
  <c r="F50" i="7" s="1"/>
  <c r="E47" i="7"/>
  <c r="F47" i="7" s="1"/>
  <c r="F44" i="7"/>
  <c r="E44" i="7"/>
  <c r="D41" i="7"/>
  <c r="E41" i="7" s="1"/>
  <c r="F41" i="7"/>
  <c r="C41" i="7"/>
  <c r="F40" i="7"/>
  <c r="E40" i="7"/>
  <c r="F39" i="7"/>
  <c r="E39" i="7"/>
  <c r="F38" i="7"/>
  <c r="E38" i="7"/>
  <c r="D35" i="7"/>
  <c r="E35" i="7" s="1"/>
  <c r="C35" i="7"/>
  <c r="F34" i="7"/>
  <c r="E34" i="7"/>
  <c r="F33" i="7"/>
  <c r="E33" i="7"/>
  <c r="D30" i="7"/>
  <c r="E30" i="7"/>
  <c r="C30" i="7"/>
  <c r="F29" i="7"/>
  <c r="E29" i="7"/>
  <c r="F28" i="7"/>
  <c r="E28" i="7"/>
  <c r="E27" i="7"/>
  <c r="F27" i="7" s="1"/>
  <c r="D24" i="7"/>
  <c r="C24" i="7"/>
  <c r="E24" i="7" s="1"/>
  <c r="F24" i="7" s="1"/>
  <c r="F23" i="7"/>
  <c r="E23" i="7"/>
  <c r="E22" i="7"/>
  <c r="F22" i="7" s="1"/>
  <c r="E21" i="7"/>
  <c r="F21" i="7" s="1"/>
  <c r="D18" i="7"/>
  <c r="E18" i="7" s="1"/>
  <c r="F18" i="7" s="1"/>
  <c r="C18" i="7"/>
  <c r="E17" i="7"/>
  <c r="F17" i="7" s="1"/>
  <c r="E16" i="7"/>
  <c r="F16" i="7" s="1"/>
  <c r="F15" i="7"/>
  <c r="E15" i="7"/>
  <c r="D179" i="6"/>
  <c r="C179" i="6"/>
  <c r="F178" i="6"/>
  <c r="E178" i="6"/>
  <c r="F177" i="6"/>
  <c r="E177" i="6"/>
  <c r="E176" i="6"/>
  <c r="F176" i="6" s="1"/>
  <c r="E175" i="6"/>
  <c r="F175" i="6" s="1"/>
  <c r="F174" i="6"/>
  <c r="E174" i="6"/>
  <c r="E173" i="6"/>
  <c r="F173" i="6" s="1"/>
  <c r="E172" i="6"/>
  <c r="F172" i="6" s="1"/>
  <c r="E171" i="6"/>
  <c r="F171" i="6" s="1"/>
  <c r="F170" i="6"/>
  <c r="E170" i="6"/>
  <c r="E169" i="6"/>
  <c r="F169" i="6" s="1"/>
  <c r="E168" i="6"/>
  <c r="F168" i="6" s="1"/>
  <c r="D166" i="6"/>
  <c r="E166" i="6"/>
  <c r="F166" i="6" s="1"/>
  <c r="C166" i="6"/>
  <c r="E165" i="6"/>
  <c r="F165" i="6" s="1"/>
  <c r="F164" i="6"/>
  <c r="E164" i="6"/>
  <c r="E163" i="6"/>
  <c r="F163" i="6" s="1"/>
  <c r="F162" i="6"/>
  <c r="E162" i="6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 s="1"/>
  <c r="C153" i="6"/>
  <c r="F153" i="6" s="1"/>
  <c r="E152" i="6"/>
  <c r="F152" i="6" s="1"/>
  <c r="F151" i="6"/>
  <c r="E151" i="6"/>
  <c r="F150" i="6"/>
  <c r="E150" i="6"/>
  <c r="E149" i="6"/>
  <c r="F149" i="6" s="1"/>
  <c r="E148" i="6"/>
  <c r="F148" i="6" s="1"/>
  <c r="E147" i="6"/>
  <c r="F147" i="6" s="1"/>
  <c r="F146" i="6"/>
  <c r="E146" i="6"/>
  <c r="E145" i="6"/>
  <c r="F145" i="6" s="1"/>
  <c r="E144" i="6"/>
  <c r="F144" i="6" s="1"/>
  <c r="E143" i="6"/>
  <c r="F143" i="6" s="1"/>
  <c r="F142" i="6"/>
  <c r="E142" i="6"/>
  <c r="D137" i="6"/>
  <c r="C137" i="6"/>
  <c r="E136" i="6"/>
  <c r="F136" i="6" s="1"/>
  <c r="F135" i="6"/>
  <c r="E135" i="6"/>
  <c r="E134" i="6"/>
  <c r="F134" i="6" s="1"/>
  <c r="E133" i="6"/>
  <c r="F133" i="6" s="1"/>
  <c r="E132" i="6"/>
  <c r="F132" i="6" s="1"/>
  <c r="F131" i="6"/>
  <c r="E131" i="6"/>
  <c r="E130" i="6"/>
  <c r="F130" i="6" s="1"/>
  <c r="E129" i="6"/>
  <c r="F129" i="6" s="1"/>
  <c r="E128" i="6"/>
  <c r="F128" i="6" s="1"/>
  <c r="F127" i="6"/>
  <c r="E127" i="6"/>
  <c r="E126" i="6"/>
  <c r="F126" i="6" s="1"/>
  <c r="D124" i="6"/>
  <c r="C124" i="6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E117" i="6"/>
  <c r="F117" i="6" s="1"/>
  <c r="E116" i="6"/>
  <c r="F116" i="6" s="1"/>
  <c r="F115" i="6"/>
  <c r="E115" i="6"/>
  <c r="E114" i="6"/>
  <c r="F114" i="6" s="1"/>
  <c r="E113" i="6"/>
  <c r="F113" i="6" s="1"/>
  <c r="D111" i="6"/>
  <c r="E111" i="6"/>
  <c r="F111" i="6"/>
  <c r="C111" i="6"/>
  <c r="E110" i="6"/>
  <c r="F110" i="6" s="1"/>
  <c r="F109" i="6"/>
  <c r="E109" i="6"/>
  <c r="E108" i="6"/>
  <c r="F108" i="6" s="1"/>
  <c r="F107" i="6"/>
  <c r="E107" i="6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E94" i="6" s="1"/>
  <c r="C94" i="6"/>
  <c r="D93" i="6"/>
  <c r="E93" i="6" s="1"/>
  <c r="C93" i="6"/>
  <c r="F93" i="6" s="1"/>
  <c r="D92" i="6"/>
  <c r="E92" i="6" s="1"/>
  <c r="C92" i="6"/>
  <c r="D91" i="6"/>
  <c r="C91" i="6"/>
  <c r="D90" i="6"/>
  <c r="E90" i="6" s="1"/>
  <c r="C90" i="6"/>
  <c r="D89" i="6"/>
  <c r="E89" i="6"/>
  <c r="C89" i="6"/>
  <c r="D88" i="6"/>
  <c r="E88" i="6" s="1"/>
  <c r="C88" i="6"/>
  <c r="D87" i="6"/>
  <c r="E87" i="6"/>
  <c r="C87" i="6"/>
  <c r="D86" i="6"/>
  <c r="C86" i="6"/>
  <c r="D85" i="6"/>
  <c r="E85" i="6"/>
  <c r="C85" i="6"/>
  <c r="D84" i="6"/>
  <c r="C84" i="6"/>
  <c r="D81" i="6"/>
  <c r="E81" i="6"/>
  <c r="C81" i="6"/>
  <c r="F80" i="6"/>
  <c r="E80" i="6"/>
  <c r="F79" i="6"/>
  <c r="E79" i="6"/>
  <c r="F78" i="6"/>
  <c r="E78" i="6"/>
  <c r="E77" i="6"/>
  <c r="F77" i="6" s="1"/>
  <c r="F76" i="6"/>
  <c r="E76" i="6"/>
  <c r="E75" i="6"/>
  <c r="F75" i="6" s="1"/>
  <c r="F74" i="6"/>
  <c r="E74" i="6"/>
  <c r="E73" i="6"/>
  <c r="F73" i="6" s="1"/>
  <c r="F72" i="6"/>
  <c r="E72" i="6"/>
  <c r="E71" i="6"/>
  <c r="F71" i="6" s="1"/>
  <c r="F70" i="6"/>
  <c r="E70" i="6"/>
  <c r="D68" i="6"/>
  <c r="E68" i="6"/>
  <c r="F68" i="6" s="1"/>
  <c r="C68" i="6"/>
  <c r="E67" i="6"/>
  <c r="F67" i="6" s="1"/>
  <c r="F66" i="6"/>
  <c r="E66" i="6"/>
  <c r="E65" i="6"/>
  <c r="F65" i="6" s="1"/>
  <c r="F64" i="6"/>
  <c r="E64" i="6"/>
  <c r="E63" i="6"/>
  <c r="F63" i="6" s="1"/>
  <c r="E62" i="6"/>
  <c r="F62" i="6" s="1"/>
  <c r="E61" i="6"/>
  <c r="F61" i="6" s="1"/>
  <c r="F60" i="6"/>
  <c r="E60" i="6"/>
  <c r="E59" i="6"/>
  <c r="F59" i="6" s="1"/>
  <c r="F58" i="6"/>
  <c r="E58" i="6"/>
  <c r="E57" i="6"/>
  <c r="F57" i="6" s="1"/>
  <c r="D51" i="6"/>
  <c r="E51" i="6" s="1"/>
  <c r="C51" i="6"/>
  <c r="D50" i="6"/>
  <c r="C50" i="6"/>
  <c r="F50" i="6" s="1"/>
  <c r="D49" i="6"/>
  <c r="E49" i="6" s="1"/>
  <c r="C49" i="6"/>
  <c r="D48" i="6"/>
  <c r="E48" i="6"/>
  <c r="C48" i="6"/>
  <c r="D47" i="6"/>
  <c r="E47" i="6" s="1"/>
  <c r="C47" i="6"/>
  <c r="D46" i="6"/>
  <c r="E46" i="6"/>
  <c r="C46" i="6"/>
  <c r="D45" i="6"/>
  <c r="C45" i="6"/>
  <c r="D44" i="6"/>
  <c r="E44" i="6"/>
  <c r="C44" i="6"/>
  <c r="D43" i="6"/>
  <c r="C43" i="6"/>
  <c r="D42" i="6"/>
  <c r="C42" i="6"/>
  <c r="D41" i="6"/>
  <c r="C41" i="6"/>
  <c r="D38" i="6"/>
  <c r="E38" i="6" s="1"/>
  <c r="F38" i="6"/>
  <c r="C38" i="6"/>
  <c r="E37" i="6"/>
  <c r="F37" i="6" s="1"/>
  <c r="F36" i="6"/>
  <c r="E36" i="6"/>
  <c r="F35" i="6"/>
  <c r="E35" i="6"/>
  <c r="E34" i="6"/>
  <c r="F34" i="6" s="1"/>
  <c r="F33" i="6"/>
  <c r="E33" i="6"/>
  <c r="F32" i="6"/>
  <c r="E32" i="6"/>
  <c r="F31" i="6"/>
  <c r="E31" i="6"/>
  <c r="E30" i="6"/>
  <c r="F30" i="6" s="1"/>
  <c r="F29" i="6"/>
  <c r="E29" i="6"/>
  <c r="F28" i="6"/>
  <c r="E28" i="6"/>
  <c r="F27" i="6"/>
  <c r="E27" i="6"/>
  <c r="D25" i="6"/>
  <c r="E25" i="6"/>
  <c r="C25" i="6"/>
  <c r="E24" i="6"/>
  <c r="F24" i="6" s="1"/>
  <c r="F23" i="6"/>
  <c r="E23" i="6"/>
  <c r="E22" i="6"/>
  <c r="F22" i="6" s="1"/>
  <c r="E21" i="6"/>
  <c r="F21" i="6" s="1"/>
  <c r="F20" i="6"/>
  <c r="E20" i="6"/>
  <c r="F19" i="6"/>
  <c r="E19" i="6"/>
  <c r="F18" i="6"/>
  <c r="E18" i="6"/>
  <c r="E17" i="6"/>
  <c r="F17" i="6" s="1"/>
  <c r="F16" i="6"/>
  <c r="E16" i="6"/>
  <c r="F15" i="6"/>
  <c r="E15" i="6"/>
  <c r="E14" i="6"/>
  <c r="F14" i="6" s="1"/>
  <c r="E51" i="5"/>
  <c r="F51" i="5" s="1"/>
  <c r="D48" i="5"/>
  <c r="E48" i="5" s="1"/>
  <c r="F48" i="5" s="1"/>
  <c r="C48" i="5"/>
  <c r="F47" i="5"/>
  <c r="E47" i="5"/>
  <c r="F46" i="5"/>
  <c r="E46" i="5"/>
  <c r="D41" i="5"/>
  <c r="E41" i="5"/>
  <c r="F41" i="5" s="1"/>
  <c r="C41" i="5"/>
  <c r="F40" i="5"/>
  <c r="E40" i="5"/>
  <c r="F39" i="5"/>
  <c r="E39" i="5"/>
  <c r="E38" i="5"/>
  <c r="F38" i="5" s="1"/>
  <c r="D33" i="5"/>
  <c r="C33" i="5"/>
  <c r="F32" i="5"/>
  <c r="E32" i="5"/>
  <c r="E31" i="5"/>
  <c r="F31" i="5" s="1"/>
  <c r="F30" i="5"/>
  <c r="E30" i="5"/>
  <c r="E29" i="5"/>
  <c r="F29" i="5" s="1"/>
  <c r="F28" i="5"/>
  <c r="E28" i="5"/>
  <c r="E27" i="5"/>
  <c r="F27" i="5" s="1"/>
  <c r="F26" i="5"/>
  <c r="E26" i="5"/>
  <c r="E25" i="5"/>
  <c r="F25" i="5" s="1"/>
  <c r="F24" i="5"/>
  <c r="E24" i="5"/>
  <c r="E20" i="5"/>
  <c r="F20" i="5" s="1"/>
  <c r="F19" i="5"/>
  <c r="E19" i="5"/>
  <c r="F17" i="5"/>
  <c r="E17" i="5"/>
  <c r="D16" i="5"/>
  <c r="D18" i="5" s="1"/>
  <c r="C16" i="5"/>
  <c r="F15" i="5"/>
  <c r="E15" i="5"/>
  <c r="F14" i="5"/>
  <c r="E14" i="5"/>
  <c r="F13" i="5"/>
  <c r="E13" i="5"/>
  <c r="F12" i="5"/>
  <c r="E12" i="5"/>
  <c r="D73" i="4"/>
  <c r="C73" i="4"/>
  <c r="F72" i="4"/>
  <c r="E72" i="4"/>
  <c r="E71" i="4"/>
  <c r="F71" i="4" s="1"/>
  <c r="F70" i="4"/>
  <c r="E70" i="4"/>
  <c r="F67" i="4"/>
  <c r="E67" i="4"/>
  <c r="F64" i="4"/>
  <c r="E64" i="4"/>
  <c r="E63" i="4"/>
  <c r="F63" i="4" s="1"/>
  <c r="D61" i="4"/>
  <c r="D65" i="4" s="1"/>
  <c r="C61" i="4"/>
  <c r="F60" i="4"/>
  <c r="E60" i="4"/>
  <c r="F59" i="4"/>
  <c r="E59" i="4"/>
  <c r="D56" i="4"/>
  <c r="C56" i="4"/>
  <c r="F55" i="4"/>
  <c r="E55" i="4"/>
  <c r="F54" i="4"/>
  <c r="E54" i="4"/>
  <c r="F53" i="4"/>
  <c r="E53" i="4"/>
  <c r="F52" i="4"/>
  <c r="E52" i="4"/>
  <c r="F51" i="4"/>
  <c r="E51" i="4"/>
  <c r="A51" i="4"/>
  <c r="A52" i="4" s="1"/>
  <c r="A53" i="4" s="1"/>
  <c r="A54" i="4" s="1"/>
  <c r="A55" i="4" s="1"/>
  <c r="E50" i="4"/>
  <c r="F50" i="4"/>
  <c r="A50" i="4"/>
  <c r="F49" i="4"/>
  <c r="E49" i="4"/>
  <c r="F40" i="4"/>
  <c r="E40" i="4"/>
  <c r="D38" i="4"/>
  <c r="D41" i="4" s="1"/>
  <c r="C38" i="4"/>
  <c r="C41" i="4"/>
  <c r="E37" i="4"/>
  <c r="F37" i="4" s="1"/>
  <c r="F36" i="4"/>
  <c r="E36" i="4"/>
  <c r="E33" i="4"/>
  <c r="F33" i="4" s="1"/>
  <c r="F32" i="4"/>
  <c r="E32" i="4"/>
  <c r="F31" i="4"/>
  <c r="E31" i="4"/>
  <c r="D29" i="4"/>
  <c r="E29" i="4" s="1"/>
  <c r="C29" i="4"/>
  <c r="F28" i="4"/>
  <c r="E28" i="4"/>
  <c r="F27" i="4"/>
  <c r="E27" i="4"/>
  <c r="F26" i="4"/>
  <c r="E26" i="4"/>
  <c r="E25" i="4"/>
  <c r="F25" i="4" s="1"/>
  <c r="D22" i="4"/>
  <c r="D43" i="4"/>
  <c r="C22" i="4"/>
  <c r="C43" i="4"/>
  <c r="F21" i="4"/>
  <c r="E21" i="4"/>
  <c r="F20" i="4"/>
  <c r="E20" i="4"/>
  <c r="F19" i="4"/>
  <c r="E19" i="4"/>
  <c r="E18" i="4"/>
  <c r="F18" i="4" s="1"/>
  <c r="F17" i="4"/>
  <c r="E17" i="4"/>
  <c r="F16" i="4"/>
  <c r="E16" i="4"/>
  <c r="F15" i="4"/>
  <c r="E15" i="4"/>
  <c r="E14" i="4"/>
  <c r="F14" i="4" s="1"/>
  <c r="F13" i="4"/>
  <c r="E13" i="4"/>
  <c r="C111" i="22"/>
  <c r="C109" i="22"/>
  <c r="C108" i="22"/>
  <c r="E109" i="22"/>
  <c r="D22" i="22"/>
  <c r="C30" i="22"/>
  <c r="E30" i="22"/>
  <c r="D33" i="22"/>
  <c r="E36" i="22"/>
  <c r="E46" i="22"/>
  <c r="C102" i="22"/>
  <c r="C103" i="22" s="1"/>
  <c r="E102" i="22"/>
  <c r="E95" i="17"/>
  <c r="F95" i="17" s="1"/>
  <c r="E100" i="17"/>
  <c r="E120" i="17"/>
  <c r="F120" i="17" s="1"/>
  <c r="E223" i="17"/>
  <c r="C22" i="22"/>
  <c r="E22" i="22"/>
  <c r="D23" i="22"/>
  <c r="F21" i="21"/>
  <c r="F39" i="20"/>
  <c r="F45" i="20"/>
  <c r="D41" i="20"/>
  <c r="E39" i="20"/>
  <c r="E19" i="20"/>
  <c r="F19" i="20"/>
  <c r="C20" i="20"/>
  <c r="F20" i="20" s="1"/>
  <c r="E43" i="20"/>
  <c r="C38" i="19"/>
  <c r="C127" i="19" s="1"/>
  <c r="C129" i="19" s="1"/>
  <c r="C133" i="19" s="1"/>
  <c r="C22" i="19"/>
  <c r="E94" i="17"/>
  <c r="F94" i="17" s="1"/>
  <c r="E164" i="17"/>
  <c r="F164" i="17" s="1"/>
  <c r="E165" i="17"/>
  <c r="E170" i="17"/>
  <c r="F170" i="17" s="1"/>
  <c r="D258" i="18"/>
  <c r="D98" i="18"/>
  <c r="D89" i="18"/>
  <c r="D85" i="18"/>
  <c r="D99" i="18"/>
  <c r="D97" i="18"/>
  <c r="D88" i="18"/>
  <c r="D86" i="18"/>
  <c r="E33" i="18"/>
  <c r="E85" i="17"/>
  <c r="D192" i="17"/>
  <c r="E129" i="17"/>
  <c r="F129" i="17"/>
  <c r="E130" i="17"/>
  <c r="E135" i="17"/>
  <c r="F135" i="17"/>
  <c r="E145" i="17"/>
  <c r="F145" i="17"/>
  <c r="E155" i="17"/>
  <c r="F155" i="17"/>
  <c r="E229" i="17"/>
  <c r="F229" i="17" s="1"/>
  <c r="E238" i="17"/>
  <c r="E294" i="17"/>
  <c r="E296" i="17"/>
  <c r="F296" i="17" s="1"/>
  <c r="E298" i="17"/>
  <c r="E299" i="17"/>
  <c r="D283" i="18"/>
  <c r="E283" i="18" s="1"/>
  <c r="C22" i="18"/>
  <c r="E32" i="18"/>
  <c r="E36" i="18"/>
  <c r="E21" i="18"/>
  <c r="D284" i="18"/>
  <c r="E37" i="18"/>
  <c r="D55" i="18"/>
  <c r="E55" i="18" s="1"/>
  <c r="E54" i="18"/>
  <c r="D289" i="18"/>
  <c r="E289" i="18"/>
  <c r="D71" i="18"/>
  <c r="D65" i="18"/>
  <c r="E60" i="18"/>
  <c r="E69" i="18"/>
  <c r="E139" i="18"/>
  <c r="D144" i="18"/>
  <c r="C156" i="18"/>
  <c r="C157" i="18"/>
  <c r="E157" i="18" s="1"/>
  <c r="C163" i="18"/>
  <c r="E163" i="18"/>
  <c r="D175" i="18"/>
  <c r="C229" i="18"/>
  <c r="E229" i="18" s="1"/>
  <c r="C210" i="18"/>
  <c r="E210" i="18" s="1"/>
  <c r="E205" i="18"/>
  <c r="D241" i="18"/>
  <c r="E242" i="18"/>
  <c r="E243" i="18"/>
  <c r="E245" i="18"/>
  <c r="D252" i="18"/>
  <c r="E302" i="18"/>
  <c r="C303" i="18"/>
  <c r="C306" i="18"/>
  <c r="C310" i="18" s="1"/>
  <c r="C261" i="18"/>
  <c r="C189" i="18"/>
  <c r="E189" i="18" s="1"/>
  <c r="E188" i="18"/>
  <c r="D260" i="18"/>
  <c r="E195" i="18"/>
  <c r="D234" i="18"/>
  <c r="C253" i="18"/>
  <c r="E326" i="18"/>
  <c r="D330" i="18"/>
  <c r="E330" i="18" s="1"/>
  <c r="D211" i="18"/>
  <c r="E215" i="18"/>
  <c r="C217" i="18"/>
  <c r="E217" i="18" s="1"/>
  <c r="C241" i="18"/>
  <c r="E241" i="18" s="1"/>
  <c r="E219" i="18"/>
  <c r="E221" i="18"/>
  <c r="D222" i="18"/>
  <c r="E265" i="18"/>
  <c r="E314" i="18"/>
  <c r="E216" i="18"/>
  <c r="E218" i="18"/>
  <c r="C222" i="18"/>
  <c r="D223" i="18"/>
  <c r="E233" i="18"/>
  <c r="E251" i="18"/>
  <c r="E301" i="18"/>
  <c r="E324" i="18"/>
  <c r="D32" i="17"/>
  <c r="E31" i="17"/>
  <c r="F31" i="17" s="1"/>
  <c r="D160" i="17"/>
  <c r="D90" i="17"/>
  <c r="E48" i="17"/>
  <c r="D61" i="17"/>
  <c r="E60" i="17"/>
  <c r="F60" i="17" s="1"/>
  <c r="E77" i="17"/>
  <c r="E89" i="17"/>
  <c r="F89" i="17"/>
  <c r="C103" i="17"/>
  <c r="C194" i="17"/>
  <c r="D207" i="17"/>
  <c r="D138" i="17"/>
  <c r="E159" i="17"/>
  <c r="F159" i="17" s="1"/>
  <c r="C173" i="17"/>
  <c r="C32" i="17"/>
  <c r="C195" i="17"/>
  <c r="C160" i="17"/>
  <c r="C90" i="17"/>
  <c r="F48" i="17"/>
  <c r="C61" i="17"/>
  <c r="E102" i="17"/>
  <c r="F102" i="17"/>
  <c r="D103" i="17"/>
  <c r="D105" i="17" s="1"/>
  <c r="C138" i="17"/>
  <c r="C140" i="17" s="1"/>
  <c r="E172" i="17"/>
  <c r="F172" i="17" s="1"/>
  <c r="D173" i="17"/>
  <c r="E173" i="17" s="1"/>
  <c r="F173" i="17" s="1"/>
  <c r="C282" i="17"/>
  <c r="C266" i="17"/>
  <c r="C21" i="17"/>
  <c r="E30" i="17"/>
  <c r="F30" i="17" s="1"/>
  <c r="E35" i="17"/>
  <c r="F35" i="17"/>
  <c r="C37" i="17"/>
  <c r="E47" i="17"/>
  <c r="F47" i="17" s="1"/>
  <c r="E59" i="17"/>
  <c r="F59" i="17" s="1"/>
  <c r="E66" i="17"/>
  <c r="F66" i="17" s="1"/>
  <c r="E76" i="17"/>
  <c r="F76" i="17" s="1"/>
  <c r="F85" i="17"/>
  <c r="F100" i="17"/>
  <c r="F110" i="17"/>
  <c r="D124" i="17"/>
  <c r="F130" i="17"/>
  <c r="F165" i="17"/>
  <c r="D277" i="17"/>
  <c r="D261" i="17"/>
  <c r="D214" i="17"/>
  <c r="D216" i="17" s="1"/>
  <c r="D206" i="17"/>
  <c r="D190" i="17"/>
  <c r="C280" i="17"/>
  <c r="C264" i="17"/>
  <c r="C200" i="17"/>
  <c r="E191" i="17"/>
  <c r="F191" i="17" s="1"/>
  <c r="C286" i="17"/>
  <c r="D21" i="17"/>
  <c r="E88" i="17"/>
  <c r="F88" i="17" s="1"/>
  <c r="E101" i="17"/>
  <c r="F101" i="17" s="1"/>
  <c r="E109" i="17"/>
  <c r="F109" i="17" s="1"/>
  <c r="E123" i="17"/>
  <c r="F123" i="17"/>
  <c r="C124" i="17"/>
  <c r="C125" i="17" s="1"/>
  <c r="E136" i="17"/>
  <c r="F136" i="17" s="1"/>
  <c r="E144" i="17"/>
  <c r="F144" i="17" s="1"/>
  <c r="E158" i="17"/>
  <c r="F158" i="17"/>
  <c r="E171" i="17"/>
  <c r="F171" i="17" s="1"/>
  <c r="E179" i="17"/>
  <c r="F179" i="17" s="1"/>
  <c r="C277" i="17"/>
  <c r="C254" i="17"/>
  <c r="C214" i="17"/>
  <c r="C278" i="17"/>
  <c r="E278" i="17" s="1"/>
  <c r="C262" i="17"/>
  <c r="C255" i="17"/>
  <c r="C215" i="17"/>
  <c r="E189" i="17"/>
  <c r="F189" i="17" s="1"/>
  <c r="C192" i="17"/>
  <c r="D193" i="17"/>
  <c r="D282" i="17"/>
  <c r="D290" i="17"/>
  <c r="E290" i="17"/>
  <c r="F290" i="17" s="1"/>
  <c r="D274" i="17"/>
  <c r="D199" i="17"/>
  <c r="E199" i="17"/>
  <c r="F199" i="17" s="1"/>
  <c r="D200" i="17"/>
  <c r="E200" i="17"/>
  <c r="D283" i="17"/>
  <c r="D267" i="17"/>
  <c r="D268" i="17" s="1"/>
  <c r="D285" i="17"/>
  <c r="D269" i="17"/>
  <c r="D272" i="17" s="1"/>
  <c r="D205" i="17"/>
  <c r="E205" i="17"/>
  <c r="F223" i="17"/>
  <c r="F238" i="17"/>
  <c r="E306" i="17"/>
  <c r="D262" i="17"/>
  <c r="D263" i="17" s="1"/>
  <c r="D264" i="17"/>
  <c r="E280" i="17"/>
  <c r="E198" i="17"/>
  <c r="F198" i="17" s="1"/>
  <c r="C199" i="17"/>
  <c r="E203" i="17"/>
  <c r="F203" i="17"/>
  <c r="E204" i="17"/>
  <c r="F204" i="17" s="1"/>
  <c r="C205" i="17"/>
  <c r="E226" i="17"/>
  <c r="F226" i="17" s="1"/>
  <c r="E250" i="17"/>
  <c r="F250" i="17" s="1"/>
  <c r="C267" i="17"/>
  <c r="C269" i="17"/>
  <c r="C270" i="17" s="1"/>
  <c r="C274" i="17"/>
  <c r="F297" i="17"/>
  <c r="F298" i="17"/>
  <c r="F16" i="15"/>
  <c r="E16" i="15"/>
  <c r="E23" i="15"/>
  <c r="F23" i="15"/>
  <c r="E30" i="15"/>
  <c r="E37" i="15"/>
  <c r="F37" i="15" s="1"/>
  <c r="E45" i="15"/>
  <c r="F45" i="15" s="1"/>
  <c r="E50" i="15"/>
  <c r="F50" i="15"/>
  <c r="E55" i="15"/>
  <c r="F55" i="15" s="1"/>
  <c r="E60" i="15"/>
  <c r="F60" i="15"/>
  <c r="E65" i="15"/>
  <c r="F65" i="15" s="1"/>
  <c r="E70" i="15"/>
  <c r="F70" i="15"/>
  <c r="E75" i="15"/>
  <c r="F75" i="15" s="1"/>
  <c r="E92" i="15"/>
  <c r="F92" i="15" s="1"/>
  <c r="E100" i="15"/>
  <c r="F100" i="15" s="1"/>
  <c r="E107" i="15"/>
  <c r="F107" i="15" s="1"/>
  <c r="F36" i="14"/>
  <c r="F38" i="14"/>
  <c r="F40" i="14"/>
  <c r="I31" i="14"/>
  <c r="I17" i="14"/>
  <c r="D31" i="14"/>
  <c r="F31" i="14"/>
  <c r="H31" i="14" s="1"/>
  <c r="C33" i="14"/>
  <c r="C36" i="14"/>
  <c r="C38" i="14" s="1"/>
  <c r="C40" i="14" s="1"/>
  <c r="E33" i="14"/>
  <c r="E36" i="14"/>
  <c r="E38" i="14"/>
  <c r="E40" i="14" s="1"/>
  <c r="G33" i="14"/>
  <c r="H17" i="14"/>
  <c r="C21" i="13"/>
  <c r="E21" i="13"/>
  <c r="D21" i="13"/>
  <c r="D15" i="13"/>
  <c r="D48" i="13"/>
  <c r="D42" i="13" s="1"/>
  <c r="C15" i="13"/>
  <c r="E15" i="13"/>
  <c r="E17" i="13" s="1"/>
  <c r="C48" i="13"/>
  <c r="C42" i="13"/>
  <c r="E48" i="13"/>
  <c r="E42" i="13"/>
  <c r="C20" i="12"/>
  <c r="E15" i="12"/>
  <c r="F15" i="12" s="1"/>
  <c r="E41" i="11"/>
  <c r="F41" i="11"/>
  <c r="F73" i="11"/>
  <c r="E22" i="11"/>
  <c r="F22" i="11" s="1"/>
  <c r="E38" i="11"/>
  <c r="F38" i="11"/>
  <c r="E56" i="11"/>
  <c r="F56" i="11" s="1"/>
  <c r="E61" i="11"/>
  <c r="F61" i="11" s="1"/>
  <c r="E112" i="10"/>
  <c r="F112" i="10"/>
  <c r="E113" i="10"/>
  <c r="F113" i="10" s="1"/>
  <c r="F205" i="9"/>
  <c r="F206" i="9"/>
  <c r="E198" i="9"/>
  <c r="F198" i="9" s="1"/>
  <c r="E199" i="9"/>
  <c r="C21" i="8"/>
  <c r="E21" i="8"/>
  <c r="D21" i="8"/>
  <c r="D139" i="8"/>
  <c r="D137" i="8"/>
  <c r="D135" i="8"/>
  <c r="D140" i="8"/>
  <c r="D138" i="8"/>
  <c r="D136" i="8"/>
  <c r="D141" i="8" s="1"/>
  <c r="E157" i="8"/>
  <c r="E155" i="8"/>
  <c r="E156" i="8"/>
  <c r="E154" i="8"/>
  <c r="C136" i="8"/>
  <c r="C137" i="8"/>
  <c r="C135" i="8"/>
  <c r="D156" i="8"/>
  <c r="D154" i="8"/>
  <c r="D157" i="8"/>
  <c r="D155" i="8"/>
  <c r="D153" i="8"/>
  <c r="C15" i="8"/>
  <c r="E15" i="8"/>
  <c r="D43" i="8"/>
  <c r="C49" i="8"/>
  <c r="E49" i="8"/>
  <c r="E77" i="8"/>
  <c r="E71" i="8" s="1"/>
  <c r="E90" i="7"/>
  <c r="F90" i="7" s="1"/>
  <c r="E183" i="7"/>
  <c r="F183" i="7" s="1"/>
  <c r="E41" i="6"/>
  <c r="D21" i="5"/>
  <c r="E22" i="4"/>
  <c r="F22" i="4" s="1"/>
  <c r="E38" i="4"/>
  <c r="E56" i="4"/>
  <c r="F56" i="4" s="1"/>
  <c r="E53" i="22"/>
  <c r="E45" i="22"/>
  <c r="E39" i="22"/>
  <c r="E35" i="22"/>
  <c r="E29" i="22"/>
  <c r="E37" i="22" s="1"/>
  <c r="E110" i="22"/>
  <c r="E48" i="22"/>
  <c r="D53" i="22"/>
  <c r="D45" i="22"/>
  <c r="D39" i="22"/>
  <c r="D35" i="22"/>
  <c r="D29" i="22"/>
  <c r="D54" i="22"/>
  <c r="D46" i="22"/>
  <c r="D40" i="22"/>
  <c r="D36" i="22"/>
  <c r="D30" i="22"/>
  <c r="D56" i="22" s="1"/>
  <c r="C39" i="22"/>
  <c r="C35" i="22"/>
  <c r="C29" i="22"/>
  <c r="C37" i="22" s="1"/>
  <c r="C113" i="22"/>
  <c r="F43" i="20"/>
  <c r="D246" i="18"/>
  <c r="D235" i="18"/>
  <c r="C211" i="18"/>
  <c r="C235" i="18"/>
  <c r="E235" i="18" s="1"/>
  <c r="C234" i="18"/>
  <c r="E261" i="18"/>
  <c r="E156" i="18"/>
  <c r="E65" i="18"/>
  <c r="D66" i="18"/>
  <c r="D295" i="18" s="1"/>
  <c r="D294" i="18"/>
  <c r="E260" i="18"/>
  <c r="D180" i="18"/>
  <c r="D168" i="18"/>
  <c r="E282" i="17"/>
  <c r="D281" i="17"/>
  <c r="E262" i="17"/>
  <c r="E215" i="17"/>
  <c r="D255" i="17"/>
  <c r="E255" i="17" s="1"/>
  <c r="F255" i="17" s="1"/>
  <c r="E267" i="17"/>
  <c r="F267" i="17"/>
  <c r="D49" i="17"/>
  <c r="D161" i="17"/>
  <c r="D91" i="17"/>
  <c r="D92" i="17" s="1"/>
  <c r="E21" i="17"/>
  <c r="C265" i="17"/>
  <c r="C174" i="17"/>
  <c r="C139" i="17"/>
  <c r="D286" i="17"/>
  <c r="E283" i="17"/>
  <c r="F283" i="17" s="1"/>
  <c r="D194" i="17"/>
  <c r="D196" i="17" s="1"/>
  <c r="E193" i="17"/>
  <c r="F193" i="17" s="1"/>
  <c r="C288" i="17"/>
  <c r="F278" i="17"/>
  <c r="D266" i="17"/>
  <c r="E266" i="17" s="1"/>
  <c r="F266" i="17"/>
  <c r="F200" i="17"/>
  <c r="D254" i="17"/>
  <c r="D287" i="17"/>
  <c r="D284" i="17"/>
  <c r="D279" i="17"/>
  <c r="C196" i="17"/>
  <c r="C161" i="17"/>
  <c r="C162" i="17" s="1"/>
  <c r="C49" i="17"/>
  <c r="E192" i="17"/>
  <c r="F192" i="17" s="1"/>
  <c r="C175" i="17"/>
  <c r="C62" i="17"/>
  <c r="C63" i="17" s="1"/>
  <c r="E138" i="17"/>
  <c r="F138" i="17"/>
  <c r="D208" i="17"/>
  <c r="D139" i="17"/>
  <c r="E139" i="17" s="1"/>
  <c r="F139" i="17" s="1"/>
  <c r="D104" i="17"/>
  <c r="E61" i="17"/>
  <c r="F61" i="17"/>
  <c r="E160" i="17"/>
  <c r="F160" i="17" s="1"/>
  <c r="E37" i="17"/>
  <c r="F37" i="17" s="1"/>
  <c r="D62" i="17"/>
  <c r="D175" i="17"/>
  <c r="D176" i="17" s="1"/>
  <c r="D140" i="17"/>
  <c r="D141" i="17" s="1"/>
  <c r="D322" i="17" s="1"/>
  <c r="E32" i="17"/>
  <c r="F32" i="17"/>
  <c r="G36" i="14"/>
  <c r="G38" i="14" s="1"/>
  <c r="G40" i="14" s="1"/>
  <c r="I33" i="14"/>
  <c r="I36" i="14"/>
  <c r="I38" i="14" s="1"/>
  <c r="I40" i="14" s="1"/>
  <c r="H33" i="14"/>
  <c r="H36" i="14" s="1"/>
  <c r="H38" i="14" s="1"/>
  <c r="H40" i="14" s="1"/>
  <c r="C24" i="13"/>
  <c r="C20" i="13"/>
  <c r="C17" i="13"/>
  <c r="C28" i="13"/>
  <c r="D24" i="13"/>
  <c r="D20" i="13"/>
  <c r="D17" i="13"/>
  <c r="D28" i="13" s="1"/>
  <c r="D70" i="13" s="1"/>
  <c r="D72" i="13" s="1"/>
  <c r="D69" i="13" s="1"/>
  <c r="E28" i="13"/>
  <c r="E22" i="13" s="1"/>
  <c r="C34" i="12"/>
  <c r="D34" i="12"/>
  <c r="E20" i="12"/>
  <c r="F20" i="12" s="1"/>
  <c r="C24" i="8"/>
  <c r="C20" i="8"/>
  <c r="C17" i="8"/>
  <c r="E24" i="8"/>
  <c r="E20" i="8"/>
  <c r="E17" i="8"/>
  <c r="D35" i="5"/>
  <c r="D43" i="5" s="1"/>
  <c r="E55" i="22"/>
  <c r="E47" i="22"/>
  <c r="E112" i="22"/>
  <c r="D55" i="22"/>
  <c r="D47" i="22"/>
  <c r="D37" i="22"/>
  <c r="C55" i="22"/>
  <c r="C47" i="22"/>
  <c r="D38" i="22"/>
  <c r="E211" i="18"/>
  <c r="E140" i="17"/>
  <c r="F140" i="17"/>
  <c r="C50" i="17"/>
  <c r="D106" i="17"/>
  <c r="E175" i="17"/>
  <c r="F175" i="17" s="1"/>
  <c r="D210" i="17"/>
  <c r="D209" i="17"/>
  <c r="C176" i="17"/>
  <c r="C183" i="17" s="1"/>
  <c r="E194" i="17"/>
  <c r="F194" i="17"/>
  <c r="D195" i="17"/>
  <c r="E195" i="17" s="1"/>
  <c r="F195" i="17" s="1"/>
  <c r="D162" i="17"/>
  <c r="D63" i="17"/>
  <c r="D70" i="17" s="1"/>
  <c r="C141" i="17"/>
  <c r="D50" i="17"/>
  <c r="E50" i="17" s="1"/>
  <c r="E49" i="17"/>
  <c r="F49" i="17" s="1"/>
  <c r="E70" i="13"/>
  <c r="E72" i="13" s="1"/>
  <c r="E69" i="13" s="1"/>
  <c r="D22" i="13"/>
  <c r="C70" i="13"/>
  <c r="C72" i="13"/>
  <c r="C69" i="13"/>
  <c r="C22" i="13"/>
  <c r="C112" i="8"/>
  <c r="C111" i="8"/>
  <c r="C28" i="8"/>
  <c r="C99" i="8" s="1"/>
  <c r="C101" i="8" s="1"/>
  <c r="C98" i="8" s="1"/>
  <c r="E196" i="17"/>
  <c r="D197" i="17"/>
  <c r="D211" i="17"/>
  <c r="E141" i="17"/>
  <c r="F141" i="17" s="1"/>
  <c r="C322" i="17"/>
  <c r="E322" i="17" s="1"/>
  <c r="C211" i="17"/>
  <c r="F50" i="17"/>
  <c r="C22" i="8"/>
  <c r="C70" i="17" l="1"/>
  <c r="E63" i="17"/>
  <c r="F63" i="17" s="1"/>
  <c r="E70" i="17"/>
  <c r="D113" i="17"/>
  <c r="D324" i="17"/>
  <c r="E281" i="17"/>
  <c r="F282" i="17"/>
  <c r="E113" i="22"/>
  <c r="E56" i="22"/>
  <c r="E124" i="6"/>
  <c r="F124" i="6" s="1"/>
  <c r="E176" i="17"/>
  <c r="F176" i="17" s="1"/>
  <c r="E62" i="17"/>
  <c r="C112" i="22"/>
  <c r="E269" i="17"/>
  <c r="F269" i="17" s="1"/>
  <c r="E38" i="22"/>
  <c r="E264" i="17"/>
  <c r="F264" i="17" s="1"/>
  <c r="D265" i="17"/>
  <c r="E265" i="17" s="1"/>
  <c r="F265" i="17" s="1"/>
  <c r="D300" i="17"/>
  <c r="D125" i="17"/>
  <c r="E125" i="17" s="1"/>
  <c r="F125" i="17" s="1"/>
  <c r="E124" i="17"/>
  <c r="F124" i="17" s="1"/>
  <c r="E316" i="18"/>
  <c r="E42" i="6"/>
  <c r="F42" i="6" s="1"/>
  <c r="E231" i="18"/>
  <c r="C252" i="18"/>
  <c r="C254" i="18" s="1"/>
  <c r="D77" i="22"/>
  <c r="D101" i="22"/>
  <c r="D103" i="22" s="1"/>
  <c r="C104" i="17"/>
  <c r="E103" i="17"/>
  <c r="F103" i="17" s="1"/>
  <c r="D42" i="12"/>
  <c r="E34" i="12"/>
  <c r="F34" i="12" s="1"/>
  <c r="F174" i="17"/>
  <c r="C304" i="17"/>
  <c r="C216" i="17"/>
  <c r="D323" i="17"/>
  <c r="E162" i="17"/>
  <c r="F162" i="17" s="1"/>
  <c r="D183" i="17"/>
  <c r="E183" i="17" s="1"/>
  <c r="F183" i="17" s="1"/>
  <c r="E112" i="8"/>
  <c r="E111" i="8" s="1"/>
  <c r="E28" i="8"/>
  <c r="C42" i="12"/>
  <c r="D254" i="18"/>
  <c r="E254" i="18" s="1"/>
  <c r="E73" i="4"/>
  <c r="F73" i="4" s="1"/>
  <c r="D75" i="4"/>
  <c r="C139" i="8"/>
  <c r="C140" i="8"/>
  <c r="C138" i="8"/>
  <c r="C141" i="8" s="1"/>
  <c r="F114" i="9"/>
  <c r="D247" i="18"/>
  <c r="C223" i="18"/>
  <c r="E222" i="18"/>
  <c r="C246" i="18"/>
  <c r="E246" i="18" s="1"/>
  <c r="D270" i="17"/>
  <c r="E270" i="17" s="1"/>
  <c r="F270" i="17" s="1"/>
  <c r="F62" i="17"/>
  <c r="F322" i="17"/>
  <c r="D50" i="5"/>
  <c r="E216" i="17"/>
  <c r="C154" i="8"/>
  <c r="C152" i="8"/>
  <c r="C158" i="8" s="1"/>
  <c r="C155" i="8"/>
  <c r="C157" i="8"/>
  <c r="C153" i="8"/>
  <c r="C323" i="17"/>
  <c r="E214" i="17"/>
  <c r="F214" i="17" s="1"/>
  <c r="E294" i="18"/>
  <c r="C287" i="17"/>
  <c r="C284" i="17"/>
  <c r="C279" i="17"/>
  <c r="E277" i="17"/>
  <c r="F277" i="17" s="1"/>
  <c r="E211" i="17"/>
  <c r="F211" i="17" s="1"/>
  <c r="E254" i="17"/>
  <c r="F254" i="17" s="1"/>
  <c r="F196" i="17"/>
  <c r="C156" i="8"/>
  <c r="D95" i="6"/>
  <c r="E84" i="6"/>
  <c r="F84" i="6" s="1"/>
  <c r="E91" i="6"/>
  <c r="F91" i="6" s="1"/>
  <c r="C48" i="22"/>
  <c r="C38" i="22"/>
  <c r="E43" i="4"/>
  <c r="F43" i="4" s="1"/>
  <c r="C65" i="4"/>
  <c r="C75" i="4" s="1"/>
  <c r="E61" i="4"/>
  <c r="F61" i="4" s="1"/>
  <c r="C18" i="5"/>
  <c r="D53" i="8"/>
  <c r="D49" i="8"/>
  <c r="E114" i="9"/>
  <c r="F127" i="9"/>
  <c r="E127" i="9"/>
  <c r="D181" i="17"/>
  <c r="E181" i="17" s="1"/>
  <c r="F181" i="17" s="1"/>
  <c r="E180" i="17"/>
  <c r="F180" i="17" s="1"/>
  <c r="E104" i="17"/>
  <c r="E161" i="17"/>
  <c r="F161" i="17" s="1"/>
  <c r="F205" i="17"/>
  <c r="E285" i="17"/>
  <c r="F285" i="17" s="1"/>
  <c r="D288" i="17"/>
  <c r="F215" i="17"/>
  <c r="E71" i="18"/>
  <c r="D76" i="18"/>
  <c r="E43" i="6"/>
  <c r="F43" i="6" s="1"/>
  <c r="F200" i="9"/>
  <c r="C207" i="9"/>
  <c r="E137" i="17"/>
  <c r="F137" i="17" s="1"/>
  <c r="C207" i="17"/>
  <c r="C190" i="17"/>
  <c r="C206" i="17"/>
  <c r="E188" i="17"/>
  <c r="F188" i="17" s="1"/>
  <c r="C261" i="17"/>
  <c r="D239" i="17"/>
  <c r="E239" i="17" s="1"/>
  <c r="F239" i="17" s="1"/>
  <c r="E237" i="17"/>
  <c r="F237" i="17" s="1"/>
  <c r="F294" i="17"/>
  <c r="D100" i="18"/>
  <c r="D83" i="18"/>
  <c r="D101" i="18"/>
  <c r="D84" i="18"/>
  <c r="D96" i="18"/>
  <c r="D87" i="18"/>
  <c r="D95" i="18"/>
  <c r="D253" i="18"/>
  <c r="E253" i="18" s="1"/>
  <c r="E240" i="18"/>
  <c r="C244" i="18"/>
  <c r="E244" i="18" s="1"/>
  <c r="E220" i="18"/>
  <c r="E44" i="20"/>
  <c r="E46" i="20" s="1"/>
  <c r="F44" i="20"/>
  <c r="C40" i="22"/>
  <c r="C36" i="22"/>
  <c r="C46" i="22"/>
  <c r="C54" i="22"/>
  <c r="F86" i="6"/>
  <c r="E167" i="7"/>
  <c r="D188" i="7"/>
  <c r="E188" i="7" s="1"/>
  <c r="F188" i="7" s="1"/>
  <c r="E284" i="17"/>
  <c r="E17" i="12"/>
  <c r="F17" i="12" s="1"/>
  <c r="F262" i="17"/>
  <c r="F280" i="17"/>
  <c r="C281" i="17"/>
  <c r="E234" i="18"/>
  <c r="C284" i="18"/>
  <c r="E284" i="18" s="1"/>
  <c r="E22" i="18"/>
  <c r="E41" i="20"/>
  <c r="C53" i="22"/>
  <c r="C45" i="22"/>
  <c r="C110" i="22"/>
  <c r="E179" i="6"/>
  <c r="F179" i="6" s="1"/>
  <c r="E47" i="10"/>
  <c r="F47" i="10"/>
  <c r="F295" i="17"/>
  <c r="E295" i="17"/>
  <c r="F299" i="17"/>
  <c r="E279" i="17"/>
  <c r="E149" i="8"/>
  <c r="D48" i="22"/>
  <c r="E24" i="13"/>
  <c r="E20" i="13" s="1"/>
  <c r="D271" i="17"/>
  <c r="E207" i="17"/>
  <c r="D174" i="17"/>
  <c r="E174" i="17" s="1"/>
  <c r="F38" i="4"/>
  <c r="C52" i="6"/>
  <c r="F41" i="6"/>
  <c r="F94" i="6"/>
  <c r="E167" i="9"/>
  <c r="C300" i="17"/>
  <c r="E274" i="17"/>
  <c r="F274" i="17" s="1"/>
  <c r="E90" i="17"/>
  <c r="F90" i="17"/>
  <c r="E286" i="17"/>
  <c r="F286" i="17" s="1"/>
  <c r="C272" i="17"/>
  <c r="C56" i="22"/>
  <c r="E16" i="5"/>
  <c r="F16" i="5" s="1"/>
  <c r="C77" i="8"/>
  <c r="C71" i="8" s="1"/>
  <c r="D57" i="8"/>
  <c r="D62" i="8" s="1"/>
  <c r="D126" i="17"/>
  <c r="E190" i="17"/>
  <c r="F21" i="17"/>
  <c r="C126" i="17"/>
  <c r="C91" i="17"/>
  <c r="C105" i="17"/>
  <c r="D145" i="18"/>
  <c r="E41" i="4"/>
  <c r="F41" i="4" s="1"/>
  <c r="E152" i="8"/>
  <c r="E153" i="8"/>
  <c r="D158" i="8"/>
  <c r="F44" i="6"/>
  <c r="F47" i="6"/>
  <c r="E50" i="6"/>
  <c r="F85" i="6"/>
  <c r="F88" i="6"/>
  <c r="F59" i="7"/>
  <c r="F130" i="7"/>
  <c r="E53" i="8"/>
  <c r="E43" i="8"/>
  <c r="E57" i="8"/>
  <c r="E62" i="8" s="1"/>
  <c r="F35" i="10"/>
  <c r="F47" i="12"/>
  <c r="E44" i="17"/>
  <c r="F44" i="17"/>
  <c r="E111" i="22"/>
  <c r="E40" i="22"/>
  <c r="E54" i="22"/>
  <c r="D52" i="6"/>
  <c r="E52" i="6" s="1"/>
  <c r="F48" i="6"/>
  <c r="F51" i="6"/>
  <c r="F81" i="6"/>
  <c r="F89" i="6"/>
  <c r="F92" i="6"/>
  <c r="E137" i="6"/>
  <c r="F137" i="6"/>
  <c r="D95" i="7"/>
  <c r="F115" i="9"/>
  <c r="E192" i="9"/>
  <c r="F192" i="9" s="1"/>
  <c r="F202" i="9"/>
  <c r="E29" i="11"/>
  <c r="F29" i="11"/>
  <c r="D86" i="8"/>
  <c r="E116" i="10"/>
  <c r="F116" i="10" s="1"/>
  <c r="E120" i="10"/>
  <c r="F120" i="10" s="1"/>
  <c r="E36" i="17"/>
  <c r="F36" i="17"/>
  <c r="C68" i="17"/>
  <c r="E67" i="17"/>
  <c r="F67" i="17" s="1"/>
  <c r="F199" i="9"/>
  <c r="F29" i="4"/>
  <c r="E45" i="6"/>
  <c r="F45" i="6" s="1"/>
  <c r="E86" i="6"/>
  <c r="F35" i="7"/>
  <c r="E128" i="9"/>
  <c r="F128" i="9"/>
  <c r="E180" i="9"/>
  <c r="F180" i="9"/>
  <c r="E208" i="9"/>
  <c r="F208" i="9" s="1"/>
  <c r="F24" i="10"/>
  <c r="F17" i="17"/>
  <c r="C66" i="18"/>
  <c r="E66" i="18" s="1"/>
  <c r="C294" i="18"/>
  <c r="E33" i="5"/>
  <c r="F33" i="5" s="1"/>
  <c r="F25" i="6"/>
  <c r="F46" i="6"/>
  <c r="F49" i="6"/>
  <c r="C95" i="6"/>
  <c r="F87" i="6"/>
  <c r="F90" i="6"/>
  <c r="F30" i="7"/>
  <c r="C95" i="7"/>
  <c r="F167" i="7"/>
  <c r="E37" i="9"/>
  <c r="F37" i="9" s="1"/>
  <c r="E89" i="9"/>
  <c r="F89" i="9" s="1"/>
  <c r="E153" i="9"/>
  <c r="F153" i="9"/>
  <c r="D122" i="10"/>
  <c r="E122" i="10" s="1"/>
  <c r="F122" i="10" s="1"/>
  <c r="D15" i="8"/>
  <c r="F203" i="9"/>
  <c r="E71" i="10"/>
  <c r="F96" i="10"/>
  <c r="C43" i="11"/>
  <c r="E14" i="16"/>
  <c r="F14" i="16" s="1"/>
  <c r="F52" i="17"/>
  <c r="E311" i="17"/>
  <c r="C77" i="18"/>
  <c r="E281" i="18"/>
  <c r="E154" i="9"/>
  <c r="E200" i="9"/>
  <c r="D207" i="9"/>
  <c r="E207" i="9" s="1"/>
  <c r="E108" i="10"/>
  <c r="F108" i="10"/>
  <c r="F114" i="10"/>
  <c r="F117" i="10"/>
  <c r="F40" i="12"/>
  <c r="E111" i="17"/>
  <c r="F111" i="17" s="1"/>
  <c r="C146" i="17"/>
  <c r="E73" i="18"/>
  <c r="C40" i="20"/>
  <c r="F36" i="20"/>
  <c r="F201" i="9"/>
  <c r="E65" i="11"/>
  <c r="F65" i="11" s="1"/>
  <c r="D75" i="11"/>
  <c r="E75" i="11" s="1"/>
  <c r="F75" i="11" s="1"/>
  <c r="E70" i="18"/>
  <c r="C144" i="18"/>
  <c r="C175" i="18"/>
  <c r="E175" i="18" s="1"/>
  <c r="D303" i="18"/>
  <c r="F22" i="20"/>
  <c r="E40" i="20"/>
  <c r="E204" i="9"/>
  <c r="F204" i="9" s="1"/>
  <c r="E60" i="10"/>
  <c r="C121" i="10"/>
  <c r="F118" i="10"/>
  <c r="F20" i="17"/>
  <c r="E24" i="17"/>
  <c r="F24" i="17" s="1"/>
  <c r="C43" i="18"/>
  <c r="E279" i="18"/>
  <c r="C46" i="20"/>
  <c r="F46" i="20" s="1"/>
  <c r="E23" i="10"/>
  <c r="E48" i="10"/>
  <c r="E83" i="10"/>
  <c r="F83" i="10" s="1"/>
  <c r="F115" i="10"/>
  <c r="E118" i="10"/>
  <c r="C295" i="18"/>
  <c r="E295" i="18" s="1"/>
  <c r="F32" i="12"/>
  <c r="F23" i="17"/>
  <c r="F25" i="20"/>
  <c r="C145" i="18" l="1"/>
  <c r="C180" i="18"/>
  <c r="E180" i="18" s="1"/>
  <c r="C168" i="18"/>
  <c r="E168" i="18" s="1"/>
  <c r="F95" i="6"/>
  <c r="F105" i="17"/>
  <c r="C106" i="17"/>
  <c r="E105" i="17"/>
  <c r="E18" i="5"/>
  <c r="F18" i="5" s="1"/>
  <c r="C21" i="5"/>
  <c r="F284" i="17"/>
  <c r="E247" i="18"/>
  <c r="E22" i="8"/>
  <c r="E99" i="8"/>
  <c r="E101" i="8" s="1"/>
  <c r="E98" i="8" s="1"/>
  <c r="F216" i="17"/>
  <c r="E146" i="17"/>
  <c r="F146" i="17" s="1"/>
  <c r="E43" i="11"/>
  <c r="F43" i="11"/>
  <c r="E158" i="8"/>
  <c r="C92" i="17"/>
  <c r="E91" i="17"/>
  <c r="F91" i="17" s="1"/>
  <c r="D273" i="17"/>
  <c r="D304" i="17"/>
  <c r="D103" i="18"/>
  <c r="E288" i="17"/>
  <c r="F288" i="17" s="1"/>
  <c r="D291" i="17"/>
  <c r="D289" i="17"/>
  <c r="C291" i="17"/>
  <c r="E287" i="17"/>
  <c r="C289" i="17"/>
  <c r="F287" i="17"/>
  <c r="E252" i="18"/>
  <c r="E300" i="17"/>
  <c r="F300" i="17" s="1"/>
  <c r="E68" i="17"/>
  <c r="F68" i="17" s="1"/>
  <c r="E126" i="17"/>
  <c r="D127" i="17"/>
  <c r="F52" i="6"/>
  <c r="E140" i="8"/>
  <c r="E138" i="8"/>
  <c r="E135" i="8"/>
  <c r="E136" i="8"/>
  <c r="E139" i="8"/>
  <c r="E137" i="8"/>
  <c r="E206" i="17"/>
  <c r="F206" i="17" s="1"/>
  <c r="E323" i="17"/>
  <c r="F323" i="17" s="1"/>
  <c r="D325" i="17"/>
  <c r="F70" i="17"/>
  <c r="E272" i="17"/>
  <c r="F272" i="17" s="1"/>
  <c r="D102" i="18"/>
  <c r="E65" i="4"/>
  <c r="F65" i="4" s="1"/>
  <c r="C111" i="18"/>
  <c r="C110" i="18"/>
  <c r="C116" i="18" s="1"/>
  <c r="C109" i="18"/>
  <c r="C126" i="18"/>
  <c r="C125" i="18"/>
  <c r="C122" i="18"/>
  <c r="C121" i="18"/>
  <c r="C115" i="18"/>
  <c r="C113" i="18"/>
  <c r="C127" i="18"/>
  <c r="C123" i="18"/>
  <c r="C114" i="18"/>
  <c r="C112" i="18"/>
  <c r="C124" i="18"/>
  <c r="E95" i="7"/>
  <c r="D49" i="12"/>
  <c r="E42" i="12"/>
  <c r="F42" i="12" s="1"/>
  <c r="C259" i="18"/>
  <c r="C263" i="18" s="1"/>
  <c r="E43" i="18"/>
  <c r="E303" i="18"/>
  <c r="D306" i="18"/>
  <c r="E144" i="18"/>
  <c r="F190" i="17"/>
  <c r="E76" i="18"/>
  <c r="D259" i="18"/>
  <c r="D77" i="18"/>
  <c r="C247" i="18"/>
  <c r="E75" i="4"/>
  <c r="F75" i="4" s="1"/>
  <c r="C49" i="12"/>
  <c r="C127" i="17"/>
  <c r="F126" i="17"/>
  <c r="F207" i="9"/>
  <c r="C271" i="17"/>
  <c r="E271" i="17" s="1"/>
  <c r="C268" i="17"/>
  <c r="C263" i="17"/>
  <c r="E261" i="17"/>
  <c r="F261" i="17"/>
  <c r="E95" i="6"/>
  <c r="D108" i="22"/>
  <c r="D109" i="22"/>
  <c r="D110" i="22"/>
  <c r="D112" i="22"/>
  <c r="D111" i="22"/>
  <c r="D113" i="22"/>
  <c r="F95" i="7"/>
  <c r="D90" i="18"/>
  <c r="C44" i="18"/>
  <c r="D17" i="8"/>
  <c r="D24" i="8"/>
  <c r="D20" i="8" s="1"/>
  <c r="F40" i="20"/>
  <c r="C41" i="20"/>
  <c r="F41" i="20" s="1"/>
  <c r="E121" i="10"/>
  <c r="F121" i="10" s="1"/>
  <c r="D181" i="18"/>
  <c r="D169" i="18"/>
  <c r="E145" i="18"/>
  <c r="F281" i="17"/>
  <c r="F207" i="17"/>
  <c r="C208" i="17"/>
  <c r="F279" i="17"/>
  <c r="E223" i="18"/>
  <c r="F104" i="17"/>
  <c r="C209" i="17" l="1"/>
  <c r="C210" i="17"/>
  <c r="E208" i="17"/>
  <c r="F208" i="17" s="1"/>
  <c r="C197" i="17"/>
  <c r="F127" i="17"/>
  <c r="C148" i="17"/>
  <c r="E181" i="18"/>
  <c r="D127" i="18"/>
  <c r="E127" i="18" s="1"/>
  <c r="D109" i="18"/>
  <c r="D122" i="18"/>
  <c r="D112" i="18"/>
  <c r="E112" i="18" s="1"/>
  <c r="D125" i="18"/>
  <c r="E125" i="18" s="1"/>
  <c r="D115" i="18"/>
  <c r="E115" i="18" s="1"/>
  <c r="D123" i="18"/>
  <c r="E123" i="18" s="1"/>
  <c r="E77" i="18"/>
  <c r="D113" i="18"/>
  <c r="E113" i="18" s="1"/>
  <c r="D126" i="18"/>
  <c r="E126" i="18" s="1"/>
  <c r="D111" i="18"/>
  <c r="E111" i="18" s="1"/>
  <c r="D121" i="18"/>
  <c r="D124" i="18"/>
  <c r="E124" i="18" s="1"/>
  <c r="D114" i="18"/>
  <c r="E114" i="18" s="1"/>
  <c r="D110" i="18"/>
  <c r="E127" i="17"/>
  <c r="D148" i="17"/>
  <c r="C324" i="17"/>
  <c r="C113" i="17"/>
  <c r="E92" i="17"/>
  <c r="F92" i="17" s="1"/>
  <c r="E259" i="18"/>
  <c r="D263" i="18"/>
  <c r="C117" i="18"/>
  <c r="E106" i="17"/>
  <c r="F106" i="17" s="1"/>
  <c r="F263" i="17"/>
  <c r="E263" i="17"/>
  <c r="D28" i="8"/>
  <c r="D112" i="8"/>
  <c r="D111" i="8" s="1"/>
  <c r="F268" i="17"/>
  <c r="E268" i="17"/>
  <c r="D91" i="18"/>
  <c r="F291" i="17"/>
  <c r="C305" i="17"/>
  <c r="E304" i="17"/>
  <c r="F304" i="17" s="1"/>
  <c r="E49" i="12"/>
  <c r="F49" i="12" s="1"/>
  <c r="E141" i="8"/>
  <c r="E273" i="17"/>
  <c r="F21" i="5"/>
  <c r="C35" i="5"/>
  <c r="E21" i="5"/>
  <c r="C97" i="18"/>
  <c r="E97" i="18" s="1"/>
  <c r="C89" i="18"/>
  <c r="E89" i="18" s="1"/>
  <c r="C95" i="18"/>
  <c r="C87" i="18"/>
  <c r="E87" i="18" s="1"/>
  <c r="C86" i="18"/>
  <c r="E86" i="18" s="1"/>
  <c r="C83" i="18"/>
  <c r="C258" i="18"/>
  <c r="C100" i="18"/>
  <c r="E100" i="18" s="1"/>
  <c r="C101" i="18"/>
  <c r="E101" i="18" s="1"/>
  <c r="C99" i="18"/>
  <c r="E99" i="18" s="1"/>
  <c r="C88" i="18"/>
  <c r="E88" i="18" s="1"/>
  <c r="C84" i="18"/>
  <c r="C98" i="18"/>
  <c r="E98" i="18" s="1"/>
  <c r="E44" i="18"/>
  <c r="C96" i="18"/>
  <c r="C85" i="18"/>
  <c r="E85" i="18" s="1"/>
  <c r="C273" i="17"/>
  <c r="F273" i="17" s="1"/>
  <c r="F271" i="17"/>
  <c r="C128" i="18"/>
  <c r="C129" i="18" s="1"/>
  <c r="E289" i="17"/>
  <c r="F289" i="17" s="1"/>
  <c r="C181" i="18"/>
  <c r="C169" i="18"/>
  <c r="E169" i="18" s="1"/>
  <c r="E306" i="18"/>
  <c r="D310" i="18"/>
  <c r="E310" i="18" s="1"/>
  <c r="E291" i="17"/>
  <c r="D305" i="17"/>
  <c r="C90" i="18" l="1"/>
  <c r="E90" i="18" s="1"/>
  <c r="E84" i="18"/>
  <c r="C91" i="18"/>
  <c r="E83" i="18"/>
  <c r="D22" i="8"/>
  <c r="D99" i="8"/>
  <c r="D101" i="8" s="1"/>
  <c r="D98" i="8" s="1"/>
  <c r="E263" i="18"/>
  <c r="D264" i="18"/>
  <c r="C309" i="17"/>
  <c r="D116" i="18"/>
  <c r="E116" i="18" s="1"/>
  <c r="E110" i="18"/>
  <c r="F148" i="17"/>
  <c r="D105" i="18"/>
  <c r="E91" i="18"/>
  <c r="F113" i="17"/>
  <c r="E113" i="17"/>
  <c r="E121" i="18"/>
  <c r="D128" i="18"/>
  <c r="E128" i="18" s="1"/>
  <c r="E122" i="18"/>
  <c r="D309" i="17"/>
  <c r="E305" i="17"/>
  <c r="F305" i="17" s="1"/>
  <c r="C103" i="18"/>
  <c r="E103" i="18" s="1"/>
  <c r="E95" i="18"/>
  <c r="F197" i="17"/>
  <c r="E197" i="17"/>
  <c r="C325" i="17"/>
  <c r="E324" i="17"/>
  <c r="F324" i="17" s="1"/>
  <c r="E109" i="18"/>
  <c r="D117" i="18"/>
  <c r="E210" i="17"/>
  <c r="F210" i="17" s="1"/>
  <c r="C102" i="18"/>
  <c r="E102" i="18" s="1"/>
  <c r="E96" i="18"/>
  <c r="C264" i="18"/>
  <c r="C266" i="18" s="1"/>
  <c r="C267" i="18"/>
  <c r="E258" i="18"/>
  <c r="E35" i="5"/>
  <c r="F35" i="5" s="1"/>
  <c r="C43" i="5"/>
  <c r="C131" i="18"/>
  <c r="E148" i="17"/>
  <c r="E209" i="17"/>
  <c r="F209" i="17" s="1"/>
  <c r="E309" i="17" l="1"/>
  <c r="D310" i="17"/>
  <c r="E117" i="18"/>
  <c r="E264" i="18"/>
  <c r="D266" i="18"/>
  <c r="E105" i="18"/>
  <c r="F325" i="17"/>
  <c r="E325" i="17"/>
  <c r="D129" i="18"/>
  <c r="E129" i="18" s="1"/>
  <c r="C105" i="18"/>
  <c r="C268" i="18"/>
  <c r="C269" i="18"/>
  <c r="C50" i="5"/>
  <c r="E43" i="5"/>
  <c r="F43" i="5" s="1"/>
  <c r="F309" i="17"/>
  <c r="C310" i="17"/>
  <c r="E50" i="5" l="1"/>
  <c r="F50" i="5" s="1"/>
  <c r="E266" i="18"/>
  <c r="D267" i="18"/>
  <c r="C271" i="18"/>
  <c r="D131" i="18"/>
  <c r="E131" i="18" s="1"/>
  <c r="C312" i="17"/>
  <c r="F310" i="17"/>
  <c r="D312" i="17"/>
  <c r="E310" i="17"/>
  <c r="C313" i="17" l="1"/>
  <c r="D268" i="18"/>
  <c r="D269" i="18"/>
  <c r="E269" i="18" s="1"/>
  <c r="E267" i="18"/>
  <c r="E312" i="17"/>
  <c r="F312" i="17" s="1"/>
  <c r="D313" i="17"/>
  <c r="D315" i="17" l="1"/>
  <c r="D314" i="17"/>
  <c r="E313" i="17"/>
  <c r="F313" i="17" s="1"/>
  <c r="D256" i="17"/>
  <c r="D251" i="17"/>
  <c r="E251" i="17" s="1"/>
  <c r="D271" i="18"/>
  <c r="E271" i="18" s="1"/>
  <c r="E268" i="18"/>
  <c r="C314" i="17"/>
  <c r="C251" i="17"/>
  <c r="C256" i="17"/>
  <c r="C315" i="17"/>
  <c r="C257" i="17" l="1"/>
  <c r="C318" i="17"/>
  <c r="F315" i="17"/>
  <c r="D318" i="17"/>
  <c r="E318" i="17" s="1"/>
  <c r="E314" i="17"/>
  <c r="F314" i="17" s="1"/>
  <c r="E256" i="17"/>
  <c r="F256" i="17" s="1"/>
  <c r="D257" i="17"/>
  <c r="E257" i="17" s="1"/>
  <c r="F251" i="17"/>
  <c r="E315" i="17"/>
  <c r="F318" i="17" l="1"/>
  <c r="F257" i="17"/>
</calcChain>
</file>

<file path=xl/sharedStrings.xml><?xml version="1.0" encoding="utf-8"?>
<sst xmlns="http://schemas.openxmlformats.org/spreadsheetml/2006/main" count="2335" uniqueCount="1009">
  <si>
    <t>STAMFORD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</si>
  <si>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</si>
  <si>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</si>
  <si>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</si>
  <si>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</si>
  <si>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</si>
  <si>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</si>
  <si>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</si>
  <si>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</si>
  <si>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</si>
  <si>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</si>
  <si>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</si>
  <si>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</si>
  <si>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</si>
  <si>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</si>
  <si>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</si>
  <si>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</si>
  <si>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</si>
  <si>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</si>
  <si>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</si>
  <si>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</si>
  <si>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</si>
  <si>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</si>
  <si>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</si>
  <si>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</si>
  <si>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</si>
  <si>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</si>
  <si>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</si>
  <si>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</si>
  <si>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</si>
  <si>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</si>
  <si>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</si>
  <si>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</si>
  <si>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</si>
  <si>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</si>
  <si>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</si>
  <si>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</si>
  <si>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</si>
  <si>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</si>
  <si>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</si>
  <si>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</si>
  <si>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</si>
  <si>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</si>
  <si>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</si>
  <si>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</si>
  <si>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</si>
  <si>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</si>
  <si>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</si>
  <si>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</si>
  <si>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</si>
  <si>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</si>
  <si>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</si>
  <si>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</si>
  <si>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</si>
  <si>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</si>
  <si>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</si>
  <si>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</si>
  <si>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</si>
  <si>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</si>
  <si>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</si>
  <si>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</si>
  <si>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</si>
  <si>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</si>
  <si>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</si>
  <si>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</si>
  <si>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</si>
  <si>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</si>
  <si>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</si>
  <si>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</si>
  <si>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</si>
  <si>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</si>
  <si>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</si>
  <si>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</si>
  <si>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</si>
  <si>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</si>
  <si>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</si>
  <si>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</si>
  <si>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</si>
  <si>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</si>
  <si>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</si>
  <si>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</si>
  <si>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</si>
  <si>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</si>
  <si>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</si>
  <si>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</si>
  <si>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</si>
  <si>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</si>
  <si>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</si>
  <si>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</si>
  <si>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</si>
  <si>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</si>
  <si>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</si>
  <si>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</si>
  <si>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</si>
  <si>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</si>
  <si>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</si>
  <si>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</si>
  <si>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</si>
  <si>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</si>
  <si>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</si>
  <si>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</si>
  <si>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</si>
  <si>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</si>
  <si>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</si>
  <si>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</si>
  <si>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</si>
  <si>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</si>
  <si>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</si>
  <si>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</si>
  <si>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</si>
  <si>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</si>
  <si>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</si>
  <si>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</si>
  <si>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</si>
  <si>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</si>
  <si>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</si>
  <si>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</si>
  <si>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</si>
  <si>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</si>
  <si>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</si>
  <si>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</si>
  <si>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</si>
  <si>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</si>
  <si>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</si>
  <si>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</si>
  <si>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</si>
  <si>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</si>
  <si>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</si>
  <si>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</si>
  <si>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</si>
  <si>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</si>
  <si>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</si>
  <si>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</si>
  <si>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</si>
  <si>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</si>
  <si>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</si>
  <si>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</si>
  <si>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</si>
  <si>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</si>
  <si>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</si>
  <si>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</si>
  <si>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</si>
  <si>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</si>
  <si>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</si>
  <si>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</si>
  <si>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</si>
  <si>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</si>
  <si>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</si>
  <si>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</si>
  <si>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</si>
  <si>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</si>
  <si>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</si>
  <si>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</si>
  <si>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</si>
  <si>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</si>
  <si>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</si>
  <si>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</si>
  <si>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</si>
  <si>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</si>
  <si>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</si>
  <si>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</si>
  <si>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</si>
  <si>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</si>
  <si>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</si>
  <si>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</si>
  <si>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</si>
  <si>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</si>
  <si>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</si>
  <si>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</si>
  <si>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</si>
  <si>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</si>
  <si>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</si>
  <si>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</si>
  <si>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</si>
  <si>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</si>
  <si>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</si>
  <si>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</si>
  <si>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</si>
  <si>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</si>
  <si>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</si>
  <si>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</si>
  <si>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</si>
  <si>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</si>
  <si>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</si>
  <si>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</si>
  <si>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</si>
  <si>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</si>
  <si>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</si>
  <si>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</si>
  <si>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</si>
  <si>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</si>
  <si>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</si>
  <si>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</si>
  <si>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</si>
  <si>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</si>
  <si>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</si>
  <si>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</si>
  <si>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</si>
  <si>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</si>
  <si>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</si>
  <si>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</si>
  <si>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</si>
  <si>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</si>
  <si>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</si>
  <si>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</si>
  <si>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</si>
  <si>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</si>
  <si>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</si>
  <si>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</si>
  <si>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</si>
  <si>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</si>
  <si>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</si>
  <si>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</si>
  <si>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</si>
  <si>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</si>
  <si>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</si>
  <si>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</si>
  <si>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</si>
  <si>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</si>
  <si>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</si>
  <si>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</si>
  <si>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</si>
  <si>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</si>
  <si>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</si>
  <si>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</si>
  <si>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</si>
  <si>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</si>
  <si>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</si>
  <si>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</si>
  <si>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</si>
  <si>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</si>
  <si>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</si>
  <si>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</si>
  <si>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</si>
  <si>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</si>
  <si>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</si>
  <si>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</si>
  <si>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</si>
  <si>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</si>
  <si>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</si>
  <si>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</si>
  <si>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</si>
  <si>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</si>
  <si>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</si>
  <si>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</si>
  <si>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</si>
  <si>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</si>
  <si>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</si>
  <si>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</si>
  <si>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</si>
  <si>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</si>
  <si>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</si>
  <si>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</si>
  <si>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</si>
  <si>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</si>
  <si>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</si>
  <si>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</si>
  <si>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</si>
  <si>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</si>
  <si>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</si>
  <si>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</si>
  <si>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</si>
  <si>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</si>
  <si>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</si>
  <si>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</si>
  <si>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</si>
  <si>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</si>
  <si>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</si>
  <si>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</si>
  <si>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</si>
  <si>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</si>
  <si>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</si>
  <si>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</si>
  <si>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</si>
  <si>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</si>
  <si>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</si>
  <si>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</si>
  <si>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</si>
  <si>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</si>
  <si>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</si>
  <si>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</si>
  <si>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</si>
  <si>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</si>
  <si>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</si>
  <si>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</si>
  <si>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</si>
  <si>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</si>
  <si>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</si>
  <si>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</si>
  <si>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</si>
  <si>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</si>
  <si>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</si>
  <si>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</si>
  <si>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</si>
  <si>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</si>
  <si>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</si>
  <si>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</si>
  <si>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</si>
  <si>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</si>
  <si>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</si>
  <si>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</si>
  <si>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</si>
  <si>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</si>
  <si>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</si>
  <si>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</si>
  <si>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</si>
  <si>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</si>
  <si>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</si>
  <si>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</si>
  <si>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</si>
  <si>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</si>
  <si>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</si>
  <si>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</si>
  <si>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</si>
  <si>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</si>
  <si>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</si>
  <si>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</si>
  <si>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</si>
  <si>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</si>
  <si>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</si>
  <si>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</si>
  <si>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</si>
  <si>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</si>
  <si>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</si>
  <si>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</si>
  <si>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</si>
  <si>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</si>
  <si>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</si>
  <si>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</si>
  <si>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</si>
  <si>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</si>
  <si>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</si>
  <si>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</si>
  <si>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</si>
  <si>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</si>
  <si>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</si>
  <si>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</si>
  <si>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</si>
  <si>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</si>
  <si>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</si>
  <si>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</si>
  <si>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</si>
  <si>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</si>
  <si>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</si>
  <si>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</si>
  <si>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</si>
  <si>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</si>
  <si>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</si>
  <si>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</si>
  <si>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</si>
  <si>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</si>
  <si>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</si>
  <si>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</si>
  <si>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</si>
  <si>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</si>
  <si>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</si>
  <si>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</si>
  <si>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</si>
  <si>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</si>
  <si>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</si>
  <si>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</si>
  <si>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</si>
  <si>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</si>
  <si>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</si>
  <si>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</si>
  <si>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</si>
  <si>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</si>
  <si>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</si>
  <si>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</si>
  <si>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</si>
  <si>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</si>
  <si>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</si>
  <si>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</si>
  <si>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</si>
  <si>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</si>
  <si>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</si>
  <si>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</si>
  <si>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</si>
  <si>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</si>
  <si>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</si>
  <si>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</si>
  <si>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</si>
  <si>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</si>
  <si>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</si>
  <si>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</si>
  <si>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</si>
  <si>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</si>
  <si>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</si>
  <si>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</si>
  <si>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</si>
  <si>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</si>
  <si>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</si>
  <si>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</si>
  <si>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</si>
  <si>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</si>
  <si>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</si>
  <si>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</si>
  <si>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</si>
  <si>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</si>
  <si>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</si>
  <si>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</si>
  <si>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</si>
  <si>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</si>
  <si>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</si>
  <si>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</si>
  <si>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</si>
  <si>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</si>
  <si>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</si>
  <si>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</si>
  <si>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</si>
  <si>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</si>
  <si>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</si>
  <si>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</si>
  <si>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</si>
  <si>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</si>
  <si>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</si>
  <si>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</si>
  <si>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</si>
  <si>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</si>
  <si>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</si>
  <si>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</si>
  <si>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</si>
  <si>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</si>
  <si>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</si>
  <si>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</si>
  <si>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</si>
  <si>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</si>
  <si>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</si>
  <si>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</si>
  <si>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</si>
  <si>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</si>
  <si>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</si>
  <si>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</si>
  <si>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</si>
  <si>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</si>
  <si>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</si>
  <si>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</si>
  <si>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</si>
  <si>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</si>
  <si>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</si>
  <si>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</si>
  <si>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</si>
  <si>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</si>
  <si>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</si>
  <si>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</si>
  <si>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</si>
  <si>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</si>
  <si>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</si>
  <si>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</si>
  <si>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</si>
  <si>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</si>
  <si>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</si>
  <si>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</si>
  <si>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</si>
  <si>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</si>
  <si>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</si>
  <si>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</si>
  <si>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</si>
  <si>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</si>
  <si>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</si>
  <si>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</si>
  <si>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</si>
  <si>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</si>
  <si>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</si>
  <si>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</si>
  <si>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</si>
  <si>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</si>
  <si>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</si>
  <si>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</si>
  <si>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</si>
  <si>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</si>
  <si>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</si>
  <si>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</si>
  <si>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</si>
  <si>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</si>
  <si>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</si>
  <si>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</si>
  <si>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</si>
  <si>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</si>
  <si>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</si>
  <si>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</si>
  <si>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</si>
  <si>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</si>
  <si>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</si>
  <si>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</si>
  <si>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</si>
  <si>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</si>
  <si>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</si>
  <si>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</si>
  <si>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</si>
  <si>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</si>
  <si>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</si>
  <si>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</si>
  <si>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</si>
  <si>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</si>
  <si>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</si>
  <si>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</si>
  <si>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</si>
  <si>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</si>
  <si>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</si>
  <si>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STAMFORD HEALTH SYSTEM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</si>
  <si>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</si>
  <si>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</si>
  <si>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</si>
  <si>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</si>
  <si>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</si>
  <si>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</si>
  <si>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</si>
  <si>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</si>
  <si>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</si>
  <si>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</si>
  <si>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</si>
  <si>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</si>
  <si>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</si>
  <si>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</si>
  <si>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</si>
  <si>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</si>
  <si>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</si>
  <si>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</si>
  <si>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</si>
  <si>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</si>
  <si>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</si>
  <si>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</si>
  <si>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</si>
  <si>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</si>
  <si>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</si>
  <si>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</si>
  <si>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</si>
  <si>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</si>
  <si>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</si>
  <si>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</si>
  <si>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</si>
  <si>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</si>
  <si>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</si>
  <si>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</si>
  <si>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</si>
  <si>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</si>
  <si>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</si>
  <si>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</si>
  <si>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</si>
  <si>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</si>
  <si>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</si>
  <si>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</si>
  <si>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</si>
  <si>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</si>
  <si>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</si>
  <si>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</si>
  <si>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</si>
  <si>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</si>
  <si>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</si>
  <si>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</si>
  <si>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</si>
  <si>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</si>
  <si>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</si>
  <si>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</si>
  <si>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</si>
  <si>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</si>
  <si>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</si>
  <si>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</si>
  <si>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</si>
  <si>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</si>
  <si>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</si>
  <si>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</si>
  <si>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</si>
  <si>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</si>
  <si>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</si>
  <si>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</si>
  <si>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</si>
  <si>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</si>
  <si>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</si>
  <si>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</si>
  <si>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</si>
  <si>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</si>
  <si>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</si>
  <si>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</si>
  <si>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</si>
  <si>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</si>
  <si>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</si>
  <si>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</si>
  <si>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</si>
  <si>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</si>
  <si>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</si>
  <si>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</si>
  <si>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</si>
  <si>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</si>
  <si>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</si>
  <si>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</si>
  <si>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</si>
  <si>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</si>
  <si>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</si>
  <si>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</si>
  <si>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</si>
  <si>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</si>
  <si>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</si>
  <si>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</si>
  <si>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</si>
  <si>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</si>
  <si>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</si>
  <si>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</si>
  <si>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</si>
  <si>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</si>
  <si>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</si>
  <si>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</si>
  <si>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</si>
  <si>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</si>
  <si>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</si>
  <si>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</si>
  <si>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</si>
  <si>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</si>
  <si>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</si>
  <si>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</si>
  <si>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</si>
  <si>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</si>
  <si>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</si>
  <si>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</si>
  <si>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</si>
  <si>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</si>
  <si>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</si>
  <si>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</si>
  <si>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</si>
  <si>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</si>
  <si>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Stamford Hospital</t>
  </si>
  <si>
    <t>Tully Health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</si>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</sst>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68128000</v>
      </c>
      <c r="D13" s="22">
        <v>105744000</v>
      </c>
      <c r="E13" s="22">
        <f t="shared" ref="E13:E22" si="0">D13-C13</f>
        <v>37616000</v>
      </c>
      <c r="F13" s="23">
        <f t="shared" ref="F13:F22" si="1">IF(C13=0,0,E13/C13)</f>
        <v>0.55213715359323623</v>
      </c>
    </row>
    <row r="14" spans="1:8" ht="24" customHeight="1" x14ac:dyDescent="0.2">
      <c r="A14" s="20">
        <v>2</v>
      </c>
      <c r="B14" s="21" t="s">
        <v>17</v>
      </c>
      <c r="C14" s="22">
        <v>30119000</v>
      </c>
      <c r="D14" s="22">
        <v>44000</v>
      </c>
      <c r="E14" s="22">
        <f t="shared" si="0"/>
        <v>-30075000</v>
      </c>
      <c r="F14" s="23">
        <f t="shared" si="1"/>
        <v>-0.9985391281251037</v>
      </c>
    </row>
    <row r="15" spans="1:8" ht="24" customHeight="1" x14ac:dyDescent="0.2">
      <c r="A15" s="20">
        <v>3</v>
      </c>
      <c r="B15" s="21" t="s">
        <v>18</v>
      </c>
      <c r="C15" s="22">
        <v>64792000</v>
      </c>
      <c r="D15" s="22">
        <v>68026000</v>
      </c>
      <c r="E15" s="22">
        <f t="shared" si="0"/>
        <v>3234000</v>
      </c>
      <c r="F15" s="23">
        <f t="shared" si="1"/>
        <v>4.9913569576490922E-2</v>
      </c>
    </row>
    <row r="16" spans="1:8" ht="24" customHeight="1" x14ac:dyDescent="0.2">
      <c r="A16" s="20">
        <v>4</v>
      </c>
      <c r="B16" s="21" t="s">
        <v>19</v>
      </c>
      <c r="C16" s="22">
        <v>8511000</v>
      </c>
      <c r="D16" s="22">
        <v>7322000</v>
      </c>
      <c r="E16" s="22">
        <f t="shared" si="0"/>
        <v>-1189000</v>
      </c>
      <c r="F16" s="23">
        <f t="shared" si="1"/>
        <v>-0.13970156268358594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2554000</v>
      </c>
      <c r="D18" s="22">
        <v>3366000</v>
      </c>
      <c r="E18" s="22">
        <f t="shared" si="0"/>
        <v>812000</v>
      </c>
      <c r="F18" s="23">
        <f t="shared" si="1"/>
        <v>0.31793265465935788</v>
      </c>
    </row>
    <row r="19" spans="1:11" ht="24" customHeight="1" x14ac:dyDescent="0.2">
      <c r="A19" s="20">
        <v>7</v>
      </c>
      <c r="B19" s="21" t="s">
        <v>22</v>
      </c>
      <c r="C19" s="22">
        <v>5408000</v>
      </c>
      <c r="D19" s="22">
        <v>5564000</v>
      </c>
      <c r="E19" s="22">
        <f t="shared" si="0"/>
        <v>156000</v>
      </c>
      <c r="F19" s="23">
        <f t="shared" si="1"/>
        <v>2.8846153846153848E-2</v>
      </c>
    </row>
    <row r="20" spans="1:11" ht="24" customHeight="1" x14ac:dyDescent="0.2">
      <c r="A20" s="20">
        <v>8</v>
      </c>
      <c r="B20" s="21" t="s">
        <v>23</v>
      </c>
      <c r="C20" s="22">
        <v>5038000</v>
      </c>
      <c r="D20" s="22">
        <v>6075000</v>
      </c>
      <c r="E20" s="22">
        <f t="shared" si="0"/>
        <v>1037000</v>
      </c>
      <c r="F20" s="23">
        <f t="shared" si="1"/>
        <v>0.20583564906709012</v>
      </c>
    </row>
    <row r="21" spans="1:11" ht="24" customHeight="1" x14ac:dyDescent="0.2">
      <c r="A21" s="20">
        <v>9</v>
      </c>
      <c r="B21" s="21" t="s">
        <v>24</v>
      </c>
      <c r="C21" s="22">
        <v>159000</v>
      </c>
      <c r="D21" s="22">
        <v>159000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184709000</v>
      </c>
      <c r="D22" s="26">
        <f>SUM(D13:D21)</f>
        <v>196300000</v>
      </c>
      <c r="E22" s="26">
        <f t="shared" si="0"/>
        <v>11591000</v>
      </c>
      <c r="F22" s="27">
        <f t="shared" si="1"/>
        <v>6.2752762453372607E-2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243826000</v>
      </c>
      <c r="D25" s="22">
        <v>167015000</v>
      </c>
      <c r="E25" s="22">
        <f>D25-C25</f>
        <v>-76811000</v>
      </c>
      <c r="F25" s="23">
        <f>IF(C25=0,0,E25/C25)</f>
        <v>-0.31502382846784183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26075000</v>
      </c>
      <c r="D28" s="22">
        <v>26075000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269901000</v>
      </c>
      <c r="D29" s="26">
        <f>SUM(D25:D28)</f>
        <v>193090000</v>
      </c>
      <c r="E29" s="26">
        <f>D29-C29</f>
        <v>-76811000</v>
      </c>
      <c r="F29" s="27">
        <f>IF(C29=0,0,E29/C29)</f>
        <v>-0.28458953468123499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39373000</v>
      </c>
      <c r="D32" s="22">
        <v>54217000</v>
      </c>
      <c r="E32" s="22">
        <f>D32-C32</f>
        <v>14844000</v>
      </c>
      <c r="F32" s="23">
        <f>IF(C32=0,0,E32/C32)</f>
        <v>0.37700962588575926</v>
      </c>
    </row>
    <row r="33" spans="1:8" ht="24" customHeight="1" x14ac:dyDescent="0.2">
      <c r="A33" s="20">
        <v>7</v>
      </c>
      <c r="B33" s="21" t="s">
        <v>35</v>
      </c>
      <c r="C33" s="22">
        <v>48833000</v>
      </c>
      <c r="D33" s="22">
        <v>24604000</v>
      </c>
      <c r="E33" s="22">
        <f>D33-C33</f>
        <v>-24229000</v>
      </c>
      <c r="F33" s="23">
        <f>IF(C33=0,0,E33/C33)</f>
        <v>-0.49616038334732659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547904000</v>
      </c>
      <c r="D36" s="22">
        <v>561134000</v>
      </c>
      <c r="E36" s="22">
        <f>D36-C36</f>
        <v>13230000</v>
      </c>
      <c r="F36" s="23">
        <f>IF(C36=0,0,E36/C36)</f>
        <v>2.4146565821749795E-2</v>
      </c>
    </row>
    <row r="37" spans="1:8" ht="24" customHeight="1" x14ac:dyDescent="0.2">
      <c r="A37" s="20">
        <v>2</v>
      </c>
      <c r="B37" s="21" t="s">
        <v>39</v>
      </c>
      <c r="C37" s="22">
        <v>339669000</v>
      </c>
      <c r="D37" s="22">
        <v>363576000</v>
      </c>
      <c r="E37" s="22">
        <f>D37-C37</f>
        <v>23907000</v>
      </c>
      <c r="F37" s="23">
        <f>IF(C37=0,0,E37/C37)</f>
        <v>7.0383226022981193E-2</v>
      </c>
    </row>
    <row r="38" spans="1:8" ht="24" customHeight="1" x14ac:dyDescent="0.25">
      <c r="A38" s="24"/>
      <c r="B38" s="25" t="s">
        <v>40</v>
      </c>
      <c r="C38" s="26">
        <f>C36-C37</f>
        <v>208235000</v>
      </c>
      <c r="D38" s="26">
        <f>D36-D37</f>
        <v>197558000</v>
      </c>
      <c r="E38" s="26">
        <f>D38-C38</f>
        <v>-10677000</v>
      </c>
      <c r="F38" s="27">
        <f>IF(C38=0,0,E38/C38)</f>
        <v>-5.1273801234182535E-2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47044000</v>
      </c>
      <c r="D40" s="22">
        <v>132021000</v>
      </c>
      <c r="E40" s="22">
        <f>D40-C40</f>
        <v>84977000</v>
      </c>
      <c r="F40" s="23">
        <f>IF(C40=0,0,E40/C40)</f>
        <v>1.8063302440268685</v>
      </c>
    </row>
    <row r="41" spans="1:8" ht="24" customHeight="1" x14ac:dyDescent="0.25">
      <c r="A41" s="24"/>
      <c r="B41" s="25" t="s">
        <v>42</v>
      </c>
      <c r="C41" s="26">
        <f>+C38+C40</f>
        <v>255279000</v>
      </c>
      <c r="D41" s="26">
        <f>+D38+D40</f>
        <v>329579000</v>
      </c>
      <c r="E41" s="26">
        <f>D41-C41</f>
        <v>74300000</v>
      </c>
      <c r="F41" s="27">
        <f>IF(C41=0,0,E41/C41)</f>
        <v>0.29105410159080847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798095000</v>
      </c>
      <c r="D43" s="26">
        <f>D22+D29+D31+D32+D33+D41</f>
        <v>797790000</v>
      </c>
      <c r="E43" s="26">
        <f>D43-C43</f>
        <v>-305000</v>
      </c>
      <c r="F43" s="27">
        <f>IF(C43=0,0,E43/C43)</f>
        <v>-3.8216001854415827E-4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61934000</v>
      </c>
      <c r="D49" s="22">
        <v>67704000</v>
      </c>
      <c r="E49" s="22">
        <f t="shared" ref="E49:E56" si="2">D49-C49</f>
        <v>5770000</v>
      </c>
      <c r="F49" s="23">
        <f t="shared" ref="F49:F56" si="3">IF(C49=0,0,E49/C49)</f>
        <v>9.3163690380082029E-2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10044000</v>
      </c>
      <c r="D50" s="22">
        <v>11945000</v>
      </c>
      <c r="E50" s="22">
        <f t="shared" si="2"/>
        <v>1901000</v>
      </c>
      <c r="F50" s="23">
        <f t="shared" si="3"/>
        <v>0.18926722421346076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7600000</v>
      </c>
      <c r="D51" s="22">
        <v>6229000</v>
      </c>
      <c r="E51" s="22">
        <f t="shared" si="2"/>
        <v>-1371000</v>
      </c>
      <c r="F51" s="23">
        <f t="shared" si="3"/>
        <v>-0.18039473684210527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5416000</v>
      </c>
      <c r="D53" s="22">
        <v>5664000</v>
      </c>
      <c r="E53" s="22">
        <f t="shared" si="2"/>
        <v>248000</v>
      </c>
      <c r="F53" s="23">
        <f t="shared" si="3"/>
        <v>4.5790251107828653E-2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17731000</v>
      </c>
      <c r="D55" s="22">
        <v>18956000</v>
      </c>
      <c r="E55" s="22">
        <f t="shared" si="2"/>
        <v>1225000</v>
      </c>
      <c r="F55" s="23">
        <f t="shared" si="3"/>
        <v>6.9088037899723648E-2</v>
      </c>
    </row>
    <row r="56" spans="1:6" ht="24" customHeight="1" x14ac:dyDescent="0.25">
      <c r="A56" s="24"/>
      <c r="B56" s="25" t="s">
        <v>54</v>
      </c>
      <c r="C56" s="26">
        <f>SUM(C49:C55)</f>
        <v>102725000</v>
      </c>
      <c r="D56" s="26">
        <f>SUM(D49:D55)</f>
        <v>110498000</v>
      </c>
      <c r="E56" s="26">
        <f t="shared" si="2"/>
        <v>7773000</v>
      </c>
      <c r="F56" s="27">
        <f t="shared" si="3"/>
        <v>7.5668045753224625E-2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379180000</v>
      </c>
      <c r="D59" s="22">
        <v>373518000</v>
      </c>
      <c r="E59" s="22">
        <f>D59-C59</f>
        <v>-5662000</v>
      </c>
      <c r="F59" s="23">
        <f>IF(C59=0,0,E59/C59)</f>
        <v>-1.4932222163616225E-2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379180000</v>
      </c>
      <c r="D61" s="26">
        <f>SUM(D59:D60)</f>
        <v>373518000</v>
      </c>
      <c r="E61" s="26">
        <f>D61-C61</f>
        <v>-5662000</v>
      </c>
      <c r="F61" s="27">
        <f>IF(C61=0,0,E61/C61)</f>
        <v>-1.4932222163616225E-2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109714000</v>
      </c>
      <c r="D63" s="22">
        <v>59907000</v>
      </c>
      <c r="E63" s="22">
        <f>D63-C63</f>
        <v>-49807000</v>
      </c>
      <c r="F63" s="23">
        <f>IF(C63=0,0,E63/C63)</f>
        <v>-0.45397123430008934</v>
      </c>
    </row>
    <row r="64" spans="1:6" ht="24" customHeight="1" x14ac:dyDescent="0.2">
      <c r="A64" s="20">
        <v>4</v>
      </c>
      <c r="B64" s="21" t="s">
        <v>60</v>
      </c>
      <c r="C64" s="22">
        <v>45462000</v>
      </c>
      <c r="D64" s="22">
        <v>45491000</v>
      </c>
      <c r="E64" s="22">
        <f>D64-C64</f>
        <v>29000</v>
      </c>
      <c r="F64" s="23">
        <f>IF(C64=0,0,E64/C64)</f>
        <v>6.3789538515683425E-4</v>
      </c>
    </row>
    <row r="65" spans="1:6" ht="24" customHeight="1" x14ac:dyDescent="0.25">
      <c r="A65" s="24"/>
      <c r="B65" s="25" t="s">
        <v>61</v>
      </c>
      <c r="C65" s="26">
        <f>SUM(C61:C64)</f>
        <v>534356000</v>
      </c>
      <c r="D65" s="26">
        <f>SUM(D61:D64)</f>
        <v>478916000</v>
      </c>
      <c r="E65" s="26">
        <f>D65-C65</f>
        <v>-55440000</v>
      </c>
      <c r="F65" s="27">
        <f>IF(C65=0,0,E65/C65)</f>
        <v>-0.1037510573475361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120895000</v>
      </c>
      <c r="D70" s="22">
        <v>160467000</v>
      </c>
      <c r="E70" s="22">
        <f>D70-C70</f>
        <v>39572000</v>
      </c>
      <c r="F70" s="23">
        <f>IF(C70=0,0,E70/C70)</f>
        <v>0.32732536498614501</v>
      </c>
    </row>
    <row r="71" spans="1:6" ht="24" customHeight="1" x14ac:dyDescent="0.2">
      <c r="A71" s="20">
        <v>2</v>
      </c>
      <c r="B71" s="21" t="s">
        <v>65</v>
      </c>
      <c r="C71" s="22">
        <v>32086000</v>
      </c>
      <c r="D71" s="22">
        <v>39876000</v>
      </c>
      <c r="E71" s="22">
        <f>D71-C71</f>
        <v>7790000</v>
      </c>
      <c r="F71" s="23">
        <f>IF(C71=0,0,E71/C71)</f>
        <v>0.24278501527145796</v>
      </c>
    </row>
    <row r="72" spans="1:6" ht="24" customHeight="1" x14ac:dyDescent="0.2">
      <c r="A72" s="20">
        <v>3</v>
      </c>
      <c r="B72" s="21" t="s">
        <v>66</v>
      </c>
      <c r="C72" s="22">
        <v>8033000</v>
      </c>
      <c r="D72" s="22">
        <v>8033000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161014000</v>
      </c>
      <c r="D73" s="26">
        <f>SUM(D70:D72)</f>
        <v>208376000</v>
      </c>
      <c r="E73" s="26">
        <f>D73-C73</f>
        <v>47362000</v>
      </c>
      <c r="F73" s="27">
        <f>IF(C73=0,0,E73/C73)</f>
        <v>0.29414833492739761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798095000</v>
      </c>
      <c r="D75" s="26">
        <f>D56+D65+D67+D73</f>
        <v>797790000</v>
      </c>
      <c r="E75" s="26">
        <f>D75-C75</f>
        <v>-305000</v>
      </c>
      <c r="F75" s="27">
        <f>IF(C75=0,0,E75/C75)</f>
        <v>-3.8216001854415827E-4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475258979</v>
      </c>
      <c r="D11" s="76">
        <v>528744000</v>
      </c>
      <c r="E11" s="76">
        <v>495861267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38776834</v>
      </c>
      <c r="D12" s="185">
        <v>27041494</v>
      </c>
      <c r="E12" s="185">
        <v>22120448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514035813</v>
      </c>
      <c r="D13" s="76">
        <f>+D11+D12</f>
        <v>555785494</v>
      </c>
      <c r="E13" s="76">
        <f>+E11+E12</f>
        <v>517981715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486051034</v>
      </c>
      <c r="D14" s="185">
        <v>528907794</v>
      </c>
      <c r="E14" s="185">
        <v>513251900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27984779</v>
      </c>
      <c r="D15" s="76">
        <f>+D13-D14</f>
        <v>26877700</v>
      </c>
      <c r="E15" s="76">
        <f>+E13-E14</f>
        <v>4729815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-724009</v>
      </c>
      <c r="D16" s="185">
        <v>-2165592</v>
      </c>
      <c r="E16" s="185">
        <v>7750771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27260770</v>
      </c>
      <c r="D17" s="76">
        <f>D15+D16</f>
        <v>24712108</v>
      </c>
      <c r="E17" s="76">
        <f>E15+E16</f>
        <v>12480586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5.4518089749597889E-2</v>
      </c>
      <c r="D20" s="189">
        <f>IF(+D27=0,0,+D24/+D27)</f>
        <v>4.854901332647539E-2</v>
      </c>
      <c r="E20" s="189">
        <f>IF(+E27=0,0,+E24/+E27)</f>
        <v>8.9966192425856677E-3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-1.4104662981800434E-3</v>
      </c>
      <c r="D21" s="189">
        <f>IF(+D27=0,0,+D26/+D27)</f>
        <v>-3.9116946341282363E-3</v>
      </c>
      <c r="E21" s="189">
        <f>IF(+E27=0,0,+E26/+E27)</f>
        <v>1.4742804004696792E-2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5.3107623451417847E-2</v>
      </c>
      <c r="D22" s="189">
        <f>IF(+D27=0,0,+D28/+D27)</f>
        <v>4.4637318692347154E-2</v>
      </c>
      <c r="E22" s="189">
        <f>IF(+E27=0,0,+E28/+E27)</f>
        <v>2.3739423247282457E-2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27984779</v>
      </c>
      <c r="D24" s="76">
        <f>+D15</f>
        <v>26877700</v>
      </c>
      <c r="E24" s="76">
        <f>+E15</f>
        <v>4729815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514035813</v>
      </c>
      <c r="D25" s="76">
        <f>+D13</f>
        <v>555785494</v>
      </c>
      <c r="E25" s="76">
        <f>+E13</f>
        <v>517981715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-724009</v>
      </c>
      <c r="D26" s="76">
        <f>+D16</f>
        <v>-2165592</v>
      </c>
      <c r="E26" s="76">
        <f>+E16</f>
        <v>7750771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513311804</v>
      </c>
      <c r="D27" s="76">
        <f>SUM(D25:D26)</f>
        <v>553619902</v>
      </c>
      <c r="E27" s="76">
        <f>SUM(E25:E26)</f>
        <v>525732486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27260770</v>
      </c>
      <c r="D28" s="76">
        <f>+D17</f>
        <v>24712108</v>
      </c>
      <c r="E28" s="76">
        <f>+E17</f>
        <v>12480586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169011000</v>
      </c>
      <c r="D31" s="76">
        <v>266405000</v>
      </c>
      <c r="E31" s="76">
        <v>340828000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198114000</v>
      </c>
      <c r="D32" s="76">
        <v>308932000</v>
      </c>
      <c r="E32" s="76">
        <v>391145000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19296000</v>
      </c>
      <c r="D33" s="76">
        <f>+D32-C32</f>
        <v>110818000</v>
      </c>
      <c r="E33" s="76">
        <f>+E32-D32</f>
        <v>82213000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1.1079000000000001</v>
      </c>
      <c r="D34" s="193">
        <f>IF(C32=0,0,+D33/C32)</f>
        <v>0.55936481015980699</v>
      </c>
      <c r="E34" s="193">
        <f>IF(D32=0,0,+E33/D32)</f>
        <v>0.26612005230924607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2.0702920751633989</v>
      </c>
      <c r="D38" s="338">
        <f>IF(+D40=0,0,+D39/+D40)</f>
        <v>2.2329771521581865</v>
      </c>
      <c r="E38" s="338">
        <f>IF(+E40=0,0,+E39/+E40)</f>
        <v>1.6124421443368837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202723000</v>
      </c>
      <c r="D39" s="341">
        <v>296325000</v>
      </c>
      <c r="E39" s="341">
        <v>209374000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97920000</v>
      </c>
      <c r="D40" s="341">
        <v>132704000</v>
      </c>
      <c r="E40" s="341">
        <v>129849000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95.519861722892287</v>
      </c>
      <c r="D42" s="343">
        <f>IF((D48/365)=0,0,+D45/(D48/365))</f>
        <v>142.27529748498483</v>
      </c>
      <c r="E42" s="343">
        <f>IF((E48/365)=0,0,+E45/(E48/365))</f>
        <v>84.467315712904252</v>
      </c>
    </row>
    <row r="43" spans="1:14" ht="24" customHeight="1" x14ac:dyDescent="0.2">
      <c r="A43" s="339">
        <v>5</v>
      </c>
      <c r="B43" s="344" t="s">
        <v>16</v>
      </c>
      <c r="C43" s="345">
        <v>94498000</v>
      </c>
      <c r="D43" s="345">
        <v>76275000</v>
      </c>
      <c r="E43" s="345">
        <v>112710000</v>
      </c>
    </row>
    <row r="44" spans="1:14" ht="24" customHeight="1" x14ac:dyDescent="0.2">
      <c r="A44" s="339">
        <v>6</v>
      </c>
      <c r="B44" s="346" t="s">
        <v>17</v>
      </c>
      <c r="C44" s="345">
        <v>25033000</v>
      </c>
      <c r="D44" s="345">
        <v>119215000</v>
      </c>
      <c r="E44" s="345">
        <v>44000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119531000</v>
      </c>
      <c r="D45" s="341">
        <f>+D43+D44</f>
        <v>195490000</v>
      </c>
      <c r="E45" s="341">
        <f>+E43+E44</f>
        <v>112754000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486051034</v>
      </c>
      <c r="D46" s="341">
        <f>+D14</f>
        <v>528907794</v>
      </c>
      <c r="E46" s="341">
        <f>+E14</f>
        <v>513251900</v>
      </c>
    </row>
    <row r="47" spans="1:14" ht="24" customHeight="1" x14ac:dyDescent="0.2">
      <c r="A47" s="339">
        <v>9</v>
      </c>
      <c r="B47" s="340" t="s">
        <v>356</v>
      </c>
      <c r="C47" s="341">
        <v>29299797</v>
      </c>
      <c r="D47" s="341">
        <v>27388196</v>
      </c>
      <c r="E47" s="341">
        <v>26019535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456751237</v>
      </c>
      <c r="D48" s="341">
        <f>+D46-D47</f>
        <v>501519598</v>
      </c>
      <c r="E48" s="341">
        <f>+E46-E47</f>
        <v>487232365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42.064255244717849</v>
      </c>
      <c r="D50" s="350">
        <f>IF((D55/365)=0,0,+D54/(D55/365))</f>
        <v>30.98548636012891</v>
      </c>
      <c r="E50" s="350">
        <f>IF((E55/365)=0,0,+E54/(E55/365))</f>
        <v>45.218928140237253</v>
      </c>
    </row>
    <row r="51" spans="1:5" ht="24" customHeight="1" x14ac:dyDescent="0.2">
      <c r="A51" s="339">
        <v>12</v>
      </c>
      <c r="B51" s="344" t="s">
        <v>359</v>
      </c>
      <c r="C51" s="351">
        <v>62433000</v>
      </c>
      <c r="D51" s="351">
        <v>69756000</v>
      </c>
      <c r="E51" s="351">
        <v>72380000</v>
      </c>
    </row>
    <row r="52" spans="1:5" ht="24" customHeight="1" x14ac:dyDescent="0.2">
      <c r="A52" s="339">
        <v>13</v>
      </c>
      <c r="B52" s="344" t="s">
        <v>21</v>
      </c>
      <c r="C52" s="341">
        <v>2592000</v>
      </c>
      <c r="D52" s="341">
        <v>2554000</v>
      </c>
      <c r="E52" s="341">
        <v>3366000</v>
      </c>
    </row>
    <row r="53" spans="1:5" ht="24" customHeight="1" x14ac:dyDescent="0.2">
      <c r="A53" s="339">
        <v>14</v>
      </c>
      <c r="B53" s="344" t="s">
        <v>49</v>
      </c>
      <c r="C53" s="341">
        <v>10254000</v>
      </c>
      <c r="D53" s="341">
        <v>27424000</v>
      </c>
      <c r="E53" s="341">
        <v>14315000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54771000</v>
      </c>
      <c r="D54" s="352">
        <f>+D51+D52-D53</f>
        <v>44886000</v>
      </c>
      <c r="E54" s="352">
        <f>+E51+E52-E53</f>
        <v>61431000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475258979</v>
      </c>
      <c r="D55" s="341">
        <f>+D11</f>
        <v>528744000</v>
      </c>
      <c r="E55" s="341">
        <f>+E11</f>
        <v>495861267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78.250034383595988</v>
      </c>
      <c r="D57" s="355">
        <f>IF((D61/365)=0,0,+D58/(D61/365))</f>
        <v>96.58039325514055</v>
      </c>
      <c r="E57" s="355">
        <f>IF((E61/365)=0,0,+E58/(E61/365))</f>
        <v>97.273679674378783</v>
      </c>
    </row>
    <row r="58" spans="1:5" ht="24" customHeight="1" x14ac:dyDescent="0.2">
      <c r="A58" s="339">
        <v>18</v>
      </c>
      <c r="B58" s="340" t="s">
        <v>54</v>
      </c>
      <c r="C58" s="353">
        <f>+C40</f>
        <v>97920000</v>
      </c>
      <c r="D58" s="353">
        <f>+D40</f>
        <v>132704000</v>
      </c>
      <c r="E58" s="353">
        <f>+E40</f>
        <v>129849000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486051034</v>
      </c>
      <c r="D59" s="353">
        <f t="shared" si="0"/>
        <v>528907794</v>
      </c>
      <c r="E59" s="353">
        <f t="shared" si="0"/>
        <v>513251900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29299797</v>
      </c>
      <c r="D60" s="356">
        <f t="shared" si="0"/>
        <v>27388196</v>
      </c>
      <c r="E60" s="356">
        <f t="shared" si="0"/>
        <v>26019535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456751237</v>
      </c>
      <c r="D61" s="353">
        <f>+D59-D60</f>
        <v>501519598</v>
      </c>
      <c r="E61" s="353">
        <f>+E59-E60</f>
        <v>487232365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29.220052300344985</v>
      </c>
      <c r="D65" s="357">
        <f>IF(D67=0,0,(D66/D67)*100)</f>
        <v>31.289639735448127</v>
      </c>
      <c r="E65" s="357">
        <f>IF(E67=0,0,(E66/E67)*100)</f>
        <v>38.587738777942313</v>
      </c>
    </row>
    <row r="66" spans="1:5" ht="24" customHeight="1" x14ac:dyDescent="0.2">
      <c r="A66" s="339">
        <v>2</v>
      </c>
      <c r="B66" s="340" t="s">
        <v>67</v>
      </c>
      <c r="C66" s="353">
        <f>+C32</f>
        <v>198114000</v>
      </c>
      <c r="D66" s="353">
        <f>+D32</f>
        <v>308932000</v>
      </c>
      <c r="E66" s="353">
        <f>+E32</f>
        <v>391145000</v>
      </c>
    </row>
    <row r="67" spans="1:5" ht="24" customHeight="1" x14ac:dyDescent="0.2">
      <c r="A67" s="339">
        <v>3</v>
      </c>
      <c r="B67" s="340" t="s">
        <v>43</v>
      </c>
      <c r="C67" s="353">
        <v>678007000</v>
      </c>
      <c r="D67" s="353">
        <v>987330000</v>
      </c>
      <c r="E67" s="353">
        <v>1013651000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22.642250031024698</v>
      </c>
      <c r="D69" s="357">
        <f>IF(D75=0,0,(D72/D75)*100)</f>
        <v>10.07306389494687</v>
      </c>
      <c r="E69" s="357">
        <f>IF(E75=0,0,(E72/E75)*100)</f>
        <v>7.5718032832022528</v>
      </c>
    </row>
    <row r="70" spans="1:5" ht="24" customHeight="1" x14ac:dyDescent="0.2">
      <c r="A70" s="339">
        <v>5</v>
      </c>
      <c r="B70" s="340" t="s">
        <v>366</v>
      </c>
      <c r="C70" s="353">
        <f>+C28</f>
        <v>27260770</v>
      </c>
      <c r="D70" s="353">
        <f>+D28</f>
        <v>24712108</v>
      </c>
      <c r="E70" s="353">
        <f>+E28</f>
        <v>12480586</v>
      </c>
    </row>
    <row r="71" spans="1:5" ht="24" customHeight="1" x14ac:dyDescent="0.2">
      <c r="A71" s="339">
        <v>6</v>
      </c>
      <c r="B71" s="340" t="s">
        <v>356</v>
      </c>
      <c r="C71" s="356">
        <f>+C47</f>
        <v>29299797</v>
      </c>
      <c r="D71" s="356">
        <f>+D47</f>
        <v>27388196</v>
      </c>
      <c r="E71" s="356">
        <f>+E47</f>
        <v>26019535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56560567</v>
      </c>
      <c r="D72" s="353">
        <f>+D70+D71</f>
        <v>52100304</v>
      </c>
      <c r="E72" s="353">
        <f>+E70+E71</f>
        <v>38500121</v>
      </c>
    </row>
    <row r="73" spans="1:5" ht="24" customHeight="1" x14ac:dyDescent="0.2">
      <c r="A73" s="339">
        <v>8</v>
      </c>
      <c r="B73" s="340" t="s">
        <v>54</v>
      </c>
      <c r="C73" s="341">
        <f>+C40</f>
        <v>97920000</v>
      </c>
      <c r="D73" s="341">
        <f>+D40</f>
        <v>132704000</v>
      </c>
      <c r="E73" s="341">
        <f>+E40</f>
        <v>129849000</v>
      </c>
    </row>
    <row r="74" spans="1:5" ht="24" customHeight="1" x14ac:dyDescent="0.2">
      <c r="A74" s="339">
        <v>9</v>
      </c>
      <c r="B74" s="340" t="s">
        <v>58</v>
      </c>
      <c r="C74" s="353">
        <v>151881000</v>
      </c>
      <c r="D74" s="353">
        <v>384520000</v>
      </c>
      <c r="E74" s="353">
        <v>378618000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249801000</v>
      </c>
      <c r="D75" s="341">
        <f>+D73+D74</f>
        <v>517224000</v>
      </c>
      <c r="E75" s="341">
        <f>+E73+E74</f>
        <v>508467000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43.39519135987657</v>
      </c>
      <c r="D77" s="359">
        <f>IF(D80=0,0,(D78/D80)*100)</f>
        <v>55.450124882472039</v>
      </c>
      <c r="E77" s="359">
        <f>IF(E80=0,0,(E78/E80)*100)</f>
        <v>49.186307993499298</v>
      </c>
    </row>
    <row r="78" spans="1:5" ht="24" customHeight="1" x14ac:dyDescent="0.2">
      <c r="A78" s="339">
        <v>12</v>
      </c>
      <c r="B78" s="340" t="s">
        <v>58</v>
      </c>
      <c r="C78" s="341">
        <f>+C74</f>
        <v>151881000</v>
      </c>
      <c r="D78" s="341">
        <f>+D74</f>
        <v>384520000</v>
      </c>
      <c r="E78" s="341">
        <f>+E74</f>
        <v>378618000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198114000</v>
      </c>
      <c r="D79" s="341">
        <f>+D32</f>
        <v>308932000</v>
      </c>
      <c r="E79" s="341">
        <f>+E32</f>
        <v>391145000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349995000</v>
      </c>
      <c r="D80" s="341">
        <f>+D78+D79</f>
        <v>693452000</v>
      </c>
      <c r="E80" s="341">
        <f>+E78+E79</f>
        <v>769763000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44236</v>
      </c>
      <c r="D11" s="376">
        <v>8650</v>
      </c>
      <c r="E11" s="376">
        <v>8639</v>
      </c>
      <c r="F11" s="377">
        <v>183</v>
      </c>
      <c r="G11" s="377">
        <v>186</v>
      </c>
      <c r="H11" s="378">
        <f>IF(F11=0,0,$C11/(F11*365))</f>
        <v>0.66226513960625799</v>
      </c>
      <c r="I11" s="378">
        <f>IF(G11=0,0,$C11/(G11*365))</f>
        <v>0.65158344380615707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1409</v>
      </c>
      <c r="D13" s="376">
        <v>133</v>
      </c>
      <c r="E13" s="376">
        <v>0</v>
      </c>
      <c r="F13" s="377">
        <v>4</v>
      </c>
      <c r="G13" s="377">
        <v>16</v>
      </c>
      <c r="H13" s="378">
        <f>IF(F13=0,0,$C13/(F13*365))</f>
        <v>0.96506849315068488</v>
      </c>
      <c r="I13" s="378">
        <f>IF(G13=0,0,$C13/(G13*365))</f>
        <v>0.24126712328767122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4503</v>
      </c>
      <c r="D16" s="376">
        <v>694</v>
      </c>
      <c r="E16" s="376">
        <v>700</v>
      </c>
      <c r="F16" s="377">
        <v>14</v>
      </c>
      <c r="G16" s="377">
        <v>20</v>
      </c>
      <c r="H16" s="378">
        <f t="shared" si="0"/>
        <v>0.88121330724070446</v>
      </c>
      <c r="I16" s="378">
        <f t="shared" si="0"/>
        <v>0.61684931506849316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4503</v>
      </c>
      <c r="D17" s="381">
        <f>SUM(D15:D16)</f>
        <v>694</v>
      </c>
      <c r="E17" s="381">
        <f>SUM(E15:E16)</f>
        <v>700</v>
      </c>
      <c r="F17" s="381">
        <f>SUM(F15:F16)</f>
        <v>14</v>
      </c>
      <c r="G17" s="381">
        <f>SUM(G15:G16)</f>
        <v>20</v>
      </c>
      <c r="H17" s="382">
        <f t="shared" si="0"/>
        <v>0.88121330724070446</v>
      </c>
      <c r="I17" s="382">
        <f t="shared" si="0"/>
        <v>0.61684931506849316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3915</v>
      </c>
      <c r="D19" s="376">
        <v>358</v>
      </c>
      <c r="E19" s="376">
        <v>353</v>
      </c>
      <c r="F19" s="377">
        <v>12</v>
      </c>
      <c r="G19" s="377">
        <v>17</v>
      </c>
      <c r="H19" s="378">
        <f>IF(F19=0,0,$C19/(F19*365))</f>
        <v>0.89383561643835618</v>
      </c>
      <c r="I19" s="378">
        <f>IF(G19=0,0,$C19/(G19*365))</f>
        <v>0.63094278807413373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8313</v>
      </c>
      <c r="D21" s="376">
        <v>2487</v>
      </c>
      <c r="E21" s="376">
        <v>2476</v>
      </c>
      <c r="F21" s="377">
        <v>26</v>
      </c>
      <c r="G21" s="377">
        <v>32</v>
      </c>
      <c r="H21" s="378">
        <f>IF(F21=0,0,$C21/(F21*365))</f>
        <v>0.87597471022128559</v>
      </c>
      <c r="I21" s="378">
        <f>IF(G21=0,0,$C21/(G21*365))</f>
        <v>0.71172945205479454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6283</v>
      </c>
      <c r="D23" s="376">
        <v>2112</v>
      </c>
      <c r="E23" s="376">
        <v>2296</v>
      </c>
      <c r="F23" s="377">
        <v>19</v>
      </c>
      <c r="G23" s="377">
        <v>25</v>
      </c>
      <c r="H23" s="378">
        <f>IF(F23=0,0,$C23/(F23*365))</f>
        <v>0.90598413842826242</v>
      </c>
      <c r="I23" s="378">
        <f>IF(G23=0,0,$C23/(G23*365))</f>
        <v>0.68854794520547946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1915</v>
      </c>
      <c r="D25" s="376">
        <v>168</v>
      </c>
      <c r="E25" s="376">
        <v>0</v>
      </c>
      <c r="F25" s="377">
        <v>6</v>
      </c>
      <c r="G25" s="377">
        <v>16</v>
      </c>
      <c r="H25" s="378">
        <f>IF(F25=0,0,$C25/(F25*365))</f>
        <v>0.87442922374429222</v>
      </c>
      <c r="I25" s="378">
        <f>IF(G25=0,0,$C25/(G25*365))</f>
        <v>0.3279109589041096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1082</v>
      </c>
      <c r="D27" s="376">
        <v>402</v>
      </c>
      <c r="E27" s="376">
        <v>423</v>
      </c>
      <c r="F27" s="377">
        <v>3</v>
      </c>
      <c r="G27" s="377">
        <v>13</v>
      </c>
      <c r="H27" s="378">
        <f>IF(F27=0,0,$C27/(F27*365))</f>
        <v>0.98812785388127855</v>
      </c>
      <c r="I27" s="378">
        <f>IF(G27=0,0,$C27/(G27*365))</f>
        <v>0.22802950474183351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65373</v>
      </c>
      <c r="D31" s="384">
        <f>SUM(D10:D29)-D13-D17-D23</f>
        <v>12759</v>
      </c>
      <c r="E31" s="384">
        <f>SUM(E10:E29)-E17-E23</f>
        <v>12591</v>
      </c>
      <c r="F31" s="384">
        <f>SUM(F10:F29)-F17-F23</f>
        <v>248</v>
      </c>
      <c r="G31" s="384">
        <f>SUM(G10:G29)-G17-G23</f>
        <v>300</v>
      </c>
      <c r="H31" s="385">
        <f>IF(F31=0,0,$C31/(F31*365))</f>
        <v>0.72219399027839148</v>
      </c>
      <c r="I31" s="385">
        <f>IF(G31=0,0,$C31/(G31*365))</f>
        <v>0.59701369863013698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71656</v>
      </c>
      <c r="D33" s="384">
        <f>SUM(D10:D29)-D13-D17</f>
        <v>14871</v>
      </c>
      <c r="E33" s="384">
        <f>SUM(E10:E29)-E17</f>
        <v>14887</v>
      </c>
      <c r="F33" s="384">
        <f>SUM(F10:F29)-F17</f>
        <v>267</v>
      </c>
      <c r="G33" s="384">
        <f>SUM(G10:G29)-G17</f>
        <v>325</v>
      </c>
      <c r="H33" s="385">
        <f>IF(F33=0,0,$C33/(F33*365))</f>
        <v>0.73527268995946848</v>
      </c>
      <c r="I33" s="385">
        <f>IF(G33=0,0,$C33/(G33*365))</f>
        <v>0.604054794520548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71656</v>
      </c>
      <c r="D36" s="384">
        <f t="shared" si="1"/>
        <v>14871</v>
      </c>
      <c r="E36" s="384">
        <f t="shared" si="1"/>
        <v>14887</v>
      </c>
      <c r="F36" s="384">
        <f t="shared" si="1"/>
        <v>267</v>
      </c>
      <c r="G36" s="384">
        <f t="shared" si="1"/>
        <v>325</v>
      </c>
      <c r="H36" s="387">
        <f t="shared" si="1"/>
        <v>0.73527268995946848</v>
      </c>
      <c r="I36" s="387">
        <f t="shared" si="1"/>
        <v>0.604054794520548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70911</v>
      </c>
      <c r="D37" s="384">
        <v>14294</v>
      </c>
      <c r="E37" s="384">
        <v>14167</v>
      </c>
      <c r="F37" s="386">
        <v>267</v>
      </c>
      <c r="G37" s="386">
        <v>325</v>
      </c>
      <c r="H37" s="385">
        <f>IF(F37=0,0,$C37/(F37*365))</f>
        <v>0.72762813606279819</v>
      </c>
      <c r="I37" s="385">
        <f>IF(G37=0,0,$C37/(G37*365))</f>
        <v>0.59777449947312966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745</v>
      </c>
      <c r="D38" s="384">
        <f t="shared" si="2"/>
        <v>577</v>
      </c>
      <c r="E38" s="384">
        <f t="shared" si="2"/>
        <v>720</v>
      </c>
      <c r="F38" s="384">
        <f t="shared" si="2"/>
        <v>0</v>
      </c>
      <c r="G38" s="384">
        <f t="shared" si="2"/>
        <v>0</v>
      </c>
      <c r="H38" s="387">
        <f t="shared" si="2"/>
        <v>7.6445538966702919E-3</v>
      </c>
      <c r="I38" s="387">
        <f t="shared" si="2"/>
        <v>6.2802950474183383E-3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1.0506127399134126E-2</v>
      </c>
      <c r="D40" s="389">
        <f t="shared" si="3"/>
        <v>4.0366587379319994E-2</v>
      </c>
      <c r="E40" s="389">
        <f t="shared" si="3"/>
        <v>5.082233359215077E-2</v>
      </c>
      <c r="F40" s="389">
        <f t="shared" si="3"/>
        <v>0</v>
      </c>
      <c r="G40" s="389">
        <f t="shared" si="3"/>
        <v>0</v>
      </c>
      <c r="H40" s="389">
        <f t="shared" si="3"/>
        <v>1.0506127399134172E-2</v>
      </c>
      <c r="I40" s="389">
        <f t="shared" si="3"/>
        <v>1.0506127399134131E-2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330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9853</v>
      </c>
      <c r="D12" s="409">
        <v>9414</v>
      </c>
      <c r="E12" s="409">
        <f>+D12-C12</f>
        <v>-439</v>
      </c>
      <c r="F12" s="410">
        <f>IF(C12=0,0,+E12/C12)</f>
        <v>-4.455495788084847E-2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14087</v>
      </c>
      <c r="D13" s="409">
        <v>12891</v>
      </c>
      <c r="E13" s="409">
        <f>+D13-C13</f>
        <v>-1196</v>
      </c>
      <c r="F13" s="410">
        <f>IF(C13=0,0,+E13/C13)</f>
        <v>-8.4900972527862564E-2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13814</v>
      </c>
      <c r="D14" s="409">
        <v>15408</v>
      </c>
      <c r="E14" s="409">
        <f>+D14-C14</f>
        <v>1594</v>
      </c>
      <c r="F14" s="410">
        <f>IF(C14=0,0,+E14/C14)</f>
        <v>0.11539018387143478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37754</v>
      </c>
      <c r="D16" s="401">
        <f>SUM(D12:D15)</f>
        <v>37713</v>
      </c>
      <c r="E16" s="401">
        <f>+D16-C16</f>
        <v>-41</v>
      </c>
      <c r="F16" s="402">
        <f>IF(C16=0,0,+E16/C16)</f>
        <v>-1.0859776447528738E-3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2452</v>
      </c>
      <c r="D19" s="409">
        <v>2295</v>
      </c>
      <c r="E19" s="409">
        <f>+D19-C19</f>
        <v>-157</v>
      </c>
      <c r="F19" s="410">
        <f>IF(C19=0,0,+E19/C19)</f>
        <v>-6.4029363784665574E-2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10692</v>
      </c>
      <c r="D20" s="409">
        <v>9339</v>
      </c>
      <c r="E20" s="409">
        <f>+D20-C20</f>
        <v>-1353</v>
      </c>
      <c r="F20" s="410">
        <f>IF(C20=0,0,+E20/C20)</f>
        <v>-0.12654320987654322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728</v>
      </c>
      <c r="D21" s="409">
        <v>962</v>
      </c>
      <c r="E21" s="409">
        <f>+D21-C21</f>
        <v>234</v>
      </c>
      <c r="F21" s="410">
        <f>IF(C21=0,0,+E21/C21)</f>
        <v>0.32142857142857145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13872</v>
      </c>
      <c r="D23" s="401">
        <f>SUM(D19:D22)</f>
        <v>12596</v>
      </c>
      <c r="E23" s="401">
        <f>+D23-C23</f>
        <v>-1276</v>
      </c>
      <c r="F23" s="402">
        <f>IF(C23=0,0,+E23/C23)</f>
        <v>-9.1983852364475205E-2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404</v>
      </c>
      <c r="D34" s="409">
        <v>354</v>
      </c>
      <c r="E34" s="409">
        <f>+D34-C34</f>
        <v>-50</v>
      </c>
      <c r="F34" s="410">
        <f>IF(C34=0,0,+E34/C34)</f>
        <v>-0.12376237623762376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404</v>
      </c>
      <c r="D37" s="401">
        <f>SUM(D33:D36)</f>
        <v>354</v>
      </c>
      <c r="E37" s="401">
        <f>+D37-C37</f>
        <v>-50</v>
      </c>
      <c r="F37" s="402">
        <f>IF(C37=0,0,+E37/C37)</f>
        <v>-0.12376237623762376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166</v>
      </c>
      <c r="D43" s="409">
        <v>179</v>
      </c>
      <c r="E43" s="409">
        <f>+D43-C43</f>
        <v>13</v>
      </c>
      <c r="F43" s="410">
        <f>IF(C43=0,0,+E43/C43)</f>
        <v>7.8313253012048195E-2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6666</v>
      </c>
      <c r="D44" s="409">
        <v>5760</v>
      </c>
      <c r="E44" s="409">
        <f>+D44-C44</f>
        <v>-906</v>
      </c>
      <c r="F44" s="410">
        <f>IF(C44=0,0,+E44/C44)</f>
        <v>-0.13591359135913592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6832</v>
      </c>
      <c r="D45" s="401">
        <f>SUM(D43:D44)</f>
        <v>5939</v>
      </c>
      <c r="E45" s="401">
        <f>+D45-C45</f>
        <v>-893</v>
      </c>
      <c r="F45" s="402">
        <f>IF(C45=0,0,+E45/C45)</f>
        <v>-0.13070843091334894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290</v>
      </c>
      <c r="D48" s="409">
        <v>309</v>
      </c>
      <c r="E48" s="409">
        <f>+D48-C48</f>
        <v>19</v>
      </c>
      <c r="F48" s="410">
        <f>IF(C48=0,0,+E48/C48)</f>
        <v>6.5517241379310351E-2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370</v>
      </c>
      <c r="D49" s="409">
        <v>389</v>
      </c>
      <c r="E49" s="409">
        <f>+D49-C49</f>
        <v>19</v>
      </c>
      <c r="F49" s="410">
        <f>IF(C49=0,0,+E49/C49)</f>
        <v>5.1351351351351354E-2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660</v>
      </c>
      <c r="D50" s="401">
        <f>SUM(D48:D49)</f>
        <v>698</v>
      </c>
      <c r="E50" s="401">
        <f>+D50-C50</f>
        <v>38</v>
      </c>
      <c r="F50" s="402">
        <f>IF(C50=0,0,+E50/C50)</f>
        <v>5.7575757575757579E-2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79</v>
      </c>
      <c r="D53" s="409">
        <v>110</v>
      </c>
      <c r="E53" s="409">
        <f>+D53-C53</f>
        <v>31</v>
      </c>
      <c r="F53" s="410">
        <f>IF(C53=0,0,+E53/C53)</f>
        <v>0.39240506329113922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226</v>
      </c>
      <c r="D54" s="409">
        <v>210</v>
      </c>
      <c r="E54" s="409">
        <f>+D54-C54</f>
        <v>-16</v>
      </c>
      <c r="F54" s="410">
        <f>IF(C54=0,0,+E54/C54)</f>
        <v>-7.0796460176991149E-2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305</v>
      </c>
      <c r="D55" s="401">
        <f>SUM(D53:D54)</f>
        <v>320</v>
      </c>
      <c r="E55" s="401">
        <f>+D55-C55</f>
        <v>15</v>
      </c>
      <c r="F55" s="402">
        <f>IF(C55=0,0,+E55/C55)</f>
        <v>4.9180327868852458E-2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20</v>
      </c>
      <c r="D58" s="409">
        <v>46</v>
      </c>
      <c r="E58" s="409">
        <f>+D58-C58</f>
        <v>26</v>
      </c>
      <c r="F58" s="410">
        <f>IF(C58=0,0,+E58/C58)</f>
        <v>1.3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37</v>
      </c>
      <c r="D59" s="409">
        <v>45</v>
      </c>
      <c r="E59" s="409">
        <f>+D59-C59</f>
        <v>8</v>
      </c>
      <c r="F59" s="410">
        <f>IF(C59=0,0,+E59/C59)</f>
        <v>0.21621621621621623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57</v>
      </c>
      <c r="D60" s="401">
        <f>SUM(D58:D59)</f>
        <v>91</v>
      </c>
      <c r="E60" s="401">
        <f>SUM(E58:E59)</f>
        <v>34</v>
      </c>
      <c r="F60" s="402">
        <f>IF(C60=0,0,+E60/C60)</f>
        <v>0.59649122807017541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2604</v>
      </c>
      <c r="D63" s="409">
        <v>2558</v>
      </c>
      <c r="E63" s="409">
        <f>+D63-C63</f>
        <v>-46</v>
      </c>
      <c r="F63" s="410">
        <f>IF(C63=0,0,+E63/C63)</f>
        <v>-1.7665130568356373E-2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9622</v>
      </c>
      <c r="D64" s="409">
        <v>9308</v>
      </c>
      <c r="E64" s="409">
        <f>+D64-C64</f>
        <v>-314</v>
      </c>
      <c r="F64" s="410">
        <f>IF(C64=0,0,+E64/C64)</f>
        <v>-3.2633548118894198E-2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12226</v>
      </c>
      <c r="D65" s="401">
        <f>SUM(D63:D64)</f>
        <v>11866</v>
      </c>
      <c r="E65" s="401">
        <f>+D65-C65</f>
        <v>-360</v>
      </c>
      <c r="F65" s="402">
        <f>IF(C65=0,0,+E65/C65)</f>
        <v>-2.9445444135449042E-2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428</v>
      </c>
      <c r="D68" s="409">
        <v>422</v>
      </c>
      <c r="E68" s="409">
        <f>+D68-C68</f>
        <v>-6</v>
      </c>
      <c r="F68" s="410">
        <f>IF(C68=0,0,+E68/C68)</f>
        <v>-1.4018691588785047E-2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6011</v>
      </c>
      <c r="D69" s="409">
        <v>5782</v>
      </c>
      <c r="E69" s="409">
        <f>+D69-C69</f>
        <v>-229</v>
      </c>
      <c r="F69" s="412">
        <f>IF(C69=0,0,+E69/C69)</f>
        <v>-3.8096822492097823E-2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6439</v>
      </c>
      <c r="D70" s="401">
        <f>SUM(D68:D69)</f>
        <v>6204</v>
      </c>
      <c r="E70" s="401">
        <f>+D70-C70</f>
        <v>-235</v>
      </c>
      <c r="F70" s="402">
        <f>IF(C70=0,0,+E70/C70)</f>
        <v>-3.6496350364963501E-2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7642</v>
      </c>
      <c r="D73" s="376">
        <v>8094</v>
      </c>
      <c r="E73" s="409">
        <f>+D73-C73</f>
        <v>452</v>
      </c>
      <c r="F73" s="410">
        <f>IF(C73=0,0,+E73/C73)</f>
        <v>5.9146820204135045E-2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43189</v>
      </c>
      <c r="D74" s="376">
        <v>42864</v>
      </c>
      <c r="E74" s="409">
        <f>+D74-C74</f>
        <v>-325</v>
      </c>
      <c r="F74" s="410">
        <f>IF(C74=0,0,+E74/C74)</f>
        <v>-7.5250642524716943E-3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50831</v>
      </c>
      <c r="D75" s="401">
        <f>SUM(D73:D74)</f>
        <v>50958</v>
      </c>
      <c r="E75" s="401">
        <f>SUM(E73:E74)</f>
        <v>127</v>
      </c>
      <c r="F75" s="402">
        <f>IF(C75=0,0,+E75/C75)</f>
        <v>2.4984753398516655E-3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8917</v>
      </c>
      <c r="D82" s="376">
        <v>0</v>
      </c>
      <c r="E82" s="409">
        <f t="shared" si="0"/>
        <v>-8917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2743</v>
      </c>
      <c r="E85" s="409">
        <f t="shared" si="0"/>
        <v>2743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5542</v>
      </c>
      <c r="E86" s="409">
        <f t="shared" si="0"/>
        <v>5542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8734</v>
      </c>
      <c r="D87" s="376">
        <v>0</v>
      </c>
      <c r="E87" s="409">
        <f t="shared" si="0"/>
        <v>-8734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60</v>
      </c>
      <c r="E88" s="409">
        <f t="shared" si="0"/>
        <v>60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163</v>
      </c>
      <c r="E89" s="409">
        <f t="shared" si="0"/>
        <v>163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8358</v>
      </c>
      <c r="E91" s="409">
        <f t="shared" si="0"/>
        <v>8358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17651</v>
      </c>
      <c r="D92" s="381">
        <f>SUM(D79:D91)</f>
        <v>16866</v>
      </c>
      <c r="E92" s="401">
        <f t="shared" si="0"/>
        <v>-785</v>
      </c>
      <c r="F92" s="402">
        <f t="shared" si="1"/>
        <v>-4.4473400940456632E-2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35970</v>
      </c>
      <c r="D95" s="414">
        <v>36692</v>
      </c>
      <c r="E95" s="415">
        <f t="shared" ref="E95:E100" si="2">+D95-C95</f>
        <v>722</v>
      </c>
      <c r="F95" s="412">
        <f t="shared" ref="F95:F100" si="3">IF(C95=0,0,+E95/C95)</f>
        <v>2.007228245760356E-2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7053</v>
      </c>
      <c r="D96" s="414">
        <v>7826</v>
      </c>
      <c r="E96" s="409">
        <f t="shared" si="2"/>
        <v>773</v>
      </c>
      <c r="F96" s="410">
        <f t="shared" si="3"/>
        <v>0.10959875230398412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6375</v>
      </c>
      <c r="D97" s="414">
        <v>5788</v>
      </c>
      <c r="E97" s="409">
        <f t="shared" si="2"/>
        <v>-587</v>
      </c>
      <c r="F97" s="410">
        <f t="shared" si="3"/>
        <v>-9.2078431372549022E-2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5880</v>
      </c>
      <c r="D98" s="414">
        <v>5697</v>
      </c>
      <c r="E98" s="409">
        <f t="shared" si="2"/>
        <v>-183</v>
      </c>
      <c r="F98" s="410">
        <f t="shared" si="3"/>
        <v>-3.1122448979591835E-2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256270</v>
      </c>
      <c r="D99" s="414">
        <v>269486</v>
      </c>
      <c r="E99" s="409">
        <f t="shared" si="2"/>
        <v>13216</v>
      </c>
      <c r="F99" s="410">
        <f t="shared" si="3"/>
        <v>5.1570609123190385E-2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311548</v>
      </c>
      <c r="D100" s="381">
        <f>SUM(D95:D99)</f>
        <v>325489</v>
      </c>
      <c r="E100" s="401">
        <f t="shared" si="2"/>
        <v>13941</v>
      </c>
      <c r="F100" s="402">
        <f t="shared" si="3"/>
        <v>4.4747518841398437E-2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589</v>
      </c>
      <c r="D104" s="416">
        <v>601</v>
      </c>
      <c r="E104" s="417">
        <f>+D104-C104</f>
        <v>12</v>
      </c>
      <c r="F104" s="410">
        <f>IF(C104=0,0,+E104/C104)</f>
        <v>2.037351443123939E-2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117.4</v>
      </c>
      <c r="D105" s="416">
        <v>122.3</v>
      </c>
      <c r="E105" s="417">
        <f>+D105-C105</f>
        <v>4.8999999999999915</v>
      </c>
      <c r="F105" s="410">
        <f>IF(C105=0,0,+E105/C105)</f>
        <v>4.1737649063032296E-2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1328.2</v>
      </c>
      <c r="D106" s="416">
        <v>1361.1</v>
      </c>
      <c r="E106" s="417">
        <f>+D106-C106</f>
        <v>32.899999999999864</v>
      </c>
      <c r="F106" s="410">
        <f>IF(C106=0,0,+E106/C106)</f>
        <v>2.4770365908748579E-2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2034.6</v>
      </c>
      <c r="D107" s="418">
        <f>SUM(D104:D106)</f>
        <v>2084.3999999999996</v>
      </c>
      <c r="E107" s="418">
        <f>+D107-C107</f>
        <v>49.799999999999727</v>
      </c>
      <c r="F107" s="402">
        <f>IF(C107=0,0,+E107/C107)</f>
        <v>2.4476555588321895E-2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2814</v>
      </c>
      <c r="D12" s="409">
        <v>2862</v>
      </c>
      <c r="E12" s="409">
        <f>+D12-C12</f>
        <v>48</v>
      </c>
      <c r="F12" s="410">
        <f>IF(C12=0,0,+E12/C12)</f>
        <v>1.7057569296375266E-2</v>
      </c>
    </row>
    <row r="13" spans="1:6" ht="15.75" customHeight="1" x14ac:dyDescent="0.2">
      <c r="A13" s="374">
        <v>2</v>
      </c>
      <c r="B13" s="408" t="s">
        <v>622</v>
      </c>
      <c r="C13" s="409">
        <v>6808</v>
      </c>
      <c r="D13" s="409">
        <v>6446</v>
      </c>
      <c r="E13" s="409">
        <f>+D13-C13</f>
        <v>-362</v>
      </c>
      <c r="F13" s="410">
        <f>IF(C13=0,0,+E13/C13)</f>
        <v>-5.3172737955346654E-2</v>
      </c>
    </row>
    <row r="14" spans="1:6" ht="15.75" customHeight="1" x14ac:dyDescent="0.25">
      <c r="A14" s="374"/>
      <c r="B14" s="399" t="s">
        <v>623</v>
      </c>
      <c r="C14" s="401">
        <f>SUM(C11:C13)</f>
        <v>9622</v>
      </c>
      <c r="D14" s="401">
        <f>SUM(D11:D13)</f>
        <v>9308</v>
      </c>
      <c r="E14" s="401">
        <f>+D14-C14</f>
        <v>-314</v>
      </c>
      <c r="F14" s="402">
        <f>IF(C14=0,0,+E14/C14)</f>
        <v>-3.2633548118894198E-2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155</v>
      </c>
      <c r="D17" s="409">
        <v>117</v>
      </c>
      <c r="E17" s="409">
        <f>+D17-C17</f>
        <v>-38</v>
      </c>
      <c r="F17" s="410">
        <f>IF(C17=0,0,+E17/C17)</f>
        <v>-0.24516129032258063</v>
      </c>
    </row>
    <row r="18" spans="1:6" ht="15.75" customHeight="1" x14ac:dyDescent="0.2">
      <c r="A18" s="374">
        <v>2</v>
      </c>
      <c r="B18" s="408" t="s">
        <v>622</v>
      </c>
      <c r="C18" s="409">
        <v>5856</v>
      </c>
      <c r="D18" s="409">
        <v>5665</v>
      </c>
      <c r="E18" s="409">
        <f>+D18-C18</f>
        <v>-191</v>
      </c>
      <c r="F18" s="410">
        <f>IF(C18=0,0,+E18/C18)</f>
        <v>-3.2616120218579236E-2</v>
      </c>
    </row>
    <row r="19" spans="1:6" ht="15.75" customHeight="1" x14ac:dyDescent="0.25">
      <c r="A19" s="374"/>
      <c r="B19" s="399" t="s">
        <v>624</v>
      </c>
      <c r="C19" s="401">
        <f>SUM(C16:C18)</f>
        <v>6011</v>
      </c>
      <c r="D19" s="401">
        <f>SUM(D16:D18)</f>
        <v>5782</v>
      </c>
      <c r="E19" s="401">
        <f>+D19-C19</f>
        <v>-229</v>
      </c>
      <c r="F19" s="402">
        <f>IF(C19=0,0,+E19/C19)</f>
        <v>-3.8096822492097823E-2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43189</v>
      </c>
      <c r="D22" s="409">
        <v>42864</v>
      </c>
      <c r="E22" s="409">
        <f>+D22-C22</f>
        <v>-325</v>
      </c>
      <c r="F22" s="410">
        <f>IF(C22=0,0,+E22/C22)</f>
        <v>-7.5250642524716943E-3</v>
      </c>
    </row>
    <row r="23" spans="1:6" ht="15.75" customHeight="1" x14ac:dyDescent="0.25">
      <c r="A23" s="374"/>
      <c r="B23" s="399" t="s">
        <v>626</v>
      </c>
      <c r="C23" s="401">
        <f>SUM(C21:C22)</f>
        <v>43189</v>
      </c>
      <c r="D23" s="401">
        <f>SUM(D21:D22)</f>
        <v>42864</v>
      </c>
      <c r="E23" s="401">
        <f>+D23-C23</f>
        <v>-325</v>
      </c>
      <c r="F23" s="402">
        <f>IF(C23=0,0,+E23/C23)</f>
        <v>-7.5250642524716943E-3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629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288590538</v>
      </c>
      <c r="D15" s="448">
        <v>291881711</v>
      </c>
      <c r="E15" s="448">
        <f t="shared" ref="E15:E24" si="0">D15-C15</f>
        <v>3291173</v>
      </c>
      <c r="F15" s="449">
        <f t="shared" ref="F15:F24" si="1">IF(C15=0,0,E15/C15)</f>
        <v>1.1404299748732579E-2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66373090</v>
      </c>
      <c r="D16" s="448">
        <v>69129737</v>
      </c>
      <c r="E16" s="448">
        <f t="shared" si="0"/>
        <v>2756647</v>
      </c>
      <c r="F16" s="449">
        <f t="shared" si="1"/>
        <v>4.1532600034140339E-2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0.22999052727085598</v>
      </c>
      <c r="D17" s="453">
        <f>IF(LN_IA1=0,0,LN_IA2/LN_IA1)</f>
        <v>0.23684161903518511</v>
      </c>
      <c r="E17" s="454">
        <f t="shared" si="0"/>
        <v>6.8510917643291314E-3</v>
      </c>
      <c r="F17" s="449">
        <f t="shared" si="1"/>
        <v>2.9788582363049744E-2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5144</v>
      </c>
      <c r="D18" s="456">
        <v>5118</v>
      </c>
      <c r="E18" s="456">
        <f t="shared" si="0"/>
        <v>-26</v>
      </c>
      <c r="F18" s="449">
        <f t="shared" si="1"/>
        <v>-5.0544323483670299E-3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1.62365</v>
      </c>
      <c r="D19" s="459">
        <v>1.6009199999999999</v>
      </c>
      <c r="E19" s="460">
        <f t="shared" si="0"/>
        <v>-2.2730000000000139E-2</v>
      </c>
      <c r="F19" s="449">
        <f t="shared" si="1"/>
        <v>-1.3999322514088712E-2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8352.0555999999997</v>
      </c>
      <c r="D20" s="463">
        <f>LN_IA4*LN_IA5</f>
        <v>8193.5085600000002</v>
      </c>
      <c r="E20" s="463">
        <f t="shared" si="0"/>
        <v>-158.54703999999947</v>
      </c>
      <c r="F20" s="449">
        <f t="shared" si="1"/>
        <v>-1.8982996233885163E-2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7946.9166847979322</v>
      </c>
      <c r="D21" s="465">
        <f>IF(LN_IA6=0,0,LN_IA2/LN_IA6)</f>
        <v>8437.1348969457831</v>
      </c>
      <c r="E21" s="465">
        <f t="shared" si="0"/>
        <v>490.21821214785086</v>
      </c>
      <c r="F21" s="449">
        <f t="shared" si="1"/>
        <v>6.1686592623478059E-2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32021</v>
      </c>
      <c r="D22" s="456">
        <v>31546</v>
      </c>
      <c r="E22" s="456">
        <f t="shared" si="0"/>
        <v>-475</v>
      </c>
      <c r="F22" s="449">
        <f t="shared" si="1"/>
        <v>-1.4834015177539739E-2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2072.7987882951811</v>
      </c>
      <c r="D23" s="465">
        <f>IF(LN_IA8=0,0,LN_IA2/LN_IA8)</f>
        <v>2191.3946934635137</v>
      </c>
      <c r="E23" s="465">
        <f t="shared" si="0"/>
        <v>118.59590516833259</v>
      </c>
      <c r="F23" s="449">
        <f t="shared" si="1"/>
        <v>5.7215348560616636E-2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6.2249222395023329</v>
      </c>
      <c r="D24" s="466">
        <f>IF(LN_IA4=0,0,LN_IA8/LN_IA4)</f>
        <v>6.1637358343102777</v>
      </c>
      <c r="E24" s="466">
        <f t="shared" si="0"/>
        <v>-6.1186405192055204E-2</v>
      </c>
      <c r="F24" s="449">
        <f t="shared" si="1"/>
        <v>-9.8292641800047462E-3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320090212</v>
      </c>
      <c r="D27" s="448">
        <v>336071714</v>
      </c>
      <c r="E27" s="448">
        <f t="shared" ref="E27:E32" si="2">D27-C27</f>
        <v>15981502</v>
      </c>
      <c r="F27" s="449">
        <f t="shared" ref="F27:F32" si="3">IF(C27=0,0,E27/C27)</f>
        <v>4.9928118389324566E-2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45697128</v>
      </c>
      <c r="D28" s="448">
        <v>45409296</v>
      </c>
      <c r="E28" s="448">
        <f t="shared" si="2"/>
        <v>-287832</v>
      </c>
      <c r="F28" s="449">
        <f t="shared" si="3"/>
        <v>-6.2986890554697439E-3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0.1427632782473211</v>
      </c>
      <c r="D29" s="453">
        <f>IF(LN_IA11=0,0,LN_IA12/LN_IA11)</f>
        <v>0.13511787546630599</v>
      </c>
      <c r="E29" s="454">
        <f t="shared" si="2"/>
        <v>-7.6454027810151093E-3</v>
      </c>
      <c r="F29" s="449">
        <f t="shared" si="3"/>
        <v>-5.3553006591585274E-2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1.1091500581353086</v>
      </c>
      <c r="D30" s="453">
        <f>IF(LN_IA1=0,0,LN_IA11/LN_IA1)</f>
        <v>1.151396957516122</v>
      </c>
      <c r="E30" s="454">
        <f t="shared" si="2"/>
        <v>4.2246899380813385E-2</v>
      </c>
      <c r="F30" s="449">
        <f t="shared" si="3"/>
        <v>3.8089435303135112E-2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5705.4678990480279</v>
      </c>
      <c r="D31" s="463">
        <f>LN_IA14*LN_IA4</f>
        <v>5892.8496285675128</v>
      </c>
      <c r="E31" s="463">
        <f t="shared" si="2"/>
        <v>187.38172951948491</v>
      </c>
      <c r="F31" s="449">
        <f t="shared" si="3"/>
        <v>3.2842482480840887E-2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8009.3567799451966</v>
      </c>
      <c r="D32" s="465">
        <f>IF(LN_IA15=0,0,LN_IA12/LN_IA15)</f>
        <v>7705.8297533783334</v>
      </c>
      <c r="E32" s="465">
        <f t="shared" si="2"/>
        <v>-303.52702656686324</v>
      </c>
      <c r="F32" s="449">
        <f t="shared" si="3"/>
        <v>-3.78965546055922E-2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608680750</v>
      </c>
      <c r="D35" s="448">
        <f>LN_IA1+LN_IA11</f>
        <v>627953425</v>
      </c>
      <c r="E35" s="448">
        <f>D35-C35</f>
        <v>19272675</v>
      </c>
      <c r="F35" s="449">
        <f>IF(C35=0,0,E35/C35)</f>
        <v>3.1663026964463721E-2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112070218</v>
      </c>
      <c r="D36" s="448">
        <f>LN_IA2+LN_IA12</f>
        <v>114539033</v>
      </c>
      <c r="E36" s="448">
        <f>D36-C36</f>
        <v>2468815</v>
      </c>
      <c r="F36" s="449">
        <f>IF(C36=0,0,E36/C36)</f>
        <v>2.2029179955730969E-2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496610532</v>
      </c>
      <c r="D37" s="448">
        <f>LN_IA17-LN_IA18</f>
        <v>513414392</v>
      </c>
      <c r="E37" s="448">
        <f>D37-C37</f>
        <v>16803860</v>
      </c>
      <c r="F37" s="449">
        <f>IF(C37=0,0,E37/C37)</f>
        <v>3.3837099532154101E-2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214192226</v>
      </c>
      <c r="D42" s="448">
        <v>208497487</v>
      </c>
      <c r="E42" s="448">
        <f t="shared" ref="E42:E53" si="4">D42-C42</f>
        <v>-5694739</v>
      </c>
      <c r="F42" s="449">
        <f t="shared" ref="F42:F53" si="5">IF(C42=0,0,E42/C42)</f>
        <v>-2.6587048028531155E-2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68379920</v>
      </c>
      <c r="D43" s="448">
        <v>73236787</v>
      </c>
      <c r="E43" s="448">
        <f t="shared" si="4"/>
        <v>4856867</v>
      </c>
      <c r="F43" s="449">
        <f t="shared" si="5"/>
        <v>7.1027678885848364E-2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0.3192455733664209</v>
      </c>
      <c r="D44" s="453">
        <f>IF(LN_IB1=0,0,LN_IB2/LN_IB1)</f>
        <v>0.35125980679086072</v>
      </c>
      <c r="E44" s="454">
        <f t="shared" si="4"/>
        <v>3.201423342443982E-2</v>
      </c>
      <c r="F44" s="449">
        <f t="shared" si="5"/>
        <v>0.10028090001954328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5963</v>
      </c>
      <c r="D45" s="456">
        <v>6114</v>
      </c>
      <c r="E45" s="456">
        <f t="shared" si="4"/>
        <v>151</v>
      </c>
      <c r="F45" s="449">
        <f t="shared" si="5"/>
        <v>2.5322824081838002E-2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1.1242300000000001</v>
      </c>
      <c r="D46" s="459">
        <v>1.10625</v>
      </c>
      <c r="E46" s="460">
        <f t="shared" si="4"/>
        <v>-1.7980000000000107E-2</v>
      </c>
      <c r="F46" s="449">
        <f t="shared" si="5"/>
        <v>-1.5993168657659113E-2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6703.7834900000007</v>
      </c>
      <c r="D47" s="463">
        <f>LN_IB4*LN_IB5</f>
        <v>6763.6125000000002</v>
      </c>
      <c r="E47" s="463">
        <f t="shared" si="4"/>
        <v>59.829009999999471</v>
      </c>
      <c r="F47" s="449">
        <f t="shared" si="5"/>
        <v>8.9246632277498374E-3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10200.198157055933</v>
      </c>
      <c r="D48" s="465">
        <f>IF(LN_IB6=0,0,LN_IB2/LN_IB6)</f>
        <v>10828.057787166252</v>
      </c>
      <c r="E48" s="465">
        <f t="shared" si="4"/>
        <v>627.8596301103189</v>
      </c>
      <c r="F48" s="449">
        <f t="shared" si="5"/>
        <v>6.1553669883952236E-2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-2253.2814722580006</v>
      </c>
      <c r="D49" s="465">
        <f>LN_IA7-LN_IB7</f>
        <v>-2390.9228902204686</v>
      </c>
      <c r="E49" s="465">
        <f t="shared" si="4"/>
        <v>-137.64141796246804</v>
      </c>
      <c r="F49" s="449">
        <f t="shared" si="5"/>
        <v>6.108487539487837E-2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-15105511.132046079</v>
      </c>
      <c r="D50" s="479">
        <f>LN_IB8*LN_IB6</f>
        <v>-16171275.94683129</v>
      </c>
      <c r="E50" s="479">
        <f t="shared" si="4"/>
        <v>-1065764.8147852104</v>
      </c>
      <c r="F50" s="449">
        <f t="shared" si="5"/>
        <v>7.0554700563836531E-2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24652</v>
      </c>
      <c r="D51" s="456">
        <v>23644</v>
      </c>
      <c r="E51" s="456">
        <f t="shared" si="4"/>
        <v>-1008</v>
      </c>
      <c r="F51" s="449">
        <f t="shared" si="5"/>
        <v>-4.0889177348693816E-2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2773.8082102871977</v>
      </c>
      <c r="D52" s="465">
        <f>IF(LN_IB10=0,0,LN_IB2/LN_IB10)</f>
        <v>3097.4787261038741</v>
      </c>
      <c r="E52" s="465">
        <f t="shared" si="4"/>
        <v>323.67051581667647</v>
      </c>
      <c r="F52" s="449">
        <f t="shared" si="5"/>
        <v>0.11668813821239786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4.1341606573872216</v>
      </c>
      <c r="D53" s="466">
        <f>IF(LN_IB4=0,0,LN_IB10/LN_IB4)</f>
        <v>3.8671900556100751</v>
      </c>
      <c r="E53" s="466">
        <f t="shared" si="4"/>
        <v>-0.26697060177714649</v>
      </c>
      <c r="F53" s="449">
        <f t="shared" si="5"/>
        <v>-6.457673610243081E-2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595536876</v>
      </c>
      <c r="D56" s="448">
        <v>624522592</v>
      </c>
      <c r="E56" s="448">
        <f t="shared" ref="E56:E63" si="6">D56-C56</f>
        <v>28985716</v>
      </c>
      <c r="F56" s="449">
        <f t="shared" ref="F56:F63" si="7">IF(C56=0,0,E56/C56)</f>
        <v>4.867157210261485E-2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245576038</v>
      </c>
      <c r="D57" s="448">
        <v>251266031</v>
      </c>
      <c r="E57" s="448">
        <f t="shared" si="6"/>
        <v>5689993</v>
      </c>
      <c r="F57" s="449">
        <f t="shared" si="7"/>
        <v>2.3169984524304445E-2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0.41236075866442234</v>
      </c>
      <c r="D58" s="453">
        <f>IF(LN_IB13=0,0,LN_IB14/LN_IB13)</f>
        <v>0.40233297276778102</v>
      </c>
      <c r="E58" s="454">
        <f t="shared" si="6"/>
        <v>-1.0027785896641328E-2</v>
      </c>
      <c r="F58" s="449">
        <f t="shared" si="7"/>
        <v>-2.431799264585674E-2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2.7803851107089201</v>
      </c>
      <c r="D59" s="453">
        <f>IF(LN_IB1=0,0,LN_IB13/LN_IB1)</f>
        <v>2.9953482940540188</v>
      </c>
      <c r="E59" s="454">
        <f t="shared" si="6"/>
        <v>0.21496318334509867</v>
      </c>
      <c r="F59" s="449">
        <f t="shared" si="7"/>
        <v>7.7314175837421714E-2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16579.436415157292</v>
      </c>
      <c r="D60" s="463">
        <f>LN_IB16*LN_IB4</f>
        <v>18313.55946984627</v>
      </c>
      <c r="E60" s="463">
        <f t="shared" si="6"/>
        <v>1734.1230546889783</v>
      </c>
      <c r="F60" s="449">
        <f t="shared" si="7"/>
        <v>0.10459481319302291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14812.085999225455</v>
      </c>
      <c r="D61" s="465">
        <f>IF(LN_IB17=0,0,LN_IB14/LN_IB17)</f>
        <v>13720.218148400683</v>
      </c>
      <c r="E61" s="465">
        <f t="shared" si="6"/>
        <v>-1091.8678508247722</v>
      </c>
      <c r="F61" s="449">
        <f t="shared" si="7"/>
        <v>-7.3714657805920611E-2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-6802.7292192802588</v>
      </c>
      <c r="D62" s="465">
        <f>LN_IA16-LN_IB18</f>
        <v>-6014.3883950223499</v>
      </c>
      <c r="E62" s="465">
        <f t="shared" si="6"/>
        <v>788.34082425790893</v>
      </c>
      <c r="F62" s="449">
        <f t="shared" si="7"/>
        <v>-0.11588596265504697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-112785416.54058966</v>
      </c>
      <c r="D63" s="448">
        <f>LN_IB19*LN_IB17</f>
        <v>-110144859.54699506</v>
      </c>
      <c r="E63" s="448">
        <f t="shared" si="6"/>
        <v>2640556.9935946018</v>
      </c>
      <c r="F63" s="449">
        <f t="shared" si="7"/>
        <v>-2.3412220077622427E-2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809729102</v>
      </c>
      <c r="D66" s="448">
        <f>LN_IB1+LN_IB13</f>
        <v>833020079</v>
      </c>
      <c r="E66" s="448">
        <f>D66-C66</f>
        <v>23290977</v>
      </c>
      <c r="F66" s="449">
        <f>IF(C66=0,0,E66/C66)</f>
        <v>2.8763912452290742E-2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313955958</v>
      </c>
      <c r="D67" s="448">
        <f>LN_IB2+LN_IB14</f>
        <v>324502818</v>
      </c>
      <c r="E67" s="448">
        <f>D67-C67</f>
        <v>10546860</v>
      </c>
      <c r="F67" s="449">
        <f>IF(C67=0,0,E67/C67)</f>
        <v>3.3593437968773954E-2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495773144</v>
      </c>
      <c r="D68" s="448">
        <f>LN_IB21-LN_IB22</f>
        <v>508517261</v>
      </c>
      <c r="E68" s="448">
        <f>D68-C68</f>
        <v>12744117</v>
      </c>
      <c r="F68" s="449">
        <f>IF(C68=0,0,E68/C68)</f>
        <v>2.5705541242467947E-2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-127890927.67263573</v>
      </c>
      <c r="D70" s="441">
        <f>LN_IB9+LN_IB20</f>
        <v>-126316135.49382634</v>
      </c>
      <c r="E70" s="448">
        <f>D70-C70</f>
        <v>1574792.1788093895</v>
      </c>
      <c r="F70" s="449">
        <f>IF(C70=0,0,E70/C70)</f>
        <v>-1.2313556617873693E-2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686908665</v>
      </c>
      <c r="D73" s="488">
        <v>721594324</v>
      </c>
      <c r="E73" s="488">
        <f>D73-C73</f>
        <v>34685659</v>
      </c>
      <c r="F73" s="489">
        <f>IF(C73=0,0,E73/C73)</f>
        <v>5.0495299837278948E-2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299755840</v>
      </c>
      <c r="D74" s="488">
        <v>312700495</v>
      </c>
      <c r="E74" s="488">
        <f>D74-C74</f>
        <v>12944655</v>
      </c>
      <c r="F74" s="489">
        <f>IF(C74=0,0,E74/C74)</f>
        <v>4.3183996014889987E-2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387152825</v>
      </c>
      <c r="D76" s="441">
        <f>LN_IB32-LN_IB33</f>
        <v>408893829</v>
      </c>
      <c r="E76" s="488">
        <f>D76-C76</f>
        <v>21741004</v>
      </c>
      <c r="F76" s="489">
        <f>IF(E76=0,0,E76/C76)</f>
        <v>5.6156129042839863E-2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0.56361616140043891</v>
      </c>
      <c r="D77" s="453">
        <f>IF(LN_IB32=0,0,LN_IB34/LN_IB32)</f>
        <v>0.56665333332084244</v>
      </c>
      <c r="E77" s="493">
        <f>D77-C77</f>
        <v>3.0371719204035363E-3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18193219</v>
      </c>
      <c r="D83" s="448">
        <v>16415559</v>
      </c>
      <c r="E83" s="448">
        <f t="shared" ref="E83:E95" si="8">D83-C83</f>
        <v>-1777660</v>
      </c>
      <c r="F83" s="449">
        <f t="shared" ref="F83:F95" si="9">IF(C83=0,0,E83/C83)</f>
        <v>-9.7710031413352411E-2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284223</v>
      </c>
      <c r="D84" s="448">
        <v>421988</v>
      </c>
      <c r="E84" s="448">
        <f t="shared" si="8"/>
        <v>137765</v>
      </c>
      <c r="F84" s="449">
        <f t="shared" si="9"/>
        <v>0.48470743043314579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1.5622469008920302E-2</v>
      </c>
      <c r="D85" s="453">
        <f>IF(LN_IC1=0,0,LN_IC2/LN_IC1)</f>
        <v>2.5706587268822221E-2</v>
      </c>
      <c r="E85" s="454">
        <f t="shared" si="8"/>
        <v>1.0084118259901919E-2</v>
      </c>
      <c r="F85" s="449">
        <f t="shared" si="9"/>
        <v>0.64548812701398028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399</v>
      </c>
      <c r="D86" s="456">
        <v>359</v>
      </c>
      <c r="E86" s="456">
        <f t="shared" si="8"/>
        <v>-40</v>
      </c>
      <c r="F86" s="449">
        <f t="shared" si="9"/>
        <v>-0.10025062656641603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1.15985</v>
      </c>
      <c r="D87" s="459">
        <v>1.2106600000000001</v>
      </c>
      <c r="E87" s="460">
        <f t="shared" si="8"/>
        <v>5.0810000000000022E-2</v>
      </c>
      <c r="F87" s="449">
        <f t="shared" si="9"/>
        <v>4.3807388886493957E-2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462.78014999999999</v>
      </c>
      <c r="D88" s="463">
        <f>LN_IC4*LN_IC5</f>
        <v>434.62694000000005</v>
      </c>
      <c r="E88" s="463">
        <f t="shared" si="8"/>
        <v>-28.153209999999945</v>
      </c>
      <c r="F88" s="449">
        <f t="shared" si="9"/>
        <v>-6.0834955864031648E-2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614.16419870212667</v>
      </c>
      <c r="D89" s="465">
        <f>IF(LN_IC6=0,0,LN_IC2/LN_IC6)</f>
        <v>970.92002626436351</v>
      </c>
      <c r="E89" s="465">
        <f t="shared" si="8"/>
        <v>356.75582756223685</v>
      </c>
      <c r="F89" s="449">
        <f t="shared" si="9"/>
        <v>0.58088020812047625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9586.0339583538062</v>
      </c>
      <c r="D90" s="465">
        <f>LN_IB7-LN_IC7</f>
        <v>9857.1377609018891</v>
      </c>
      <c r="E90" s="465">
        <f t="shared" si="8"/>
        <v>271.10380254808297</v>
      </c>
      <c r="F90" s="449">
        <f t="shared" si="9"/>
        <v>2.8281122696402296E-2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7332.7524860958056</v>
      </c>
      <c r="D91" s="465">
        <f>LN_IA7-LN_IC7</f>
        <v>7466.2148706814196</v>
      </c>
      <c r="E91" s="465">
        <f t="shared" si="8"/>
        <v>133.46238458561402</v>
      </c>
      <c r="F91" s="449">
        <f t="shared" si="9"/>
        <v>1.8200857705027176E-2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3393452.2954282896</v>
      </c>
      <c r="D92" s="441">
        <f>LN_IC9*LN_IC6</f>
        <v>3245018.1226267614</v>
      </c>
      <c r="E92" s="441">
        <f t="shared" si="8"/>
        <v>-148434.17280152813</v>
      </c>
      <c r="F92" s="449">
        <f t="shared" si="9"/>
        <v>-4.3741346534177272E-2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1874</v>
      </c>
      <c r="D93" s="456">
        <v>1614</v>
      </c>
      <c r="E93" s="456">
        <f t="shared" si="8"/>
        <v>-260</v>
      </c>
      <c r="F93" s="449">
        <f t="shared" si="9"/>
        <v>-0.13874066168623267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151.66648879402348</v>
      </c>
      <c r="D94" s="499">
        <f>IF(LN_IC11=0,0,LN_IC2/LN_IC11)</f>
        <v>261.45477075588599</v>
      </c>
      <c r="E94" s="499">
        <f t="shared" si="8"/>
        <v>109.78828196186251</v>
      </c>
      <c r="F94" s="449">
        <f t="shared" si="9"/>
        <v>0.72387963112250009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4.6967418546365911</v>
      </c>
      <c r="D95" s="466">
        <f>IF(LN_IC4=0,0,LN_IC11/LN_IC4)</f>
        <v>4.4958217270194982</v>
      </c>
      <c r="E95" s="466">
        <f t="shared" si="8"/>
        <v>-0.20092012761709288</v>
      </c>
      <c r="F95" s="449">
        <f t="shared" si="9"/>
        <v>-4.2778618420074743E-2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69865798</v>
      </c>
      <c r="D98" s="448">
        <v>63105332</v>
      </c>
      <c r="E98" s="448">
        <f t="shared" ref="E98:E106" si="10">D98-C98</f>
        <v>-6760466</v>
      </c>
      <c r="F98" s="449">
        <f t="shared" ref="F98:F106" si="11">IF(C98=0,0,E98/C98)</f>
        <v>-9.6763598119927005E-2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1726343</v>
      </c>
      <c r="D99" s="448">
        <v>1669285</v>
      </c>
      <c r="E99" s="448">
        <f t="shared" si="10"/>
        <v>-57058</v>
      </c>
      <c r="F99" s="449">
        <f t="shared" si="11"/>
        <v>-3.305136928177077E-2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2.4709415041677476E-2</v>
      </c>
      <c r="D100" s="453">
        <f>IF(LN_IC14=0,0,LN_IC15/LN_IC14)</f>
        <v>2.645236063412201E-2</v>
      </c>
      <c r="E100" s="454">
        <f t="shared" si="10"/>
        <v>1.7429455924445336E-3</v>
      </c>
      <c r="F100" s="449">
        <f t="shared" si="11"/>
        <v>7.0537711617401702E-2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3.8402109049531035</v>
      </c>
      <c r="D101" s="453">
        <f>IF(LN_IC1=0,0,LN_IC14/LN_IC1)</f>
        <v>3.8442389930187573</v>
      </c>
      <c r="E101" s="454">
        <f t="shared" si="10"/>
        <v>4.028088065653801E-3</v>
      </c>
      <c r="F101" s="449">
        <f t="shared" si="11"/>
        <v>1.0489236568903999E-3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1532.2441510762883</v>
      </c>
      <c r="D102" s="463">
        <f>LN_IC17*LN_IC4</f>
        <v>1380.0817984937339</v>
      </c>
      <c r="E102" s="463">
        <f t="shared" si="10"/>
        <v>-152.16235258255438</v>
      </c>
      <c r="F102" s="449">
        <f t="shared" si="11"/>
        <v>-9.9306858163349207E-2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1126.6761885091039</v>
      </c>
      <c r="D103" s="465">
        <f>IF(LN_IC18=0,0,LN_IC15/LN_IC18)</f>
        <v>1209.5551160966777</v>
      </c>
      <c r="E103" s="465">
        <f t="shared" si="10"/>
        <v>82.878927587573799</v>
      </c>
      <c r="F103" s="449">
        <f t="shared" si="11"/>
        <v>7.3560556646932382E-2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13685.409810716352</v>
      </c>
      <c r="D104" s="465">
        <f>LN_IB18-LN_IC19</f>
        <v>12510.663032304006</v>
      </c>
      <c r="E104" s="465">
        <f t="shared" si="10"/>
        <v>-1174.7467784123455</v>
      </c>
      <c r="F104" s="449">
        <f t="shared" si="11"/>
        <v>-8.5839356998462749E-2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6882.680591436093</v>
      </c>
      <c r="D105" s="465">
        <f>LN_IA16-LN_IC19</f>
        <v>6496.2746372816555</v>
      </c>
      <c r="E105" s="465">
        <f t="shared" si="10"/>
        <v>-386.4059541544375</v>
      </c>
      <c r="F105" s="449">
        <f t="shared" si="11"/>
        <v>-5.6141782118326176E-2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10545947.079954242</v>
      </c>
      <c r="D106" s="448">
        <f>LN_IC21*LN_IC18</f>
        <v>8965390.3849288952</v>
      </c>
      <c r="E106" s="448">
        <f t="shared" si="10"/>
        <v>-1580556.6950253472</v>
      </c>
      <c r="F106" s="449">
        <f t="shared" si="11"/>
        <v>-0.14987337628781322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88059017</v>
      </c>
      <c r="D109" s="448">
        <f>LN_IC1+LN_IC14</f>
        <v>79520891</v>
      </c>
      <c r="E109" s="448">
        <f>D109-C109</f>
        <v>-8538126</v>
      </c>
      <c r="F109" s="449">
        <f>IF(C109=0,0,E109/C109)</f>
        <v>-9.6959133668276132E-2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2010566</v>
      </c>
      <c r="D110" s="448">
        <f>LN_IC2+LN_IC15</f>
        <v>2091273</v>
      </c>
      <c r="E110" s="448">
        <f>D110-C110</f>
        <v>80707</v>
      </c>
      <c r="F110" s="449">
        <f>IF(C110=0,0,E110/C110)</f>
        <v>4.0141432810462327E-2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86048451</v>
      </c>
      <c r="D111" s="448">
        <f>LN_IC23-LN_IC24</f>
        <v>77429618</v>
      </c>
      <c r="E111" s="448">
        <f>D111-C111</f>
        <v>-8618833</v>
      </c>
      <c r="F111" s="449">
        <f>IF(C111=0,0,E111/C111)</f>
        <v>-0.10016255841723402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13939399.375382531</v>
      </c>
      <c r="D113" s="448">
        <f>LN_IC10+LN_IC22</f>
        <v>12210408.507555656</v>
      </c>
      <c r="E113" s="448">
        <f>D113-C113</f>
        <v>-1728990.8678268753</v>
      </c>
      <c r="F113" s="449">
        <f>IF(C113=0,0,E113/C113)</f>
        <v>-0.12403625301677874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97251144</v>
      </c>
      <c r="D118" s="448">
        <v>117194274</v>
      </c>
      <c r="E118" s="448">
        <f t="shared" ref="E118:E130" si="12">D118-C118</f>
        <v>19943130</v>
      </c>
      <c r="F118" s="449">
        <f t="shared" ref="F118:F130" si="13">IF(C118=0,0,E118/C118)</f>
        <v>0.20506833318073872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17349461</v>
      </c>
      <c r="D119" s="448">
        <v>19014905</v>
      </c>
      <c r="E119" s="448">
        <f t="shared" si="12"/>
        <v>1665444</v>
      </c>
      <c r="F119" s="449">
        <f t="shared" si="13"/>
        <v>9.5993990821962707E-2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0.17839852865895336</v>
      </c>
      <c r="D120" s="453">
        <f>IF(LN_ID1=0,0,LN_1D2/LN_ID1)</f>
        <v>0.16225114377175118</v>
      </c>
      <c r="E120" s="454">
        <f t="shared" si="12"/>
        <v>-1.6147384887202187E-2</v>
      </c>
      <c r="F120" s="449">
        <f t="shared" si="13"/>
        <v>-9.0512993624915702E-2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3089</v>
      </c>
      <c r="D121" s="456">
        <v>3552</v>
      </c>
      <c r="E121" s="456">
        <f t="shared" si="12"/>
        <v>463</v>
      </c>
      <c r="F121" s="449">
        <f t="shared" si="13"/>
        <v>0.14988669472321139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1.0414699999999999</v>
      </c>
      <c r="D122" s="459">
        <v>1.0368200000000001</v>
      </c>
      <c r="E122" s="460">
        <f t="shared" si="12"/>
        <v>-4.6499999999998209E-3</v>
      </c>
      <c r="F122" s="449">
        <f t="shared" si="13"/>
        <v>-4.4648429623511208E-3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3217.1008299999999</v>
      </c>
      <c r="D123" s="463">
        <f>LN_ID4*LN_ID5</f>
        <v>3682.7846400000003</v>
      </c>
      <c r="E123" s="463">
        <f t="shared" si="12"/>
        <v>465.68381000000045</v>
      </c>
      <c r="F123" s="449">
        <f t="shared" si="13"/>
        <v>0.14475263120677523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5392.8869242186611</v>
      </c>
      <c r="D124" s="465">
        <f>IF(LN_ID6=0,0,LN_1D2/LN_ID6)</f>
        <v>5163.1867890053973</v>
      </c>
      <c r="E124" s="465">
        <f t="shared" si="12"/>
        <v>-229.70013521326382</v>
      </c>
      <c r="F124" s="449">
        <f t="shared" si="13"/>
        <v>-4.2593167340801145E-2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4807.3112328372717</v>
      </c>
      <c r="D125" s="465">
        <f>LN_IB7-LN_ID7</f>
        <v>5664.8709981608545</v>
      </c>
      <c r="E125" s="465">
        <f t="shared" si="12"/>
        <v>857.55976532358272</v>
      </c>
      <c r="F125" s="449">
        <f t="shared" si="13"/>
        <v>0.17838657074371519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2554.0297605792712</v>
      </c>
      <c r="D126" s="465">
        <f>LN_IA7-LN_ID7</f>
        <v>3273.9481079403859</v>
      </c>
      <c r="E126" s="465">
        <f t="shared" si="12"/>
        <v>719.91834736111468</v>
      </c>
      <c r="F126" s="449">
        <f t="shared" si="13"/>
        <v>0.28187547321211809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8216571.2626042739</v>
      </c>
      <c r="D127" s="479">
        <f>LN_ID9*LN_ID6</f>
        <v>12057245.804079916</v>
      </c>
      <c r="E127" s="479">
        <f t="shared" si="12"/>
        <v>3840674.5414756425</v>
      </c>
      <c r="F127" s="449">
        <f t="shared" si="13"/>
        <v>0.46743032083900238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13770</v>
      </c>
      <c r="D128" s="456">
        <v>16068</v>
      </c>
      <c r="E128" s="456">
        <f t="shared" si="12"/>
        <v>2298</v>
      </c>
      <c r="F128" s="449">
        <f t="shared" si="13"/>
        <v>0.16688453159041394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1259.946332607117</v>
      </c>
      <c r="D129" s="465">
        <f>IF(LN_ID11=0,0,LN_1D2/LN_ID11)</f>
        <v>1183.4021035598705</v>
      </c>
      <c r="E129" s="465">
        <f t="shared" si="12"/>
        <v>-76.544229047246517</v>
      </c>
      <c r="F129" s="449">
        <f t="shared" si="13"/>
        <v>-6.0751975751902866E-2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4.4577533182259632</v>
      </c>
      <c r="D130" s="466">
        <f>IF(LN_ID4=0,0,LN_ID11/LN_ID4)</f>
        <v>4.5236486486486482</v>
      </c>
      <c r="E130" s="466">
        <f t="shared" si="12"/>
        <v>6.5895330422685028E-2</v>
      </c>
      <c r="F130" s="449">
        <f t="shared" si="13"/>
        <v>1.4782184144929125E-2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120497219</v>
      </c>
      <c r="D133" s="448">
        <v>137021769</v>
      </c>
      <c r="E133" s="448">
        <f t="shared" ref="E133:E141" si="14">D133-C133</f>
        <v>16524550</v>
      </c>
      <c r="F133" s="449">
        <f t="shared" ref="F133:F141" si="15">IF(C133=0,0,E133/C133)</f>
        <v>0.1371363599686064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19470448</v>
      </c>
      <c r="D134" s="448">
        <v>19151626</v>
      </c>
      <c r="E134" s="448">
        <f t="shared" si="14"/>
        <v>-318822</v>
      </c>
      <c r="F134" s="449">
        <f t="shared" si="15"/>
        <v>-1.6374661743787301E-2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0.16158421050364657</v>
      </c>
      <c r="D135" s="453">
        <f>IF(LN_ID14=0,0,LN_ID15/LN_ID14)</f>
        <v>0.13977068125576456</v>
      </c>
      <c r="E135" s="454">
        <f t="shared" si="14"/>
        <v>-2.1813529247882019E-2</v>
      </c>
      <c r="F135" s="449">
        <f t="shared" si="15"/>
        <v>-0.13499790096996969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1.2390313783866644</v>
      </c>
      <c r="D136" s="453">
        <f>IF(LN_ID1=0,0,LN_ID14/LN_ID1)</f>
        <v>1.1691848443039119</v>
      </c>
      <c r="E136" s="454">
        <f t="shared" si="14"/>
        <v>-6.9846534082752543E-2</v>
      </c>
      <c r="F136" s="449">
        <f t="shared" si="15"/>
        <v>-5.6371884765097156E-2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3827.3679278364066</v>
      </c>
      <c r="D137" s="463">
        <f>LN_ID17*LN_ID4</f>
        <v>4152.9445669674951</v>
      </c>
      <c r="E137" s="463">
        <f t="shared" si="14"/>
        <v>325.57663913108854</v>
      </c>
      <c r="F137" s="449">
        <f t="shared" si="15"/>
        <v>8.5065414475356052E-2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5087.1639118861913</v>
      </c>
      <c r="D138" s="465">
        <f>IF(LN_ID18=0,0,LN_ID15/LN_ID18)</f>
        <v>4611.5775665131578</v>
      </c>
      <c r="E138" s="465">
        <f t="shared" si="14"/>
        <v>-475.58634537303351</v>
      </c>
      <c r="F138" s="449">
        <f t="shared" si="15"/>
        <v>-9.3487521458041276E-2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9724.9220873392642</v>
      </c>
      <c r="D139" s="465">
        <f>LN_IB18-LN_ID19</f>
        <v>9108.6405818875246</v>
      </c>
      <c r="E139" s="465">
        <f t="shared" si="14"/>
        <v>-616.28150545173958</v>
      </c>
      <c r="F139" s="449">
        <f t="shared" si="15"/>
        <v>-6.3371356594626865E-2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2922.1928680590054</v>
      </c>
      <c r="D140" s="465">
        <f>LN_IA16-LN_ID19</f>
        <v>3094.2521868651756</v>
      </c>
      <c r="E140" s="465">
        <f t="shared" si="14"/>
        <v>172.05931880617027</v>
      </c>
      <c r="F140" s="449">
        <f t="shared" si="15"/>
        <v>5.8880206261148135E-2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11184307.262161322</v>
      </c>
      <c r="D141" s="441">
        <f>LN_ID21*LN_ID18</f>
        <v>12850257.808269022</v>
      </c>
      <c r="E141" s="441">
        <f t="shared" si="14"/>
        <v>1665950.5461077001</v>
      </c>
      <c r="F141" s="449">
        <f t="shared" si="15"/>
        <v>0.14895428988650317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217748363</v>
      </c>
      <c r="D144" s="448">
        <f>LN_ID1+LN_ID14</f>
        <v>254216043</v>
      </c>
      <c r="E144" s="448">
        <f>D144-C144</f>
        <v>36467680</v>
      </c>
      <c r="F144" s="449">
        <f>IF(C144=0,0,E144/C144)</f>
        <v>0.16747625331171836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36819909</v>
      </c>
      <c r="D145" s="448">
        <f>LN_1D2+LN_ID15</f>
        <v>38166531</v>
      </c>
      <c r="E145" s="448">
        <f>D145-C145</f>
        <v>1346622</v>
      </c>
      <c r="F145" s="449">
        <f>IF(C145=0,0,E145/C145)</f>
        <v>3.6573202828936918E-2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180928454</v>
      </c>
      <c r="D146" s="448">
        <f>LN_ID23-LN_ID24</f>
        <v>216049512</v>
      </c>
      <c r="E146" s="448">
        <f>D146-C146</f>
        <v>35121058</v>
      </c>
      <c r="F146" s="449">
        <f>IF(C146=0,0,E146/C146)</f>
        <v>0.19411572488205753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19400878.524765596</v>
      </c>
      <c r="D148" s="448">
        <f>LN_ID10+LN_ID22</f>
        <v>24907503.612348936</v>
      </c>
      <c r="E148" s="448">
        <f>D148-C148</f>
        <v>5506625.0875833407</v>
      </c>
      <c r="F148" s="503">
        <f>IF(C148=0,0,E148/C148)</f>
        <v>0.28383380064743086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3060763</v>
      </c>
      <c r="D153" s="448">
        <v>2452859</v>
      </c>
      <c r="E153" s="448">
        <f t="shared" ref="E153:E165" si="16">D153-C153</f>
        <v>-607904</v>
      </c>
      <c r="F153" s="449">
        <f t="shared" ref="F153:F165" si="17">IF(C153=0,0,E153/C153)</f>
        <v>-0.19861191474152035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353408</v>
      </c>
      <c r="D154" s="448">
        <v>317098</v>
      </c>
      <c r="E154" s="448">
        <f t="shared" si="16"/>
        <v>-36310</v>
      </c>
      <c r="F154" s="449">
        <f t="shared" si="17"/>
        <v>-0.1027424393335748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0.11546401991921622</v>
      </c>
      <c r="D155" s="453">
        <f>IF(LN_IE1=0,0,LN_IE2/LN_IE1)</f>
        <v>0.12927689687829591</v>
      </c>
      <c r="E155" s="454">
        <f t="shared" si="16"/>
        <v>1.3812876959079692E-2</v>
      </c>
      <c r="F155" s="449">
        <f t="shared" si="17"/>
        <v>0.11962927471903194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84</v>
      </c>
      <c r="D156" s="506">
        <v>69</v>
      </c>
      <c r="E156" s="506">
        <f t="shared" si="16"/>
        <v>-15</v>
      </c>
      <c r="F156" s="449">
        <f t="shared" si="17"/>
        <v>-0.17857142857142858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0.93227000000000004</v>
      </c>
      <c r="D157" s="459">
        <v>0.98987000000000003</v>
      </c>
      <c r="E157" s="460">
        <f t="shared" si="16"/>
        <v>5.7599999999999985E-2</v>
      </c>
      <c r="F157" s="449">
        <f t="shared" si="17"/>
        <v>6.1784676113143172E-2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78.310680000000005</v>
      </c>
      <c r="D158" s="463">
        <f>LN_IE4*LN_IE5</f>
        <v>68.301029999999997</v>
      </c>
      <c r="E158" s="463">
        <f t="shared" si="16"/>
        <v>-10.009650000000008</v>
      </c>
      <c r="F158" s="449">
        <f t="shared" si="17"/>
        <v>-0.12781973033563246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4512.8965806451943</v>
      </c>
      <c r="D159" s="465">
        <f>IF(LN_IE6=0,0,LN_IE2/LN_IE6)</f>
        <v>4642.6532659902787</v>
      </c>
      <c r="E159" s="465">
        <f t="shared" si="16"/>
        <v>129.75668534508441</v>
      </c>
      <c r="F159" s="449">
        <f t="shared" si="17"/>
        <v>2.8752417217266148E-2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5687.3015764107386</v>
      </c>
      <c r="D160" s="465">
        <f>LN_IB7-LN_IE7</f>
        <v>6185.4045211759731</v>
      </c>
      <c r="E160" s="465">
        <f t="shared" si="16"/>
        <v>498.1029447652345</v>
      </c>
      <c r="F160" s="449">
        <f t="shared" si="17"/>
        <v>8.7581595256214242E-2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3434.020104152738</v>
      </c>
      <c r="D161" s="465">
        <f>LN_IA7-LN_IE7</f>
        <v>3794.4816309555044</v>
      </c>
      <c r="E161" s="465">
        <f t="shared" si="16"/>
        <v>360.46152680276646</v>
      </c>
      <c r="F161" s="449">
        <f t="shared" si="17"/>
        <v>0.10496779747062712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268920.44948987174</v>
      </c>
      <c r="D162" s="479">
        <f>LN_IE9*LN_IE6</f>
        <v>259167.00371034082</v>
      </c>
      <c r="E162" s="479">
        <f t="shared" si="16"/>
        <v>-9753.4457795309136</v>
      </c>
      <c r="F162" s="449">
        <f t="shared" si="17"/>
        <v>-3.6268888431626151E-2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407</v>
      </c>
      <c r="D163" s="456">
        <v>338</v>
      </c>
      <c r="E163" s="506">
        <f t="shared" si="16"/>
        <v>-69</v>
      </c>
      <c r="F163" s="449">
        <f t="shared" si="17"/>
        <v>-0.16953316953316952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868.32432432432438</v>
      </c>
      <c r="D164" s="465">
        <f>IF(LN_IE11=0,0,LN_IE2/LN_IE11)</f>
        <v>938.15976331360946</v>
      </c>
      <c r="E164" s="465">
        <f t="shared" si="16"/>
        <v>69.83543898928508</v>
      </c>
      <c r="F164" s="449">
        <f t="shared" si="17"/>
        <v>8.0425524234423174E-2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4.8452380952380949</v>
      </c>
      <c r="D165" s="466">
        <f>IF(LN_IE4=0,0,LN_IE11/LN_IE4)</f>
        <v>4.8985507246376816</v>
      </c>
      <c r="E165" s="466">
        <f t="shared" si="16"/>
        <v>5.3312629399586697E-2</v>
      </c>
      <c r="F165" s="449">
        <f t="shared" si="17"/>
        <v>1.1003097959619859E-2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1654578</v>
      </c>
      <c r="D168" s="511">
        <v>2024524</v>
      </c>
      <c r="E168" s="511">
        <f t="shared" ref="E168:E176" si="18">D168-C168</f>
        <v>369946</v>
      </c>
      <c r="F168" s="449">
        <f t="shared" ref="F168:F176" si="19">IF(C168=0,0,E168/C168)</f>
        <v>0.22358933818774335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230800</v>
      </c>
      <c r="D169" s="511">
        <v>238917</v>
      </c>
      <c r="E169" s="511">
        <f t="shared" si="18"/>
        <v>8117</v>
      </c>
      <c r="F169" s="449">
        <f t="shared" si="19"/>
        <v>3.5168977469670709E-2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0.13949176164556762</v>
      </c>
      <c r="D170" s="453">
        <f>IF(LN_IE14=0,0,LN_IE15/LN_IE14)</f>
        <v>0.11801144367762496</v>
      </c>
      <c r="E170" s="454">
        <f t="shared" si="18"/>
        <v>-2.1480317967942655E-2</v>
      </c>
      <c r="F170" s="449">
        <f t="shared" si="19"/>
        <v>-0.15398986803623321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0.54057697378072067</v>
      </c>
      <c r="D171" s="453">
        <f>IF(LN_IE1=0,0,LN_IE14/LN_IE1)</f>
        <v>0.82537316657826643</v>
      </c>
      <c r="E171" s="454">
        <f t="shared" si="18"/>
        <v>0.28479619279754576</v>
      </c>
      <c r="F171" s="449">
        <f t="shared" si="19"/>
        <v>0.52683744704425817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45.408465797580533</v>
      </c>
      <c r="D172" s="463">
        <f>LN_IE17*LN_IE4</f>
        <v>56.950748493900385</v>
      </c>
      <c r="E172" s="463">
        <f t="shared" si="18"/>
        <v>11.542282696319852</v>
      </c>
      <c r="F172" s="449">
        <f t="shared" si="19"/>
        <v>0.25418790292921217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5082.7526529711022</v>
      </c>
      <c r="D173" s="465">
        <f>IF(LN_IE18=0,0,LN_IE15/LN_IE18)</f>
        <v>4195.1511844587749</v>
      </c>
      <c r="E173" s="465">
        <f t="shared" si="18"/>
        <v>-887.6014685123273</v>
      </c>
      <c r="F173" s="449">
        <f t="shared" si="19"/>
        <v>-0.17463007333112768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9729.3333462543524</v>
      </c>
      <c r="D174" s="465">
        <f>LN_IB18-LN_IE19</f>
        <v>9525.0669639419084</v>
      </c>
      <c r="E174" s="465">
        <f t="shared" si="18"/>
        <v>-204.26638231244397</v>
      </c>
      <c r="F174" s="449">
        <f t="shared" si="19"/>
        <v>-2.099490016868252E-2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2926.6041269740945</v>
      </c>
      <c r="D175" s="465">
        <f>LN_IA16-LN_IE19</f>
        <v>3510.6785689195585</v>
      </c>
      <c r="E175" s="465">
        <f t="shared" si="18"/>
        <v>584.07444194546406</v>
      </c>
      <c r="F175" s="449">
        <f t="shared" si="19"/>
        <v>0.19957411956134857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132892.60340276119</v>
      </c>
      <c r="D176" s="441">
        <f>LN_IE21*LN_IE18</f>
        <v>199935.77222146391</v>
      </c>
      <c r="E176" s="441">
        <f t="shared" si="18"/>
        <v>67043.168818702718</v>
      </c>
      <c r="F176" s="449">
        <f t="shared" si="19"/>
        <v>0.50449134942080398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4715341</v>
      </c>
      <c r="D179" s="448">
        <f>LN_IE1+LN_IE14</f>
        <v>4477383</v>
      </c>
      <c r="E179" s="448">
        <f>D179-C179</f>
        <v>-237958</v>
      </c>
      <c r="F179" s="449">
        <f>IF(C179=0,0,E179/C179)</f>
        <v>-5.0464642960074364E-2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584208</v>
      </c>
      <c r="D180" s="448">
        <f>LN_IE15+LN_IE2</f>
        <v>556015</v>
      </c>
      <c r="E180" s="448">
        <f>D180-C180</f>
        <v>-28193</v>
      </c>
      <c r="F180" s="449">
        <f>IF(C180=0,0,E180/C180)</f>
        <v>-4.8258496973680606E-2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4131133</v>
      </c>
      <c r="D181" s="448">
        <f>LN_IE23-LN_IE24</f>
        <v>3921368</v>
      </c>
      <c r="E181" s="448">
        <f>D181-C181</f>
        <v>-209765</v>
      </c>
      <c r="F181" s="449">
        <f>IF(C181=0,0,E181/C181)</f>
        <v>-5.0776627138366157E-2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401813.0528926329</v>
      </c>
      <c r="D183" s="448">
        <f>LN_IE10+LN_IE22</f>
        <v>459102.77593180473</v>
      </c>
      <c r="E183" s="441">
        <f>D183-C183</f>
        <v>57289.723039171833</v>
      </c>
      <c r="F183" s="449">
        <f>IF(C183=0,0,E183/C183)</f>
        <v>0.14257805371613955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100311907</v>
      </c>
      <c r="D188" s="448">
        <f>LN_ID1+LN_IE1</f>
        <v>119647133</v>
      </c>
      <c r="E188" s="448">
        <f t="shared" ref="E188:E200" si="20">D188-C188</f>
        <v>19335226</v>
      </c>
      <c r="F188" s="449">
        <f t="shared" ref="F188:F200" si="21">IF(C188=0,0,E188/C188)</f>
        <v>0.19275105596387476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17702869</v>
      </c>
      <c r="D189" s="448">
        <f>LN_1D2+LN_IE2</f>
        <v>19332003</v>
      </c>
      <c r="E189" s="448">
        <f t="shared" si="20"/>
        <v>1629134</v>
      </c>
      <c r="F189" s="449">
        <f t="shared" si="21"/>
        <v>9.2026552306295667E-2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0.17647824200969481</v>
      </c>
      <c r="D190" s="453">
        <f>IF(LN_IF1=0,0,LN_IF2/LN_IF1)</f>
        <v>0.16157514614244872</v>
      </c>
      <c r="E190" s="454">
        <f t="shared" si="20"/>
        <v>-1.4903095867246086E-2</v>
      </c>
      <c r="F190" s="449">
        <f t="shared" si="21"/>
        <v>-8.4447213988154898E-2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3173</v>
      </c>
      <c r="D191" s="456">
        <f>LN_ID4+LN_IE4</f>
        <v>3621</v>
      </c>
      <c r="E191" s="456">
        <f t="shared" si="20"/>
        <v>448</v>
      </c>
      <c r="F191" s="449">
        <f t="shared" si="21"/>
        <v>0.14119130160731169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1.0385791080995903</v>
      </c>
      <c r="D192" s="459">
        <f>IF((LN_ID4+LN_IE4)=0,0,(LN_ID6+LN_IE6)/(LN_ID4+LN_IE4))</f>
        <v>1.0359253438276721</v>
      </c>
      <c r="E192" s="460">
        <f t="shared" si="20"/>
        <v>-2.6537642719182131E-3</v>
      </c>
      <c r="F192" s="449">
        <f t="shared" si="21"/>
        <v>-2.5551874202188758E-3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3295.4115099999999</v>
      </c>
      <c r="D193" s="463">
        <f>LN_IF4*LN_IF5</f>
        <v>3751.0856700000008</v>
      </c>
      <c r="E193" s="463">
        <f t="shared" si="20"/>
        <v>455.67416000000094</v>
      </c>
      <c r="F193" s="449">
        <f t="shared" si="21"/>
        <v>0.1382753439493816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5371.9752286718212</v>
      </c>
      <c r="D194" s="465">
        <f>IF(LN_IF6=0,0,LN_IF2/LN_IF6)</f>
        <v>5153.7087394754162</v>
      </c>
      <c r="E194" s="465">
        <f t="shared" si="20"/>
        <v>-218.26648919640502</v>
      </c>
      <c r="F194" s="449">
        <f t="shared" si="21"/>
        <v>-4.0630583706241272E-2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4828.2229283841116</v>
      </c>
      <c r="D195" s="465">
        <f>LN_IB7-LN_IF7</f>
        <v>5674.3490476908355</v>
      </c>
      <c r="E195" s="465">
        <f t="shared" si="20"/>
        <v>846.12611930672392</v>
      </c>
      <c r="F195" s="449">
        <f t="shared" si="21"/>
        <v>0.17524586827433455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2574.941456126111</v>
      </c>
      <c r="D196" s="465">
        <f>LN_IA7-LN_IF7</f>
        <v>3283.4261574703669</v>
      </c>
      <c r="E196" s="465">
        <f t="shared" si="20"/>
        <v>708.48470134425588</v>
      </c>
      <c r="F196" s="449">
        <f t="shared" si="21"/>
        <v>0.27514594541894583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8485491.7120941449</v>
      </c>
      <c r="D197" s="479">
        <f>LN_IF9*LN_IF6</f>
        <v>12316412.807790259</v>
      </c>
      <c r="E197" s="479">
        <f t="shared" si="20"/>
        <v>3830921.095696114</v>
      </c>
      <c r="F197" s="449">
        <f t="shared" si="21"/>
        <v>0.45146718960741006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14177</v>
      </c>
      <c r="D198" s="456">
        <f>LN_ID11+LN_IE11</f>
        <v>16406</v>
      </c>
      <c r="E198" s="456">
        <f t="shared" si="20"/>
        <v>2229</v>
      </c>
      <c r="F198" s="449">
        <f t="shared" si="21"/>
        <v>0.15722649361642096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1248.7034633561402</v>
      </c>
      <c r="D199" s="519">
        <f>IF(LN_IF11=0,0,LN_IF2/LN_IF11)</f>
        <v>1178.3495672315007</v>
      </c>
      <c r="E199" s="519">
        <f t="shared" si="20"/>
        <v>-70.353896124639505</v>
      </c>
      <c r="F199" s="449">
        <f t="shared" si="21"/>
        <v>-5.6341556013266229E-2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4.4680113457295931</v>
      </c>
      <c r="D200" s="466">
        <f>IF(LN_IF4=0,0,LN_IF11/LN_IF4)</f>
        <v>4.5307925987296329</v>
      </c>
      <c r="E200" s="466">
        <f t="shared" si="20"/>
        <v>6.2781253000039783E-2</v>
      </c>
      <c r="F200" s="449">
        <f t="shared" si="21"/>
        <v>1.4051274301271514E-2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122151797</v>
      </c>
      <c r="D203" s="448">
        <f>LN_ID14+LN_IE14</f>
        <v>139046293</v>
      </c>
      <c r="E203" s="448">
        <f t="shared" ref="E203:E211" si="22">D203-C203</f>
        <v>16894496</v>
      </c>
      <c r="F203" s="449">
        <f t="shared" ref="F203:F211" si="23">IF(C203=0,0,E203/C203)</f>
        <v>0.13830738814264026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19701248</v>
      </c>
      <c r="D204" s="448">
        <f>LN_ID15+LN_IE15</f>
        <v>19390543</v>
      </c>
      <c r="E204" s="448">
        <f t="shared" si="22"/>
        <v>-310705</v>
      </c>
      <c r="F204" s="449">
        <f t="shared" si="23"/>
        <v>-1.5770828325190365E-2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0.16128496251266775</v>
      </c>
      <c r="D205" s="453">
        <f>IF(LN_IF14=0,0,LN_IF15/LN_IF14)</f>
        <v>0.13945386519581648</v>
      </c>
      <c r="E205" s="454">
        <f t="shared" si="22"/>
        <v>-2.1831097316851261E-2</v>
      </c>
      <c r="F205" s="449">
        <f t="shared" si="23"/>
        <v>-0.13535730161537279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1.2177198166514769</v>
      </c>
      <c r="D206" s="453">
        <f>IF(LN_IF1=0,0,LN_IF14/LN_IF1)</f>
        <v>1.16213643832151</v>
      </c>
      <c r="E206" s="454">
        <f t="shared" si="22"/>
        <v>-5.5583378329966848E-2</v>
      </c>
      <c r="F206" s="449">
        <f t="shared" si="23"/>
        <v>-4.5645457657748988E-2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3872.776393633987</v>
      </c>
      <c r="D207" s="463">
        <f>LN_ID18+LN_IE18</f>
        <v>4209.8953154613955</v>
      </c>
      <c r="E207" s="463">
        <f t="shared" si="22"/>
        <v>337.11892182740849</v>
      </c>
      <c r="F207" s="449">
        <f t="shared" si="23"/>
        <v>8.7048382752373629E-2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5087.1121896902241</v>
      </c>
      <c r="D208" s="465">
        <f>IF(LN_IF18=0,0,LN_IF15/LN_IF18)</f>
        <v>4605.9442211747346</v>
      </c>
      <c r="E208" s="465">
        <f t="shared" si="22"/>
        <v>-481.16796851548952</v>
      </c>
      <c r="F208" s="449">
        <f t="shared" si="23"/>
        <v>-9.4585680553821216E-2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9724.9738095352313</v>
      </c>
      <c r="D209" s="465">
        <f>LN_IB18-LN_IF19</f>
        <v>9114.2739272259496</v>
      </c>
      <c r="E209" s="465">
        <f t="shared" si="22"/>
        <v>-610.69988230928175</v>
      </c>
      <c r="F209" s="449">
        <f t="shared" si="23"/>
        <v>-6.2797072184451241E-2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2922.2445902549725</v>
      </c>
      <c r="D210" s="465">
        <f>LN_IA16-LN_IF19</f>
        <v>3099.8855322035988</v>
      </c>
      <c r="E210" s="465">
        <f t="shared" si="22"/>
        <v>177.64094194862628</v>
      </c>
      <c r="F210" s="449">
        <f t="shared" si="23"/>
        <v>6.0789210643427592E-2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11317199.865564084</v>
      </c>
      <c r="D211" s="441">
        <f>LN_IF21*LN_IF18</f>
        <v>13050193.580490485</v>
      </c>
      <c r="E211" s="441">
        <f t="shared" si="22"/>
        <v>1732993.7149264012</v>
      </c>
      <c r="F211" s="449">
        <f t="shared" si="23"/>
        <v>0.1531291958711046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222463704</v>
      </c>
      <c r="D214" s="448">
        <f>LN_IF1+LN_IF14</f>
        <v>258693426</v>
      </c>
      <c r="E214" s="448">
        <f>D214-C214</f>
        <v>36229722</v>
      </c>
      <c r="F214" s="449">
        <f>IF(C214=0,0,E214/C214)</f>
        <v>0.16285677775103483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37404117</v>
      </c>
      <c r="D215" s="448">
        <f>LN_IF2+LN_IF15</f>
        <v>38722546</v>
      </c>
      <c r="E215" s="448">
        <f>D215-C215</f>
        <v>1318429</v>
      </c>
      <c r="F215" s="449">
        <f>IF(C215=0,0,E215/C215)</f>
        <v>3.5248232166528622E-2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185059587</v>
      </c>
      <c r="D216" s="448">
        <f>LN_IF23-LN_IF24</f>
        <v>219970880</v>
      </c>
      <c r="E216" s="448">
        <f>D216-C216</f>
        <v>34911293</v>
      </c>
      <c r="F216" s="449">
        <f>IF(C216=0,0,E216/C216)</f>
        <v>0.18864892960125323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891400</v>
      </c>
      <c r="D221" s="448">
        <v>455436</v>
      </c>
      <c r="E221" s="448">
        <f t="shared" ref="E221:E230" si="24">D221-C221</f>
        <v>-435964</v>
      </c>
      <c r="F221" s="449">
        <f t="shared" ref="F221:F230" si="25">IF(C221=0,0,E221/C221)</f>
        <v>-0.48907785505945706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163645</v>
      </c>
      <c r="D222" s="448">
        <v>30170</v>
      </c>
      <c r="E222" s="448">
        <f t="shared" si="24"/>
        <v>-133475</v>
      </c>
      <c r="F222" s="449">
        <f t="shared" si="25"/>
        <v>-0.81563750802041002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0.1835820058335203</v>
      </c>
      <c r="D223" s="453">
        <f>IF(LN_IG1=0,0,LN_IG2/LN_IG1)</f>
        <v>6.6244214335274332E-2</v>
      </c>
      <c r="E223" s="454">
        <f t="shared" si="24"/>
        <v>-0.11733779149824597</v>
      </c>
      <c r="F223" s="449">
        <f t="shared" si="25"/>
        <v>-0.63915736711501392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14</v>
      </c>
      <c r="D224" s="456">
        <v>18</v>
      </c>
      <c r="E224" s="456">
        <f t="shared" si="24"/>
        <v>4</v>
      </c>
      <c r="F224" s="449">
        <f t="shared" si="25"/>
        <v>0.2857142857142857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0.77651999999999999</v>
      </c>
      <c r="D225" s="459">
        <v>0.75302999999999998</v>
      </c>
      <c r="E225" s="460">
        <f t="shared" si="24"/>
        <v>-2.3490000000000011E-2</v>
      </c>
      <c r="F225" s="449">
        <f t="shared" si="25"/>
        <v>-3.025034770514605E-2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10.87128</v>
      </c>
      <c r="D226" s="463">
        <f>LN_IG3*LN_IG4</f>
        <v>13.554539999999999</v>
      </c>
      <c r="E226" s="463">
        <f t="shared" si="24"/>
        <v>2.6832599999999989</v>
      </c>
      <c r="F226" s="449">
        <f t="shared" si="25"/>
        <v>0.24682098152195497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15052.965244203075</v>
      </c>
      <c r="D227" s="465">
        <f>IF(LN_IG5=0,0,LN_IG2/LN_IG5)</f>
        <v>2225.8224919473478</v>
      </c>
      <c r="E227" s="465">
        <f t="shared" si="24"/>
        <v>-12827.142752255728</v>
      </c>
      <c r="F227" s="449">
        <f t="shared" si="25"/>
        <v>-0.85213395129544223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61</v>
      </c>
      <c r="D228" s="456">
        <v>60</v>
      </c>
      <c r="E228" s="456">
        <f t="shared" si="24"/>
        <v>-1</v>
      </c>
      <c r="F228" s="449">
        <f t="shared" si="25"/>
        <v>-1.6393442622950821E-2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2682.7049180327867</v>
      </c>
      <c r="D229" s="465">
        <f>IF(LN_IG6=0,0,LN_IG2/LN_IG6)</f>
        <v>502.83333333333331</v>
      </c>
      <c r="E229" s="465">
        <f t="shared" si="24"/>
        <v>-2179.8715846994533</v>
      </c>
      <c r="F229" s="449">
        <f t="shared" si="25"/>
        <v>-0.81256479982075014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4.3571428571428568</v>
      </c>
      <c r="D230" s="466">
        <f>IF(LN_IG3=0,0,LN_IG6/LN_IG3)</f>
        <v>3.3333333333333335</v>
      </c>
      <c r="E230" s="466">
        <f t="shared" si="24"/>
        <v>-1.0238095238095233</v>
      </c>
      <c r="F230" s="449">
        <f t="shared" si="25"/>
        <v>-0.23497267759562832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825552</v>
      </c>
      <c r="D233" s="448">
        <v>686729</v>
      </c>
      <c r="E233" s="448">
        <f>D233-C233</f>
        <v>-138823</v>
      </c>
      <c r="F233" s="449">
        <f>IF(C233=0,0,E233/C233)</f>
        <v>-0.16815779018159971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195119</v>
      </c>
      <c r="D234" s="448">
        <v>171337</v>
      </c>
      <c r="E234" s="448">
        <f>D234-C234</f>
        <v>-23782</v>
      </c>
      <c r="F234" s="449">
        <f>IF(C234=0,0,E234/C234)</f>
        <v>-0.12188459350447675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1716952</v>
      </c>
      <c r="D237" s="448">
        <f>LN_IG1+LN_IG9</f>
        <v>1142165</v>
      </c>
      <c r="E237" s="448">
        <f>D237-C237</f>
        <v>-574787</v>
      </c>
      <c r="F237" s="449">
        <f>IF(C237=0,0,E237/C237)</f>
        <v>-0.33477173502811958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358764</v>
      </c>
      <c r="D238" s="448">
        <f>LN_IG2+LN_IG10</f>
        <v>201507</v>
      </c>
      <c r="E238" s="448">
        <f>D238-C238</f>
        <v>-157257</v>
      </c>
      <c r="F238" s="449">
        <f>IF(C238=0,0,E238/C238)</f>
        <v>-0.43832993276917415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1358188</v>
      </c>
      <c r="D239" s="448">
        <f>LN_IG13-LN_IG14</f>
        <v>940658</v>
      </c>
      <c r="E239" s="448">
        <f>D239-C239</f>
        <v>-417530</v>
      </c>
      <c r="F239" s="449">
        <f>IF(C239=0,0,E239/C239)</f>
        <v>-0.3074169408064274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23115000</v>
      </c>
      <c r="D243" s="448">
        <v>17736787</v>
      </c>
      <c r="E243" s="441">
        <f>D243-C243</f>
        <v>-5378213</v>
      </c>
      <c r="F243" s="503">
        <f>IF(C243=0,0,E243/C243)</f>
        <v>-0.23267198788665369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482124601</v>
      </c>
      <c r="D244" s="448">
        <v>453664905</v>
      </c>
      <c r="E244" s="441">
        <f>D244-C244</f>
        <v>-28459696</v>
      </c>
      <c r="F244" s="503">
        <f>IF(C244=0,0,E244/C244)</f>
        <v>-5.9029752767169E-2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34807823</v>
      </c>
      <c r="D248" s="441">
        <v>28856190</v>
      </c>
      <c r="E248" s="441">
        <f>D248-C248</f>
        <v>-5951633</v>
      </c>
      <c r="F248" s="449">
        <f>IF(C248=0,0,E248/C248)</f>
        <v>-0.17098549943787061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51939073</v>
      </c>
      <c r="D249" s="441">
        <v>48816541</v>
      </c>
      <c r="E249" s="441">
        <f>D249-C249</f>
        <v>-3122532</v>
      </c>
      <c r="F249" s="449">
        <f>IF(C249=0,0,E249/C249)</f>
        <v>-6.0119132276388529E-2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86746896</v>
      </c>
      <c r="D250" s="441">
        <f>LN_IH4+LN_IH5</f>
        <v>77672731</v>
      </c>
      <c r="E250" s="441">
        <f>D250-C250</f>
        <v>-9074165</v>
      </c>
      <c r="F250" s="449">
        <f>IF(C250=0,0,E250/C250)</f>
        <v>-0.10460506852026152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24383454.957407657</v>
      </c>
      <c r="D251" s="441">
        <f>LN_IH6*LN_III10</f>
        <v>21541626.826584067</v>
      </c>
      <c r="E251" s="441">
        <f>D251-C251</f>
        <v>-2841828.1308235899</v>
      </c>
      <c r="F251" s="449">
        <f>IF(C251=0,0,E251/C251)</f>
        <v>-0.11654739395166175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222463704</v>
      </c>
      <c r="D254" s="441">
        <f>LN_IF23</f>
        <v>258693426</v>
      </c>
      <c r="E254" s="441">
        <f>D254-C254</f>
        <v>36229722</v>
      </c>
      <c r="F254" s="449">
        <f>IF(C254=0,0,E254/C254)</f>
        <v>0.16285677775103483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37404117</v>
      </c>
      <c r="D255" s="441">
        <f>LN_IF24</f>
        <v>38722546</v>
      </c>
      <c r="E255" s="441">
        <f>D255-C255</f>
        <v>1318429</v>
      </c>
      <c r="F255" s="449">
        <f>IF(C255=0,0,E255/C255)</f>
        <v>3.5248232166528622E-2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62531732.618329875</v>
      </c>
      <c r="D256" s="441">
        <f>LN_IH8*LN_III10</f>
        <v>71745607.160156891</v>
      </c>
      <c r="E256" s="441">
        <f>D256-C256</f>
        <v>9213874.5418270156</v>
      </c>
      <c r="F256" s="449">
        <f>IF(C256=0,0,E256/C256)</f>
        <v>0.1473471812793839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25127615.618329875</v>
      </c>
      <c r="D257" s="441">
        <f>LN_IH10-LN_IH9</f>
        <v>33023061.160156891</v>
      </c>
      <c r="E257" s="441">
        <f>D257-C257</f>
        <v>7895445.5418270156</v>
      </c>
      <c r="F257" s="449">
        <f>IF(C257=0,0,E257/C257)</f>
        <v>0.31421387774124954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603986071</v>
      </c>
      <c r="D261" s="448">
        <f>LN_IA1+LN_IB1+LN_IF1+LN_IG1</f>
        <v>620481767</v>
      </c>
      <c r="E261" s="448">
        <f t="shared" ref="E261:E274" si="26">D261-C261</f>
        <v>16495696</v>
      </c>
      <c r="F261" s="503">
        <f t="shared" ref="F261:F274" si="27">IF(C261=0,0,E261/C261)</f>
        <v>2.7311384801786263E-2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152619524</v>
      </c>
      <c r="D262" s="448">
        <f>+LN_IA2+LN_IB2+LN_IF2+LN_IG2</f>
        <v>161728697</v>
      </c>
      <c r="E262" s="448">
        <f t="shared" si="26"/>
        <v>9109173</v>
      </c>
      <c r="F262" s="503">
        <f t="shared" si="27"/>
        <v>5.9685502622849225E-2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0.25268715840965145</v>
      </c>
      <c r="D263" s="453">
        <f>IF(LN_IIA1=0,0,LN_IIA2/LN_IIA1)</f>
        <v>0.26065020054005872</v>
      </c>
      <c r="E263" s="454">
        <f t="shared" si="26"/>
        <v>7.9630421304072718E-3</v>
      </c>
      <c r="F263" s="458">
        <f t="shared" si="27"/>
        <v>3.1513442078040806E-2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14294</v>
      </c>
      <c r="D264" s="456">
        <f>LN_IA4+LN_IB4+LN_IF4+LN_IG3</f>
        <v>14871</v>
      </c>
      <c r="E264" s="456">
        <f t="shared" si="26"/>
        <v>577</v>
      </c>
      <c r="F264" s="503">
        <f t="shared" si="27"/>
        <v>4.0366587379319994E-2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1.2846034615922763</v>
      </c>
      <c r="D265" s="525">
        <f>IF(LN_IIA4=0,0,LN_IIA6/LN_IIA4)</f>
        <v>1.2589443393181361</v>
      </c>
      <c r="E265" s="525">
        <f t="shared" si="26"/>
        <v>-2.5659122274140245E-2</v>
      </c>
      <c r="F265" s="503">
        <f t="shared" si="27"/>
        <v>-1.9974352429609332E-2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18362.121879999999</v>
      </c>
      <c r="D266" s="463">
        <f>LN_IA6+LN_IB6+LN_IF6+LN_IG5</f>
        <v>18721.761270000003</v>
      </c>
      <c r="E266" s="463">
        <f t="shared" si="26"/>
        <v>359.63939000000391</v>
      </c>
      <c r="F266" s="503">
        <f t="shared" si="27"/>
        <v>1.9585938507015507E-2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1038604437</v>
      </c>
      <c r="D267" s="448">
        <f>LN_IA11+LN_IB13+LN_IF14+LN_IG9</f>
        <v>1100327328</v>
      </c>
      <c r="E267" s="448">
        <f t="shared" si="26"/>
        <v>61722891</v>
      </c>
      <c r="F267" s="503">
        <f t="shared" si="27"/>
        <v>5.9428680257024552E-2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1.7195834256250588</v>
      </c>
      <c r="D268" s="453">
        <f>IF(LN_IIA1=0,0,LN_IIA7/LN_IIA1)</f>
        <v>1.7733435316238713</v>
      </c>
      <c r="E268" s="454">
        <f t="shared" si="26"/>
        <v>5.3760105998812424E-2</v>
      </c>
      <c r="F268" s="458">
        <f t="shared" si="27"/>
        <v>3.1263447412719116E-2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311169533</v>
      </c>
      <c r="D269" s="448">
        <f>LN_IA12+LN_IB14+LN_IF15+LN_IG10</f>
        <v>316237207</v>
      </c>
      <c r="E269" s="448">
        <f t="shared" si="26"/>
        <v>5067674</v>
      </c>
      <c r="F269" s="503">
        <f t="shared" si="27"/>
        <v>1.628589390208713E-2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0.29960350824112647</v>
      </c>
      <c r="D270" s="453">
        <f>IF(LN_IIA7=0,0,LN_IIA9/LN_IIA7)</f>
        <v>0.28740284727346155</v>
      </c>
      <c r="E270" s="454">
        <f t="shared" si="26"/>
        <v>-1.2200660967664922E-2</v>
      </c>
      <c r="F270" s="458">
        <f t="shared" si="27"/>
        <v>-4.072269059628502E-2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1642590508</v>
      </c>
      <c r="D271" s="441">
        <f>LN_IIA1+LN_IIA7</f>
        <v>1720809095</v>
      </c>
      <c r="E271" s="441">
        <f t="shared" si="26"/>
        <v>78218587</v>
      </c>
      <c r="F271" s="503">
        <f t="shared" si="27"/>
        <v>4.7619042371819187E-2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463789057</v>
      </c>
      <c r="D272" s="441">
        <f>LN_IIA2+LN_IIA9</f>
        <v>477965904</v>
      </c>
      <c r="E272" s="441">
        <f t="shared" si="26"/>
        <v>14176847</v>
      </c>
      <c r="F272" s="503">
        <f t="shared" si="27"/>
        <v>3.0567446096512796E-2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0.2823522081378057</v>
      </c>
      <c r="D273" s="453">
        <f>IF(LN_IIA11=0,0,LN_IIA12/LN_IIA11)</f>
        <v>0.27775649570238936</v>
      </c>
      <c r="E273" s="454">
        <f t="shared" si="26"/>
        <v>-4.5957124354163437E-3</v>
      </c>
      <c r="F273" s="458">
        <f t="shared" si="27"/>
        <v>-1.6276523798862397E-2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70911</v>
      </c>
      <c r="D274" s="508">
        <f>LN_IA8+LN_IB10+LN_IF11+LN_IG6</f>
        <v>71656</v>
      </c>
      <c r="E274" s="528">
        <f t="shared" si="26"/>
        <v>745</v>
      </c>
      <c r="F274" s="458">
        <f t="shared" si="27"/>
        <v>1.0506127399134126E-2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389793845</v>
      </c>
      <c r="D277" s="448">
        <f>LN_IA1+LN_IF1+LN_IG1</f>
        <v>411984280</v>
      </c>
      <c r="E277" s="448">
        <f t="shared" ref="E277:E291" si="28">D277-C277</f>
        <v>22190435</v>
      </c>
      <c r="F277" s="503">
        <f t="shared" ref="F277:F291" si="29">IF(C277=0,0,E277/C277)</f>
        <v>5.6928643909192563E-2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84239604</v>
      </c>
      <c r="D278" s="448">
        <f>LN_IA2+LN_IF2+LN_IG2</f>
        <v>88491910</v>
      </c>
      <c r="E278" s="448">
        <f t="shared" si="28"/>
        <v>4252306</v>
      </c>
      <c r="F278" s="503">
        <f t="shared" si="29"/>
        <v>5.0478703579850639E-2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0.21611322261899749</v>
      </c>
      <c r="D279" s="453">
        <f>IF(D277=0,0,LN_IIB2/D277)</f>
        <v>0.21479438487313157</v>
      </c>
      <c r="E279" s="454">
        <f t="shared" si="28"/>
        <v>-1.318837745865914E-3</v>
      </c>
      <c r="F279" s="458">
        <f t="shared" si="29"/>
        <v>-6.1025314873537091E-3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8331</v>
      </c>
      <c r="D280" s="456">
        <f>LN_IA4+LN_IF4+LN_IG3</f>
        <v>8757</v>
      </c>
      <c r="E280" s="456">
        <f t="shared" si="28"/>
        <v>426</v>
      </c>
      <c r="F280" s="503">
        <f t="shared" si="29"/>
        <v>5.1134317608930502E-2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1.399392436682271</v>
      </c>
      <c r="D281" s="525">
        <f>IF(LN_IIB4=0,0,LN_IIB6/LN_IIB4)</f>
        <v>1.3655531312093183</v>
      </c>
      <c r="E281" s="525">
        <f t="shared" si="28"/>
        <v>-3.3839305472952663E-2</v>
      </c>
      <c r="F281" s="503">
        <f t="shared" si="29"/>
        <v>-2.4181426586226296E-2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11658.338389999999</v>
      </c>
      <c r="D282" s="463">
        <f>LN_IA6+LN_IF6+LN_IG5</f>
        <v>11958.14877</v>
      </c>
      <c r="E282" s="463">
        <f t="shared" si="28"/>
        <v>299.81038000000081</v>
      </c>
      <c r="F282" s="503">
        <f t="shared" si="29"/>
        <v>2.5716390275407064E-2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443067561</v>
      </c>
      <c r="D283" s="448">
        <f>LN_IA11+LN_IF14+LN_IG9</f>
        <v>475804736</v>
      </c>
      <c r="E283" s="448">
        <f t="shared" si="28"/>
        <v>32737175</v>
      </c>
      <c r="F283" s="503">
        <f t="shared" si="29"/>
        <v>7.3887546463822479E-2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1.136671516709044</v>
      </c>
      <c r="D284" s="453">
        <f>IF(D277=0,0,LN_IIB7/D277)</f>
        <v>1.1549099300584964</v>
      </c>
      <c r="E284" s="454">
        <f t="shared" si="28"/>
        <v>1.823841334945242E-2</v>
      </c>
      <c r="F284" s="458">
        <f t="shared" si="29"/>
        <v>1.6045456476517783E-2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65593495</v>
      </c>
      <c r="D285" s="448">
        <f>LN_IA12+LN_IF15+LN_IG10</f>
        <v>64971176</v>
      </c>
      <c r="E285" s="448">
        <f t="shared" si="28"/>
        <v>-622319</v>
      </c>
      <c r="F285" s="503">
        <f t="shared" si="29"/>
        <v>-9.4875109185750817E-3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0.14804400225544836</v>
      </c>
      <c r="D286" s="453">
        <f>IF(LN_IIB7=0,0,LN_IIB9/LN_IIB7)</f>
        <v>0.13655008259522664</v>
      </c>
      <c r="E286" s="454">
        <f t="shared" si="28"/>
        <v>-1.149391966022173E-2</v>
      </c>
      <c r="F286" s="458">
        <f t="shared" si="29"/>
        <v>-7.7638536415606307E-2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832861406</v>
      </c>
      <c r="D287" s="441">
        <f>D277+LN_IIB7</f>
        <v>887789016</v>
      </c>
      <c r="E287" s="441">
        <f t="shared" si="28"/>
        <v>54927610</v>
      </c>
      <c r="F287" s="503">
        <f t="shared" si="29"/>
        <v>6.5950480601330685E-2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149833099</v>
      </c>
      <c r="D288" s="441">
        <f>LN_IIB2+LN_IIB9</f>
        <v>153463086</v>
      </c>
      <c r="E288" s="441">
        <f t="shared" si="28"/>
        <v>3629987</v>
      </c>
      <c r="F288" s="503">
        <f t="shared" si="29"/>
        <v>2.4226869925449517E-2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0.1799015993784685</v>
      </c>
      <c r="D289" s="453">
        <f>IF(LN_IIB11=0,0,LN_IIB12/LN_IIB11)</f>
        <v>0.17285986110916246</v>
      </c>
      <c r="E289" s="454">
        <f t="shared" si="28"/>
        <v>-7.0417382693060415E-3</v>
      </c>
      <c r="F289" s="458">
        <f t="shared" si="29"/>
        <v>-3.914216601538914E-2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46259</v>
      </c>
      <c r="D290" s="508">
        <f>LN_IA8+LN_IF11+LN_IG6</f>
        <v>48012</v>
      </c>
      <c r="E290" s="528">
        <f t="shared" si="28"/>
        <v>1753</v>
      </c>
      <c r="F290" s="458">
        <f t="shared" si="29"/>
        <v>3.7895328476620763E-2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683028307</v>
      </c>
      <c r="D291" s="516">
        <f>LN_IIB11-LN_IIB12</f>
        <v>734325930</v>
      </c>
      <c r="E291" s="441">
        <f t="shared" si="28"/>
        <v>51297623</v>
      </c>
      <c r="F291" s="503">
        <f t="shared" si="29"/>
        <v>7.5103216769023304E-2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6.2249222395023329</v>
      </c>
      <c r="D294" s="466">
        <f>IF(LN_IA4=0,0,LN_IA8/LN_IA4)</f>
        <v>6.1637358343102777</v>
      </c>
      <c r="E294" s="466">
        <f t="shared" ref="E294:E300" si="30">D294-C294</f>
        <v>-6.1186405192055204E-2</v>
      </c>
      <c r="F294" s="503">
        <f t="shared" ref="F294:F300" si="31">IF(C294=0,0,E294/C294)</f>
        <v>-9.8292641800047462E-3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4.1341606573872216</v>
      </c>
      <c r="D295" s="466">
        <f>IF(LN_IB4=0,0,(LN_IB10)/(LN_IB4))</f>
        <v>3.8671900556100751</v>
      </c>
      <c r="E295" s="466">
        <f t="shared" si="30"/>
        <v>-0.26697060177714649</v>
      </c>
      <c r="F295" s="503">
        <f t="shared" si="31"/>
        <v>-6.457673610243081E-2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4.6967418546365911</v>
      </c>
      <c r="D296" s="466">
        <f>IF(LN_IC4=0,0,LN_IC11/LN_IC4)</f>
        <v>4.4958217270194982</v>
      </c>
      <c r="E296" s="466">
        <f t="shared" si="30"/>
        <v>-0.20092012761709288</v>
      </c>
      <c r="F296" s="503">
        <f t="shared" si="31"/>
        <v>-4.2778618420074743E-2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4.4577533182259632</v>
      </c>
      <c r="D297" s="466">
        <f>IF(LN_ID4=0,0,LN_ID11/LN_ID4)</f>
        <v>4.5236486486486482</v>
      </c>
      <c r="E297" s="466">
        <f t="shared" si="30"/>
        <v>6.5895330422685028E-2</v>
      </c>
      <c r="F297" s="503">
        <f t="shared" si="31"/>
        <v>1.4782184144929125E-2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4.8452380952380949</v>
      </c>
      <c r="D298" s="466">
        <f>IF(LN_IE4=0,0,LN_IE11/LN_IE4)</f>
        <v>4.8985507246376816</v>
      </c>
      <c r="E298" s="466">
        <f t="shared" si="30"/>
        <v>5.3312629399586697E-2</v>
      </c>
      <c r="F298" s="503">
        <f t="shared" si="31"/>
        <v>1.1003097959619859E-2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4.3571428571428568</v>
      </c>
      <c r="D299" s="466">
        <f>IF(LN_IG3=0,0,LN_IG6/LN_IG3)</f>
        <v>3.3333333333333335</v>
      </c>
      <c r="E299" s="466">
        <f t="shared" si="30"/>
        <v>-1.0238095238095233</v>
      </c>
      <c r="F299" s="503">
        <f t="shared" si="31"/>
        <v>-0.23497267759562832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4.9608926822442987</v>
      </c>
      <c r="D300" s="466">
        <f>IF(LN_IIA4=0,0,LN_IIA14/LN_IIA4)</f>
        <v>4.8185058166902026</v>
      </c>
      <c r="E300" s="466">
        <f t="shared" si="30"/>
        <v>-0.14238686555409608</v>
      </c>
      <c r="F300" s="503">
        <f t="shared" si="31"/>
        <v>-2.8701863691532332E-2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1642590508</v>
      </c>
      <c r="D304" s="441">
        <f>LN_IIA11</f>
        <v>1720809095</v>
      </c>
      <c r="E304" s="441">
        <f t="shared" ref="E304:E316" si="32">D304-C304</f>
        <v>78218587</v>
      </c>
      <c r="F304" s="449">
        <f>IF(C304=0,0,E304/C304)</f>
        <v>4.7619042371819187E-2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683028307</v>
      </c>
      <c r="D305" s="441">
        <f>LN_IIB14</f>
        <v>734325930</v>
      </c>
      <c r="E305" s="441">
        <f t="shared" si="32"/>
        <v>51297623</v>
      </c>
      <c r="F305" s="449">
        <f>IF(C305=0,0,E305/C305)</f>
        <v>7.5103216769023304E-2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86746896</v>
      </c>
      <c r="D306" s="441">
        <f>LN_IH6</f>
        <v>77672731</v>
      </c>
      <c r="E306" s="441">
        <f t="shared" si="32"/>
        <v>-9074165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387152825</v>
      </c>
      <c r="D307" s="441">
        <f>LN_IB32-LN_IB33</f>
        <v>408893829</v>
      </c>
      <c r="E307" s="441">
        <f t="shared" si="32"/>
        <v>21741004</v>
      </c>
      <c r="F307" s="449">
        <f t="shared" ref="F307:F316" si="33">IF(C307=0,0,E307/C307)</f>
        <v>5.6156129042839863E-2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23951070</v>
      </c>
      <c r="D308" s="441">
        <v>22670255</v>
      </c>
      <c r="E308" s="441">
        <f t="shared" si="32"/>
        <v>-1280815</v>
      </c>
      <c r="F308" s="449">
        <f t="shared" si="33"/>
        <v>-5.3476316506945204E-2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1180879098</v>
      </c>
      <c r="D309" s="441">
        <f>LN_III2+LN_III3+LN_III4+LN_III5</f>
        <v>1243562745</v>
      </c>
      <c r="E309" s="441">
        <f t="shared" si="32"/>
        <v>62683647</v>
      </c>
      <c r="F309" s="449">
        <f t="shared" si="33"/>
        <v>5.3082188605221632E-2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461711410</v>
      </c>
      <c r="D310" s="441">
        <f>LN_III1-LN_III6</f>
        <v>477246350</v>
      </c>
      <c r="E310" s="441">
        <f t="shared" si="32"/>
        <v>15534940</v>
      </c>
      <c r="F310" s="449">
        <f t="shared" si="33"/>
        <v>3.3646428620856476E-2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461711410</v>
      </c>
      <c r="D312" s="441">
        <f>LN_III7+LN_III8</f>
        <v>477246350</v>
      </c>
      <c r="E312" s="441">
        <f t="shared" si="32"/>
        <v>15534940</v>
      </c>
      <c r="F312" s="449">
        <f t="shared" si="33"/>
        <v>3.3646428620856476E-2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0.28108734815603842</v>
      </c>
      <c r="D313" s="532">
        <f>IF(LN_III1=0,0,LN_III9/LN_III1)</f>
        <v>0.27733834705237886</v>
      </c>
      <c r="E313" s="532">
        <f t="shared" si="32"/>
        <v>-3.749001103659555E-3</v>
      </c>
      <c r="F313" s="449">
        <f t="shared" si="33"/>
        <v>-1.3337495010904558E-2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24383454.957407657</v>
      </c>
      <c r="D314" s="441">
        <f>D313*LN_III5</f>
        <v>21541626.826584067</v>
      </c>
      <c r="E314" s="441">
        <f t="shared" si="32"/>
        <v>-2841828.1308235899</v>
      </c>
      <c r="F314" s="449">
        <f t="shared" si="33"/>
        <v>-0.11654739395166175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25127615.618329875</v>
      </c>
      <c r="D315" s="441">
        <f>D313*LN_IH8-LN_IH9</f>
        <v>33023061.160156891</v>
      </c>
      <c r="E315" s="441">
        <f t="shared" si="32"/>
        <v>7895445.5418270156</v>
      </c>
      <c r="F315" s="449">
        <f t="shared" si="33"/>
        <v>0.31421387774124954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49511070.575737536</v>
      </c>
      <c r="D318" s="441">
        <f>D314+D315+D316</f>
        <v>54564687.986740962</v>
      </c>
      <c r="E318" s="441">
        <f>D318-C318</f>
        <v>5053617.4110034257</v>
      </c>
      <c r="F318" s="449">
        <f>IF(C318=0,0,E318/C318)</f>
        <v>0.10207045317820104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11184307.262161322</v>
      </c>
      <c r="D322" s="441">
        <f>LN_ID22</f>
        <v>12850257.808269022</v>
      </c>
      <c r="E322" s="441">
        <f>LN_IV2-C322</f>
        <v>1665950.5461077001</v>
      </c>
      <c r="F322" s="449">
        <f>IF(C322=0,0,E322/C322)</f>
        <v>0.14895428988650317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401813.0528926329</v>
      </c>
      <c r="D323" s="441">
        <f>LN_IE10+LN_IE22</f>
        <v>459102.77593180473</v>
      </c>
      <c r="E323" s="441">
        <f>LN_IV3-C323</f>
        <v>57289.723039171833</v>
      </c>
      <c r="F323" s="449">
        <f>IF(C323=0,0,E323/C323)</f>
        <v>0.14257805371613955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13939399.375382531</v>
      </c>
      <c r="D324" s="441">
        <f>LN_IC10+LN_IC22</f>
        <v>12210408.507555656</v>
      </c>
      <c r="E324" s="441">
        <f>LN_IV1-C324</f>
        <v>-1728990.8678268753</v>
      </c>
      <c r="F324" s="449">
        <f>IF(C324=0,0,E324/C324)</f>
        <v>-0.12403625301677874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25525519.690436486</v>
      </c>
      <c r="D325" s="516">
        <f>LN_IV1+LN_IV2+LN_IV3</f>
        <v>25519769.091756485</v>
      </c>
      <c r="E325" s="441">
        <f>LN_IV4-C325</f>
        <v>-5750.5986800007522</v>
      </c>
      <c r="F325" s="449">
        <f>IF(C325=0,0,E325/C325)</f>
        <v>-2.252882115522725E-4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34761420</v>
      </c>
      <c r="D329" s="518">
        <v>31904863</v>
      </c>
      <c r="E329" s="518">
        <f t="shared" ref="E329:E335" si="34">D329-C329</f>
        <v>-2856557</v>
      </c>
      <c r="F329" s="542">
        <f t="shared" ref="F329:F335" si="35">IF(C329=0,0,E329/C329)</f>
        <v>-8.217607335948876E-2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41066943</v>
      </c>
      <c r="D330" s="516">
        <v>-12081445</v>
      </c>
      <c r="E330" s="518">
        <f t="shared" si="34"/>
        <v>-53148388</v>
      </c>
      <c r="F330" s="543">
        <f t="shared" si="35"/>
        <v>-1.294189051276595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504856000</v>
      </c>
      <c r="D331" s="516">
        <v>465884000</v>
      </c>
      <c r="E331" s="518">
        <f t="shared" si="34"/>
        <v>-38972000</v>
      </c>
      <c r="F331" s="542">
        <f t="shared" si="35"/>
        <v>-7.7194289064604557E-2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-508</v>
      </c>
      <c r="D332" s="516">
        <v>-2703000</v>
      </c>
      <c r="E332" s="518">
        <f t="shared" si="34"/>
        <v>-2702492</v>
      </c>
      <c r="F332" s="543">
        <f t="shared" si="35"/>
        <v>5319.8661417322837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1642590000</v>
      </c>
      <c r="D333" s="516">
        <v>1718106000</v>
      </c>
      <c r="E333" s="518">
        <f t="shared" si="34"/>
        <v>75516000</v>
      </c>
      <c r="F333" s="542">
        <f t="shared" si="35"/>
        <v>4.597373659890782E-2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104</v>
      </c>
      <c r="D334" s="516">
        <v>0</v>
      </c>
      <c r="E334" s="516">
        <f t="shared" si="34"/>
        <v>-104</v>
      </c>
      <c r="F334" s="543">
        <f t="shared" si="35"/>
        <v>-1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86747000</v>
      </c>
      <c r="D335" s="516">
        <v>77673000</v>
      </c>
      <c r="E335" s="516">
        <f t="shared" si="34"/>
        <v>-9074000</v>
      </c>
      <c r="F335" s="542">
        <f t="shared" si="35"/>
        <v>-0.10460304102735542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214192226</v>
      </c>
      <c r="D14" s="589">
        <v>208497487</v>
      </c>
      <c r="E14" s="590">
        <f t="shared" ref="E14:E22" si="0">D14-C14</f>
        <v>-5694739</v>
      </c>
    </row>
    <row r="15" spans="1:5" s="421" customFormat="1" x14ac:dyDescent="0.2">
      <c r="A15" s="588">
        <v>2</v>
      </c>
      <c r="B15" s="587" t="s">
        <v>636</v>
      </c>
      <c r="C15" s="589">
        <v>288590538</v>
      </c>
      <c r="D15" s="591">
        <v>291881711</v>
      </c>
      <c r="E15" s="590">
        <f t="shared" si="0"/>
        <v>3291173</v>
      </c>
    </row>
    <row r="16" spans="1:5" s="421" customFormat="1" x14ac:dyDescent="0.2">
      <c r="A16" s="588">
        <v>3</v>
      </c>
      <c r="B16" s="587" t="s">
        <v>778</v>
      </c>
      <c r="C16" s="589">
        <v>100311907</v>
      </c>
      <c r="D16" s="591">
        <v>119647133</v>
      </c>
      <c r="E16" s="590">
        <f t="shared" si="0"/>
        <v>19335226</v>
      </c>
    </row>
    <row r="17" spans="1:5" s="421" customFormat="1" x14ac:dyDescent="0.2">
      <c r="A17" s="588">
        <v>4</v>
      </c>
      <c r="B17" s="587" t="s">
        <v>115</v>
      </c>
      <c r="C17" s="589">
        <v>97251144</v>
      </c>
      <c r="D17" s="591">
        <v>117194274</v>
      </c>
      <c r="E17" s="590">
        <f t="shared" si="0"/>
        <v>19943130</v>
      </c>
    </row>
    <row r="18" spans="1:5" s="421" customFormat="1" x14ac:dyDescent="0.2">
      <c r="A18" s="588">
        <v>5</v>
      </c>
      <c r="B18" s="587" t="s">
        <v>744</v>
      </c>
      <c r="C18" s="589">
        <v>3060763</v>
      </c>
      <c r="D18" s="591">
        <v>2452859</v>
      </c>
      <c r="E18" s="590">
        <f t="shared" si="0"/>
        <v>-607904</v>
      </c>
    </row>
    <row r="19" spans="1:5" s="421" customFormat="1" x14ac:dyDescent="0.2">
      <c r="A19" s="588">
        <v>6</v>
      </c>
      <c r="B19" s="587" t="s">
        <v>424</v>
      </c>
      <c r="C19" s="589">
        <v>891400</v>
      </c>
      <c r="D19" s="591">
        <v>455436</v>
      </c>
      <c r="E19" s="590">
        <f t="shared" si="0"/>
        <v>-435964</v>
      </c>
    </row>
    <row r="20" spans="1:5" s="421" customFormat="1" x14ac:dyDescent="0.2">
      <c r="A20" s="588">
        <v>7</v>
      </c>
      <c r="B20" s="587" t="s">
        <v>759</v>
      </c>
      <c r="C20" s="589">
        <v>18193219</v>
      </c>
      <c r="D20" s="591">
        <v>16415559</v>
      </c>
      <c r="E20" s="590">
        <f t="shared" si="0"/>
        <v>-1777660</v>
      </c>
    </row>
    <row r="21" spans="1:5" s="421" customFormat="1" x14ac:dyDescent="0.2">
      <c r="A21" s="588"/>
      <c r="B21" s="592" t="s">
        <v>779</v>
      </c>
      <c r="C21" s="593">
        <f>SUM(C15+C16+C19)</f>
        <v>389793845</v>
      </c>
      <c r="D21" s="593">
        <f>SUM(D15+D16+D19)</f>
        <v>411984280</v>
      </c>
      <c r="E21" s="593">
        <f t="shared" si="0"/>
        <v>22190435</v>
      </c>
    </row>
    <row r="22" spans="1:5" s="421" customFormat="1" x14ac:dyDescent="0.2">
      <c r="A22" s="588"/>
      <c r="B22" s="592" t="s">
        <v>465</v>
      </c>
      <c r="C22" s="593">
        <f>SUM(C14+C21)</f>
        <v>603986071</v>
      </c>
      <c r="D22" s="593">
        <f>SUM(D14+D21)</f>
        <v>620481767</v>
      </c>
      <c r="E22" s="593">
        <f t="shared" si="0"/>
        <v>16495696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595536876</v>
      </c>
      <c r="D25" s="589">
        <v>624522592</v>
      </c>
      <c r="E25" s="590">
        <f t="shared" ref="E25:E33" si="1">D25-C25</f>
        <v>28985716</v>
      </c>
    </row>
    <row r="26" spans="1:5" s="421" customFormat="1" x14ac:dyDescent="0.2">
      <c r="A26" s="588">
        <v>2</v>
      </c>
      <c r="B26" s="587" t="s">
        <v>636</v>
      </c>
      <c r="C26" s="589">
        <v>320090212</v>
      </c>
      <c r="D26" s="591">
        <v>336071714</v>
      </c>
      <c r="E26" s="590">
        <f t="shared" si="1"/>
        <v>15981502</v>
      </c>
    </row>
    <row r="27" spans="1:5" s="421" customFormat="1" x14ac:dyDescent="0.2">
      <c r="A27" s="588">
        <v>3</v>
      </c>
      <c r="B27" s="587" t="s">
        <v>778</v>
      </c>
      <c r="C27" s="589">
        <v>122151797</v>
      </c>
      <c r="D27" s="591">
        <v>139046293</v>
      </c>
      <c r="E27" s="590">
        <f t="shared" si="1"/>
        <v>16894496</v>
      </c>
    </row>
    <row r="28" spans="1:5" s="421" customFormat="1" x14ac:dyDescent="0.2">
      <c r="A28" s="588">
        <v>4</v>
      </c>
      <c r="B28" s="587" t="s">
        <v>115</v>
      </c>
      <c r="C28" s="589">
        <v>120497219</v>
      </c>
      <c r="D28" s="591">
        <v>137021769</v>
      </c>
      <c r="E28" s="590">
        <f t="shared" si="1"/>
        <v>16524550</v>
      </c>
    </row>
    <row r="29" spans="1:5" s="421" customFormat="1" x14ac:dyDescent="0.2">
      <c r="A29" s="588">
        <v>5</v>
      </c>
      <c r="B29" s="587" t="s">
        <v>744</v>
      </c>
      <c r="C29" s="589">
        <v>1654578</v>
      </c>
      <c r="D29" s="591">
        <v>2024524</v>
      </c>
      <c r="E29" s="590">
        <f t="shared" si="1"/>
        <v>369946</v>
      </c>
    </row>
    <row r="30" spans="1:5" s="421" customFormat="1" x14ac:dyDescent="0.2">
      <c r="A30" s="588">
        <v>6</v>
      </c>
      <c r="B30" s="587" t="s">
        <v>424</v>
      </c>
      <c r="C30" s="589">
        <v>825552</v>
      </c>
      <c r="D30" s="591">
        <v>686729</v>
      </c>
      <c r="E30" s="590">
        <f t="shared" si="1"/>
        <v>-138823</v>
      </c>
    </row>
    <row r="31" spans="1:5" s="421" customFormat="1" x14ac:dyDescent="0.2">
      <c r="A31" s="588">
        <v>7</v>
      </c>
      <c r="B31" s="587" t="s">
        <v>759</v>
      </c>
      <c r="C31" s="590">
        <v>69865798</v>
      </c>
      <c r="D31" s="594">
        <v>63105332</v>
      </c>
      <c r="E31" s="590">
        <f t="shared" si="1"/>
        <v>-6760466</v>
      </c>
    </row>
    <row r="32" spans="1:5" s="421" customFormat="1" x14ac:dyDescent="0.2">
      <c r="A32" s="588"/>
      <c r="B32" s="592" t="s">
        <v>781</v>
      </c>
      <c r="C32" s="593">
        <f>SUM(C26+C27+C30)</f>
        <v>443067561</v>
      </c>
      <c r="D32" s="593">
        <f>SUM(D26+D27+D30)</f>
        <v>475804736</v>
      </c>
      <c r="E32" s="593">
        <f t="shared" si="1"/>
        <v>32737175</v>
      </c>
    </row>
    <row r="33" spans="1:5" s="421" customFormat="1" x14ac:dyDescent="0.2">
      <c r="A33" s="588"/>
      <c r="B33" s="592" t="s">
        <v>467</v>
      </c>
      <c r="C33" s="593">
        <f>SUM(C25+C32)</f>
        <v>1038604437</v>
      </c>
      <c r="D33" s="593">
        <f>SUM(D25+D32)</f>
        <v>1100327328</v>
      </c>
      <c r="E33" s="593">
        <f t="shared" si="1"/>
        <v>61722891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809729102</v>
      </c>
      <c r="D36" s="590">
        <f t="shared" si="2"/>
        <v>833020079</v>
      </c>
      <c r="E36" s="590">
        <f t="shared" ref="E36:E44" si="3">D36-C36</f>
        <v>23290977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608680750</v>
      </c>
      <c r="D37" s="590">
        <f t="shared" si="2"/>
        <v>627953425</v>
      </c>
      <c r="E37" s="590">
        <f t="shared" si="3"/>
        <v>19272675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222463704</v>
      </c>
      <c r="D38" s="590">
        <f t="shared" si="2"/>
        <v>258693426</v>
      </c>
      <c r="E38" s="590">
        <f t="shared" si="3"/>
        <v>36229722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217748363</v>
      </c>
      <c r="D39" s="590">
        <f t="shared" si="2"/>
        <v>254216043</v>
      </c>
      <c r="E39" s="590">
        <f t="shared" si="3"/>
        <v>36467680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4715341</v>
      </c>
      <c r="D40" s="590">
        <f t="shared" si="2"/>
        <v>4477383</v>
      </c>
      <c r="E40" s="590">
        <f t="shared" si="3"/>
        <v>-237958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1716952</v>
      </c>
      <c r="D41" s="590">
        <f t="shared" si="2"/>
        <v>1142165</v>
      </c>
      <c r="E41" s="590">
        <f t="shared" si="3"/>
        <v>-574787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88059017</v>
      </c>
      <c r="D42" s="590">
        <f t="shared" si="2"/>
        <v>79520891</v>
      </c>
      <c r="E42" s="590">
        <f t="shared" si="3"/>
        <v>-8538126</v>
      </c>
    </row>
    <row r="43" spans="1:5" s="421" customFormat="1" x14ac:dyDescent="0.2">
      <c r="A43" s="588"/>
      <c r="B43" s="592" t="s">
        <v>789</v>
      </c>
      <c r="C43" s="593">
        <f>SUM(C37+C38+C41)</f>
        <v>832861406</v>
      </c>
      <c r="D43" s="593">
        <f>SUM(D37+D38+D41)</f>
        <v>887789016</v>
      </c>
      <c r="E43" s="593">
        <f t="shared" si="3"/>
        <v>54927610</v>
      </c>
    </row>
    <row r="44" spans="1:5" s="421" customFormat="1" x14ac:dyDescent="0.2">
      <c r="A44" s="588"/>
      <c r="B44" s="592" t="s">
        <v>726</v>
      </c>
      <c r="C44" s="593">
        <f>SUM(C36+C43)</f>
        <v>1642590508</v>
      </c>
      <c r="D44" s="593">
        <f>SUM(D36+D43)</f>
        <v>1720809095</v>
      </c>
      <c r="E44" s="593">
        <f t="shared" si="3"/>
        <v>78218587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68379920</v>
      </c>
      <c r="D47" s="589">
        <v>73236787</v>
      </c>
      <c r="E47" s="590">
        <f t="shared" ref="E47:E55" si="4">D47-C47</f>
        <v>4856867</v>
      </c>
    </row>
    <row r="48" spans="1:5" s="421" customFormat="1" x14ac:dyDescent="0.2">
      <c r="A48" s="588">
        <v>2</v>
      </c>
      <c r="B48" s="587" t="s">
        <v>636</v>
      </c>
      <c r="C48" s="589">
        <v>66373090</v>
      </c>
      <c r="D48" s="591">
        <v>69129737</v>
      </c>
      <c r="E48" s="590">
        <f t="shared" si="4"/>
        <v>2756647</v>
      </c>
    </row>
    <row r="49" spans="1:5" s="421" customFormat="1" x14ac:dyDescent="0.2">
      <c r="A49" s="588">
        <v>3</v>
      </c>
      <c r="B49" s="587" t="s">
        <v>778</v>
      </c>
      <c r="C49" s="589">
        <v>17702869</v>
      </c>
      <c r="D49" s="591">
        <v>19332003</v>
      </c>
      <c r="E49" s="590">
        <f t="shared" si="4"/>
        <v>1629134</v>
      </c>
    </row>
    <row r="50" spans="1:5" s="421" customFormat="1" x14ac:dyDescent="0.2">
      <c r="A50" s="588">
        <v>4</v>
      </c>
      <c r="B50" s="587" t="s">
        <v>115</v>
      </c>
      <c r="C50" s="589">
        <v>17349461</v>
      </c>
      <c r="D50" s="591">
        <v>19014905</v>
      </c>
      <c r="E50" s="590">
        <f t="shared" si="4"/>
        <v>1665444</v>
      </c>
    </row>
    <row r="51" spans="1:5" s="421" customFormat="1" x14ac:dyDescent="0.2">
      <c r="A51" s="588">
        <v>5</v>
      </c>
      <c r="B51" s="587" t="s">
        <v>744</v>
      </c>
      <c r="C51" s="589">
        <v>353408</v>
      </c>
      <c r="D51" s="591">
        <v>317098</v>
      </c>
      <c r="E51" s="590">
        <f t="shared" si="4"/>
        <v>-36310</v>
      </c>
    </row>
    <row r="52" spans="1:5" s="421" customFormat="1" x14ac:dyDescent="0.2">
      <c r="A52" s="588">
        <v>6</v>
      </c>
      <c r="B52" s="587" t="s">
        <v>424</v>
      </c>
      <c r="C52" s="589">
        <v>163645</v>
      </c>
      <c r="D52" s="591">
        <v>30170</v>
      </c>
      <c r="E52" s="590">
        <f t="shared" si="4"/>
        <v>-133475</v>
      </c>
    </row>
    <row r="53" spans="1:5" s="421" customFormat="1" x14ac:dyDescent="0.2">
      <c r="A53" s="588">
        <v>7</v>
      </c>
      <c r="B53" s="587" t="s">
        <v>759</v>
      </c>
      <c r="C53" s="589">
        <v>284223</v>
      </c>
      <c r="D53" s="591">
        <v>421988</v>
      </c>
      <c r="E53" s="590">
        <f t="shared" si="4"/>
        <v>137765</v>
      </c>
    </row>
    <row r="54" spans="1:5" s="421" customFormat="1" x14ac:dyDescent="0.2">
      <c r="A54" s="588"/>
      <c r="B54" s="592" t="s">
        <v>791</v>
      </c>
      <c r="C54" s="593">
        <f>SUM(C48+C49+C52)</f>
        <v>84239604</v>
      </c>
      <c r="D54" s="593">
        <f>SUM(D48+D49+D52)</f>
        <v>88491910</v>
      </c>
      <c r="E54" s="593">
        <f t="shared" si="4"/>
        <v>4252306</v>
      </c>
    </row>
    <row r="55" spans="1:5" s="421" customFormat="1" x14ac:dyDescent="0.2">
      <c r="A55" s="588"/>
      <c r="B55" s="592" t="s">
        <v>466</v>
      </c>
      <c r="C55" s="593">
        <f>SUM(C47+C54)</f>
        <v>152619524</v>
      </c>
      <c r="D55" s="593">
        <f>SUM(D47+D54)</f>
        <v>161728697</v>
      </c>
      <c r="E55" s="593">
        <f t="shared" si="4"/>
        <v>9109173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245576038</v>
      </c>
      <c r="D58" s="589">
        <v>251266031</v>
      </c>
      <c r="E58" s="590">
        <f t="shared" ref="E58:E66" si="5">D58-C58</f>
        <v>5689993</v>
      </c>
    </row>
    <row r="59" spans="1:5" s="421" customFormat="1" x14ac:dyDescent="0.2">
      <c r="A59" s="588">
        <v>2</v>
      </c>
      <c r="B59" s="587" t="s">
        <v>636</v>
      </c>
      <c r="C59" s="589">
        <v>45697128</v>
      </c>
      <c r="D59" s="591">
        <v>45409296</v>
      </c>
      <c r="E59" s="590">
        <f t="shared" si="5"/>
        <v>-287832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19701248</v>
      </c>
      <c r="D60" s="591">
        <f>D61+D62</f>
        <v>19390543</v>
      </c>
      <c r="E60" s="590">
        <f t="shared" si="5"/>
        <v>-310705</v>
      </c>
    </row>
    <row r="61" spans="1:5" s="421" customFormat="1" x14ac:dyDescent="0.2">
      <c r="A61" s="588">
        <v>4</v>
      </c>
      <c r="B61" s="587" t="s">
        <v>115</v>
      </c>
      <c r="C61" s="589">
        <v>19470448</v>
      </c>
      <c r="D61" s="591">
        <v>19151626</v>
      </c>
      <c r="E61" s="590">
        <f t="shared" si="5"/>
        <v>-318822</v>
      </c>
    </row>
    <row r="62" spans="1:5" s="421" customFormat="1" x14ac:dyDescent="0.2">
      <c r="A62" s="588">
        <v>5</v>
      </c>
      <c r="B62" s="587" t="s">
        <v>744</v>
      </c>
      <c r="C62" s="589">
        <v>230800</v>
      </c>
      <c r="D62" s="591">
        <v>238917</v>
      </c>
      <c r="E62" s="590">
        <f t="shared" si="5"/>
        <v>8117</v>
      </c>
    </row>
    <row r="63" spans="1:5" s="421" customFormat="1" x14ac:dyDescent="0.2">
      <c r="A63" s="588">
        <v>6</v>
      </c>
      <c r="B63" s="587" t="s">
        <v>424</v>
      </c>
      <c r="C63" s="589">
        <v>195119</v>
      </c>
      <c r="D63" s="591">
        <v>171337</v>
      </c>
      <c r="E63" s="590">
        <f t="shared" si="5"/>
        <v>-23782</v>
      </c>
    </row>
    <row r="64" spans="1:5" s="421" customFormat="1" x14ac:dyDescent="0.2">
      <c r="A64" s="588">
        <v>7</v>
      </c>
      <c r="B64" s="587" t="s">
        <v>759</v>
      </c>
      <c r="C64" s="589">
        <v>1726343</v>
      </c>
      <c r="D64" s="591">
        <v>1669285</v>
      </c>
      <c r="E64" s="590">
        <f t="shared" si="5"/>
        <v>-57058</v>
      </c>
    </row>
    <row r="65" spans="1:5" s="421" customFormat="1" x14ac:dyDescent="0.2">
      <c r="A65" s="588"/>
      <c r="B65" s="592" t="s">
        <v>793</v>
      </c>
      <c r="C65" s="593">
        <f>SUM(C59+C60+C63)</f>
        <v>65593495</v>
      </c>
      <c r="D65" s="593">
        <f>SUM(D59+D60+D63)</f>
        <v>64971176</v>
      </c>
      <c r="E65" s="593">
        <f t="shared" si="5"/>
        <v>-622319</v>
      </c>
    </row>
    <row r="66" spans="1:5" s="421" customFormat="1" x14ac:dyDescent="0.2">
      <c r="A66" s="588"/>
      <c r="B66" s="592" t="s">
        <v>468</v>
      </c>
      <c r="C66" s="593">
        <f>SUM(C58+C65)</f>
        <v>311169533</v>
      </c>
      <c r="D66" s="593">
        <f>SUM(D58+D65)</f>
        <v>316237207</v>
      </c>
      <c r="E66" s="593">
        <f t="shared" si="5"/>
        <v>5067674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313955958</v>
      </c>
      <c r="D69" s="590">
        <f t="shared" si="6"/>
        <v>324502818</v>
      </c>
      <c r="E69" s="590">
        <f t="shared" ref="E69:E77" si="7">D69-C69</f>
        <v>10546860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112070218</v>
      </c>
      <c r="D70" s="590">
        <f t="shared" si="6"/>
        <v>114539033</v>
      </c>
      <c r="E70" s="590">
        <f t="shared" si="7"/>
        <v>2468815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37404117</v>
      </c>
      <c r="D71" s="590">
        <f t="shared" si="6"/>
        <v>38722546</v>
      </c>
      <c r="E71" s="590">
        <f t="shared" si="7"/>
        <v>1318429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36819909</v>
      </c>
      <c r="D72" s="590">
        <f t="shared" si="6"/>
        <v>38166531</v>
      </c>
      <c r="E72" s="590">
        <f t="shared" si="7"/>
        <v>1346622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584208</v>
      </c>
      <c r="D73" s="590">
        <f t="shared" si="6"/>
        <v>556015</v>
      </c>
      <c r="E73" s="590">
        <f t="shared" si="7"/>
        <v>-28193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358764</v>
      </c>
      <c r="D74" s="590">
        <f t="shared" si="6"/>
        <v>201507</v>
      </c>
      <c r="E74" s="590">
        <f t="shared" si="7"/>
        <v>-157257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2010566</v>
      </c>
      <c r="D75" s="590">
        <f t="shared" si="6"/>
        <v>2091273</v>
      </c>
      <c r="E75" s="590">
        <f t="shared" si="7"/>
        <v>80707</v>
      </c>
    </row>
    <row r="76" spans="1:5" s="421" customFormat="1" x14ac:dyDescent="0.2">
      <c r="A76" s="588"/>
      <c r="B76" s="592" t="s">
        <v>794</v>
      </c>
      <c r="C76" s="593">
        <f>SUM(C70+C71+C74)</f>
        <v>149833099</v>
      </c>
      <c r="D76" s="593">
        <f>SUM(D70+D71+D74)</f>
        <v>153463086</v>
      </c>
      <c r="E76" s="593">
        <f t="shared" si="7"/>
        <v>3629987</v>
      </c>
    </row>
    <row r="77" spans="1:5" s="421" customFormat="1" x14ac:dyDescent="0.2">
      <c r="A77" s="588"/>
      <c r="B77" s="592" t="s">
        <v>727</v>
      </c>
      <c r="C77" s="593">
        <f>SUM(C69+C76)</f>
        <v>463789057</v>
      </c>
      <c r="D77" s="593">
        <f>SUM(D69+D76)</f>
        <v>477965904</v>
      </c>
      <c r="E77" s="593">
        <f t="shared" si="7"/>
        <v>14176847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0.1303990403918735</v>
      </c>
      <c r="D83" s="599">
        <f t="shared" si="8"/>
        <v>0.12116247386523721</v>
      </c>
      <c r="E83" s="599">
        <f t="shared" ref="E83:E91" si="9">D83-C83</f>
        <v>-9.2365665266362917E-3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0.17569232051108383</v>
      </c>
      <c r="D84" s="599">
        <f t="shared" si="8"/>
        <v>0.16961887977469109</v>
      </c>
      <c r="E84" s="599">
        <f t="shared" si="9"/>
        <v>-6.0734407363927378E-3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6.1069333173085646E-2</v>
      </c>
      <c r="D85" s="599">
        <f t="shared" si="8"/>
        <v>6.9529579630679489E-2</v>
      </c>
      <c r="E85" s="599">
        <f t="shared" si="9"/>
        <v>8.4602464575938424E-3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5.9205957617770429E-2</v>
      </c>
      <c r="D86" s="599">
        <f t="shared" si="8"/>
        <v>6.8104169335529929E-2</v>
      </c>
      <c r="E86" s="599">
        <f t="shared" si="9"/>
        <v>8.8982117177595008E-3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1.8633755553152144E-3</v>
      </c>
      <c r="D87" s="599">
        <f t="shared" si="8"/>
        <v>1.4254102951495617E-3</v>
      </c>
      <c r="E87" s="599">
        <f t="shared" si="9"/>
        <v>-4.3796526016565271E-4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5.4267938092821368E-4</v>
      </c>
      <c r="D88" s="599">
        <f t="shared" si="8"/>
        <v>2.6466387312998248E-4</v>
      </c>
      <c r="E88" s="599">
        <f t="shared" si="9"/>
        <v>-2.780155077982312E-4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1.1075930922157745E-2</v>
      </c>
      <c r="D89" s="599">
        <f t="shared" si="8"/>
        <v>9.5394422587009864E-3</v>
      </c>
      <c r="E89" s="599">
        <f t="shared" si="9"/>
        <v>-1.5364886634567591E-3</v>
      </c>
    </row>
    <row r="90" spans="1:5" s="421" customFormat="1" x14ac:dyDescent="0.2">
      <c r="A90" s="588"/>
      <c r="B90" s="592" t="s">
        <v>797</v>
      </c>
      <c r="C90" s="600">
        <f>SUM(C84+C85+C88)</f>
        <v>0.23730433306509768</v>
      </c>
      <c r="D90" s="600">
        <f>SUM(D84+D85+D88)</f>
        <v>0.23941312327850056</v>
      </c>
      <c r="E90" s="601">
        <f t="shared" si="9"/>
        <v>2.108790213402878E-3</v>
      </c>
    </row>
    <row r="91" spans="1:5" s="421" customFormat="1" x14ac:dyDescent="0.2">
      <c r="A91" s="588"/>
      <c r="B91" s="592" t="s">
        <v>798</v>
      </c>
      <c r="C91" s="600">
        <f>SUM(C83+C90)</f>
        <v>0.36770337345697118</v>
      </c>
      <c r="D91" s="600">
        <f>SUM(D83+D90)</f>
        <v>0.36057559714373777</v>
      </c>
      <c r="E91" s="601">
        <f t="shared" si="9"/>
        <v>-7.1277763132334138E-3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0.36255955035629611</v>
      </c>
      <c r="D95" s="599">
        <f t="shared" si="10"/>
        <v>0.36292380939560293</v>
      </c>
      <c r="E95" s="599">
        <f t="shared" ref="E95:E103" si="11">D95-C95</f>
        <v>3.6425903930681347E-4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0.19486914750879591</v>
      </c>
      <c r="D96" s="599">
        <f t="shared" si="10"/>
        <v>0.19529866210987221</v>
      </c>
      <c r="E96" s="599">
        <f t="shared" si="11"/>
        <v>4.295146010762918E-4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7.4365337194557804E-2</v>
      </c>
      <c r="D97" s="599">
        <f t="shared" si="10"/>
        <v>8.0802858029989669E-2</v>
      </c>
      <c r="E97" s="599">
        <f t="shared" si="11"/>
        <v>6.4375208354318647E-3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7.3358039275848538E-2</v>
      </c>
      <c r="D98" s="599">
        <f t="shared" si="10"/>
        <v>7.9626362621008806E-2</v>
      </c>
      <c r="E98" s="599">
        <f t="shared" si="11"/>
        <v>6.2683233451602677E-3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1.0072979187092685E-3</v>
      </c>
      <c r="D99" s="599">
        <f t="shared" si="10"/>
        <v>1.1764954089808551E-3</v>
      </c>
      <c r="E99" s="599">
        <f t="shared" si="11"/>
        <v>1.6919749027158662E-4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5.0259148337900906E-4</v>
      </c>
      <c r="D100" s="599">
        <f t="shared" si="10"/>
        <v>3.990733207973892E-4</v>
      </c>
      <c r="E100" s="599">
        <f t="shared" si="11"/>
        <v>-1.0351816258161986E-4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4.253391070977746E-2</v>
      </c>
      <c r="D101" s="599">
        <f t="shared" si="10"/>
        <v>3.6671895902549261E-2</v>
      </c>
      <c r="E101" s="599">
        <f t="shared" si="11"/>
        <v>-5.8620148072281997E-3</v>
      </c>
    </row>
    <row r="102" spans="1:5" s="421" customFormat="1" x14ac:dyDescent="0.2">
      <c r="A102" s="588"/>
      <c r="B102" s="592" t="s">
        <v>800</v>
      </c>
      <c r="C102" s="600">
        <f>SUM(C96+C97+C100)</f>
        <v>0.2697370761867327</v>
      </c>
      <c r="D102" s="600">
        <f>SUM(D96+D97+D100)</f>
        <v>0.27650059346065931</v>
      </c>
      <c r="E102" s="601">
        <f t="shared" si="11"/>
        <v>6.7635172739266003E-3</v>
      </c>
    </row>
    <row r="103" spans="1:5" s="421" customFormat="1" x14ac:dyDescent="0.2">
      <c r="A103" s="588"/>
      <c r="B103" s="592" t="s">
        <v>801</v>
      </c>
      <c r="C103" s="600">
        <f>SUM(C95+C102)</f>
        <v>0.63229662654302876</v>
      </c>
      <c r="D103" s="600">
        <f>SUM(D95+D102)</f>
        <v>0.63942440285626223</v>
      </c>
      <c r="E103" s="601">
        <f t="shared" si="11"/>
        <v>7.1277763132334693E-3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0.14743754508205226</v>
      </c>
      <c r="D109" s="599">
        <f t="shared" si="12"/>
        <v>0.15322596525629995</v>
      </c>
      <c r="E109" s="599">
        <f t="shared" ref="E109:E117" si="13">D109-C109</f>
        <v>5.7884201742476882E-3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0.14311051327802243</v>
      </c>
      <c r="D110" s="599">
        <f t="shared" si="12"/>
        <v>0.1446331975177878</v>
      </c>
      <c r="E110" s="599">
        <f t="shared" si="13"/>
        <v>1.5226842397653706E-3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3.8170087743143968E-2</v>
      </c>
      <c r="D111" s="599">
        <f t="shared" si="12"/>
        <v>4.0446405984641116E-2</v>
      </c>
      <c r="E111" s="599">
        <f t="shared" si="13"/>
        <v>2.2763182414971481E-3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3.7408086150682938E-2</v>
      </c>
      <c r="D112" s="599">
        <f t="shared" si="12"/>
        <v>3.9782973724418635E-2</v>
      </c>
      <c r="E112" s="599">
        <f t="shared" si="13"/>
        <v>2.374887573735697E-3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7.620015924610313E-4</v>
      </c>
      <c r="D113" s="599">
        <f t="shared" si="12"/>
        <v>6.6343226022247816E-4</v>
      </c>
      <c r="E113" s="599">
        <f t="shared" si="13"/>
        <v>-9.8569332238553141E-5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3.5284359889500367E-4</v>
      </c>
      <c r="D114" s="599">
        <f t="shared" si="12"/>
        <v>6.3121657313865631E-5</v>
      </c>
      <c r="E114" s="599">
        <f t="shared" si="13"/>
        <v>-2.8972194158113804E-4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6.1282817201096661E-4</v>
      </c>
      <c r="D115" s="599">
        <f t="shared" si="12"/>
        <v>8.8288306021092251E-4</v>
      </c>
      <c r="E115" s="599">
        <f t="shared" si="13"/>
        <v>2.700548881999559E-4</v>
      </c>
    </row>
    <row r="116" spans="1:5" s="421" customFormat="1" x14ac:dyDescent="0.2">
      <c r="A116" s="588"/>
      <c r="B116" s="592" t="s">
        <v>797</v>
      </c>
      <c r="C116" s="600">
        <f>SUM(C110+C111+C114)</f>
        <v>0.1816334446200614</v>
      </c>
      <c r="D116" s="600">
        <f>SUM(D110+D111+D114)</f>
        <v>0.18514272515974278</v>
      </c>
      <c r="E116" s="601">
        <f t="shared" si="13"/>
        <v>3.5092805396813864E-3</v>
      </c>
    </row>
    <row r="117" spans="1:5" s="421" customFormat="1" x14ac:dyDescent="0.2">
      <c r="A117" s="588"/>
      <c r="B117" s="592" t="s">
        <v>798</v>
      </c>
      <c r="C117" s="600">
        <f>SUM(C109+C116)</f>
        <v>0.32907098970211368</v>
      </c>
      <c r="D117" s="600">
        <f>SUM(D109+D116)</f>
        <v>0.33836869041604273</v>
      </c>
      <c r="E117" s="601">
        <f t="shared" si="13"/>
        <v>9.2977007139290468E-3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0.52949942283782692</v>
      </c>
      <c r="D121" s="599">
        <f t="shared" si="14"/>
        <v>0.52569865109039238</v>
      </c>
      <c r="E121" s="599">
        <f t="shared" ref="E121:E129" si="15">D121-C121</f>
        <v>-3.8007717474345393E-3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9.852998321174275E-2</v>
      </c>
      <c r="D122" s="599">
        <f t="shared" si="14"/>
        <v>9.5005303976661903E-2</v>
      </c>
      <c r="E122" s="599">
        <f t="shared" si="15"/>
        <v>-3.5246792350808465E-3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4.247889790120684E-2</v>
      </c>
      <c r="D123" s="599">
        <f t="shared" si="14"/>
        <v>4.0568883340264372E-2</v>
      </c>
      <c r="E123" s="599">
        <f t="shared" si="15"/>
        <v>-1.9100145609424676E-3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4.1981257871722487E-2</v>
      </c>
      <c r="D124" s="599">
        <f t="shared" si="14"/>
        <v>4.0069021325002292E-2</v>
      </c>
      <c r="E124" s="599">
        <f t="shared" si="15"/>
        <v>-1.9122365467201946E-3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4.9764002948435239E-4</v>
      </c>
      <c r="D125" s="599">
        <f t="shared" si="14"/>
        <v>4.9986201526207611E-4</v>
      </c>
      <c r="E125" s="599">
        <f t="shared" si="15"/>
        <v>2.2219857777237232E-6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4.2070634710986724E-4</v>
      </c>
      <c r="D126" s="599">
        <f t="shared" si="14"/>
        <v>3.5847117663857461E-4</v>
      </c>
      <c r="E126" s="599">
        <f t="shared" si="15"/>
        <v>-6.223517047129263E-5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3.7222590182846853E-3</v>
      </c>
      <c r="D127" s="599">
        <f t="shared" si="14"/>
        <v>3.4924771537678556E-3</v>
      </c>
      <c r="E127" s="599">
        <f t="shared" si="15"/>
        <v>-2.2978186451682973E-4</v>
      </c>
    </row>
    <row r="128" spans="1:5" s="421" customFormat="1" x14ac:dyDescent="0.2">
      <c r="A128" s="588"/>
      <c r="B128" s="592" t="s">
        <v>800</v>
      </c>
      <c r="C128" s="600">
        <f>SUM(C122+C123+C126)</f>
        <v>0.14142958746005946</v>
      </c>
      <c r="D128" s="600">
        <f>SUM(D122+D123+D126)</f>
        <v>0.13593265849356484</v>
      </c>
      <c r="E128" s="601">
        <f t="shared" si="15"/>
        <v>-5.4969289664946186E-3</v>
      </c>
    </row>
    <row r="129" spans="1:5" s="421" customFormat="1" x14ac:dyDescent="0.2">
      <c r="A129" s="588"/>
      <c r="B129" s="592" t="s">
        <v>801</v>
      </c>
      <c r="C129" s="600">
        <f>SUM(C121+C128)</f>
        <v>0.67092901029788643</v>
      </c>
      <c r="D129" s="600">
        <f>SUM(D121+D128)</f>
        <v>0.66163130958395722</v>
      </c>
      <c r="E129" s="601">
        <f t="shared" si="15"/>
        <v>-9.2977007139292134E-3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5963</v>
      </c>
      <c r="D137" s="606">
        <v>6114</v>
      </c>
      <c r="E137" s="607">
        <f t="shared" ref="E137:E145" si="16">D137-C137</f>
        <v>151</v>
      </c>
    </row>
    <row r="138" spans="1:5" s="421" customFormat="1" x14ac:dyDescent="0.2">
      <c r="A138" s="588">
        <v>2</v>
      </c>
      <c r="B138" s="587" t="s">
        <v>636</v>
      </c>
      <c r="C138" s="606">
        <v>5144</v>
      </c>
      <c r="D138" s="606">
        <v>5118</v>
      </c>
      <c r="E138" s="607">
        <f t="shared" si="16"/>
        <v>-26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3173</v>
      </c>
      <c r="D139" s="606">
        <f>D140+D141</f>
        <v>3621</v>
      </c>
      <c r="E139" s="607">
        <f t="shared" si="16"/>
        <v>448</v>
      </c>
    </row>
    <row r="140" spans="1:5" s="421" customFormat="1" x14ac:dyDescent="0.2">
      <c r="A140" s="588">
        <v>4</v>
      </c>
      <c r="B140" s="587" t="s">
        <v>115</v>
      </c>
      <c r="C140" s="606">
        <v>3089</v>
      </c>
      <c r="D140" s="606">
        <v>3552</v>
      </c>
      <c r="E140" s="607">
        <f t="shared" si="16"/>
        <v>463</v>
      </c>
    </row>
    <row r="141" spans="1:5" s="421" customFormat="1" x14ac:dyDescent="0.2">
      <c r="A141" s="588">
        <v>5</v>
      </c>
      <c r="B141" s="587" t="s">
        <v>744</v>
      </c>
      <c r="C141" s="606">
        <v>84</v>
      </c>
      <c r="D141" s="606">
        <v>69</v>
      </c>
      <c r="E141" s="607">
        <f t="shared" si="16"/>
        <v>-15</v>
      </c>
    </row>
    <row r="142" spans="1:5" s="421" customFormat="1" x14ac:dyDescent="0.2">
      <c r="A142" s="588">
        <v>6</v>
      </c>
      <c r="B142" s="587" t="s">
        <v>424</v>
      </c>
      <c r="C142" s="606">
        <v>14</v>
      </c>
      <c r="D142" s="606">
        <v>18</v>
      </c>
      <c r="E142" s="607">
        <f t="shared" si="16"/>
        <v>4</v>
      </c>
    </row>
    <row r="143" spans="1:5" s="421" customFormat="1" x14ac:dyDescent="0.2">
      <c r="A143" s="588">
        <v>7</v>
      </c>
      <c r="B143" s="587" t="s">
        <v>759</v>
      </c>
      <c r="C143" s="606">
        <v>399</v>
      </c>
      <c r="D143" s="606">
        <v>359</v>
      </c>
      <c r="E143" s="607">
        <f t="shared" si="16"/>
        <v>-40</v>
      </c>
    </row>
    <row r="144" spans="1:5" s="421" customFormat="1" x14ac:dyDescent="0.2">
      <c r="A144" s="588"/>
      <c r="B144" s="592" t="s">
        <v>808</v>
      </c>
      <c r="C144" s="608">
        <f>SUM(C138+C139+C142)</f>
        <v>8331</v>
      </c>
      <c r="D144" s="608">
        <f>SUM(D138+D139+D142)</f>
        <v>8757</v>
      </c>
      <c r="E144" s="609">
        <f t="shared" si="16"/>
        <v>426</v>
      </c>
    </row>
    <row r="145" spans="1:5" s="421" customFormat="1" x14ac:dyDescent="0.2">
      <c r="A145" s="588"/>
      <c r="B145" s="592" t="s">
        <v>138</v>
      </c>
      <c r="C145" s="608">
        <f>SUM(C137+C144)</f>
        <v>14294</v>
      </c>
      <c r="D145" s="608">
        <f>SUM(D137+D144)</f>
        <v>14871</v>
      </c>
      <c r="E145" s="609">
        <f t="shared" si="16"/>
        <v>577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24652</v>
      </c>
      <c r="D149" s="610">
        <v>23644</v>
      </c>
      <c r="E149" s="607">
        <f t="shared" ref="E149:E157" si="17">D149-C149</f>
        <v>-1008</v>
      </c>
    </row>
    <row r="150" spans="1:5" s="421" customFormat="1" x14ac:dyDescent="0.2">
      <c r="A150" s="588">
        <v>2</v>
      </c>
      <c r="B150" s="587" t="s">
        <v>636</v>
      </c>
      <c r="C150" s="610">
        <v>32021</v>
      </c>
      <c r="D150" s="610">
        <v>31546</v>
      </c>
      <c r="E150" s="607">
        <f t="shared" si="17"/>
        <v>-475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14177</v>
      </c>
      <c r="D151" s="610">
        <f>D152+D153</f>
        <v>16406</v>
      </c>
      <c r="E151" s="607">
        <f t="shared" si="17"/>
        <v>2229</v>
      </c>
    </row>
    <row r="152" spans="1:5" s="421" customFormat="1" x14ac:dyDescent="0.2">
      <c r="A152" s="588">
        <v>4</v>
      </c>
      <c r="B152" s="587" t="s">
        <v>115</v>
      </c>
      <c r="C152" s="610">
        <v>13770</v>
      </c>
      <c r="D152" s="610">
        <v>16068</v>
      </c>
      <c r="E152" s="607">
        <f t="shared" si="17"/>
        <v>2298</v>
      </c>
    </row>
    <row r="153" spans="1:5" s="421" customFormat="1" x14ac:dyDescent="0.2">
      <c r="A153" s="588">
        <v>5</v>
      </c>
      <c r="B153" s="587" t="s">
        <v>744</v>
      </c>
      <c r="C153" s="611">
        <v>407</v>
      </c>
      <c r="D153" s="610">
        <v>338</v>
      </c>
      <c r="E153" s="607">
        <f t="shared" si="17"/>
        <v>-69</v>
      </c>
    </row>
    <row r="154" spans="1:5" s="421" customFormat="1" x14ac:dyDescent="0.2">
      <c r="A154" s="588">
        <v>6</v>
      </c>
      <c r="B154" s="587" t="s">
        <v>424</v>
      </c>
      <c r="C154" s="610">
        <v>61</v>
      </c>
      <c r="D154" s="610">
        <v>60</v>
      </c>
      <c r="E154" s="607">
        <f t="shared" si="17"/>
        <v>-1</v>
      </c>
    </row>
    <row r="155" spans="1:5" s="421" customFormat="1" x14ac:dyDescent="0.2">
      <c r="A155" s="588">
        <v>7</v>
      </c>
      <c r="B155" s="587" t="s">
        <v>759</v>
      </c>
      <c r="C155" s="610">
        <v>1874</v>
      </c>
      <c r="D155" s="610">
        <v>1614</v>
      </c>
      <c r="E155" s="607">
        <f t="shared" si="17"/>
        <v>-260</v>
      </c>
    </row>
    <row r="156" spans="1:5" s="421" customFormat="1" x14ac:dyDescent="0.2">
      <c r="A156" s="588"/>
      <c r="B156" s="592" t="s">
        <v>809</v>
      </c>
      <c r="C156" s="608">
        <f>SUM(C150+C151+C154)</f>
        <v>46259</v>
      </c>
      <c r="D156" s="608">
        <f>SUM(D150+D151+D154)</f>
        <v>48012</v>
      </c>
      <c r="E156" s="609">
        <f t="shared" si="17"/>
        <v>1753</v>
      </c>
    </row>
    <row r="157" spans="1:5" s="421" customFormat="1" x14ac:dyDescent="0.2">
      <c r="A157" s="588"/>
      <c r="B157" s="592" t="s">
        <v>140</v>
      </c>
      <c r="C157" s="608">
        <f>SUM(C149+C156)</f>
        <v>70911</v>
      </c>
      <c r="D157" s="608">
        <f>SUM(D149+D156)</f>
        <v>71656</v>
      </c>
      <c r="E157" s="609">
        <f t="shared" si="17"/>
        <v>745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4.1341606573872216</v>
      </c>
      <c r="D161" s="612">
        <f t="shared" si="18"/>
        <v>3.8671900556100751</v>
      </c>
      <c r="E161" s="613">
        <f t="shared" ref="E161:E169" si="19">D161-C161</f>
        <v>-0.26697060177714649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6.2249222395023329</v>
      </c>
      <c r="D162" s="612">
        <f t="shared" si="18"/>
        <v>6.1637358343102777</v>
      </c>
      <c r="E162" s="613">
        <f t="shared" si="19"/>
        <v>-6.1186405192055204E-2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4.4680113457295931</v>
      </c>
      <c r="D163" s="612">
        <f t="shared" si="18"/>
        <v>4.5307925987296329</v>
      </c>
      <c r="E163" s="613">
        <f t="shared" si="19"/>
        <v>6.2781253000039783E-2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4.4577533182259632</v>
      </c>
      <c r="D164" s="612">
        <f t="shared" si="18"/>
        <v>4.5236486486486482</v>
      </c>
      <c r="E164" s="613">
        <f t="shared" si="19"/>
        <v>6.5895330422685028E-2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4.8452380952380949</v>
      </c>
      <c r="D165" s="612">
        <f t="shared" si="18"/>
        <v>4.8985507246376816</v>
      </c>
      <c r="E165" s="613">
        <f t="shared" si="19"/>
        <v>5.3312629399586697E-2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4.3571428571428568</v>
      </c>
      <c r="D166" s="612">
        <f t="shared" si="18"/>
        <v>3.3333333333333335</v>
      </c>
      <c r="E166" s="613">
        <f t="shared" si="19"/>
        <v>-1.0238095238095233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4.6967418546365911</v>
      </c>
      <c r="D167" s="612">
        <f t="shared" si="18"/>
        <v>4.4958217270194982</v>
      </c>
      <c r="E167" s="613">
        <f t="shared" si="19"/>
        <v>-0.20092012761709288</v>
      </c>
    </row>
    <row r="168" spans="1:5" s="421" customFormat="1" x14ac:dyDescent="0.2">
      <c r="A168" s="588"/>
      <c r="B168" s="592" t="s">
        <v>811</v>
      </c>
      <c r="C168" s="614">
        <f t="shared" si="18"/>
        <v>5.5526347377265637</v>
      </c>
      <c r="D168" s="614">
        <f t="shared" si="18"/>
        <v>5.482699554642001</v>
      </c>
      <c r="E168" s="615">
        <f t="shared" si="19"/>
        <v>-6.9935183084562702E-2</v>
      </c>
    </row>
    <row r="169" spans="1:5" s="421" customFormat="1" x14ac:dyDescent="0.2">
      <c r="A169" s="588"/>
      <c r="B169" s="592" t="s">
        <v>745</v>
      </c>
      <c r="C169" s="614">
        <f t="shared" si="18"/>
        <v>4.9608926822442987</v>
      </c>
      <c r="D169" s="614">
        <f t="shared" si="18"/>
        <v>4.8185058166902026</v>
      </c>
      <c r="E169" s="615">
        <f t="shared" si="19"/>
        <v>-0.14238686555409608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1.1242300000000001</v>
      </c>
      <c r="D173" s="617">
        <f t="shared" si="20"/>
        <v>1.10625</v>
      </c>
      <c r="E173" s="618">
        <f t="shared" ref="E173:E181" si="21">D173-C173</f>
        <v>-1.7980000000000107E-2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1.62365</v>
      </c>
      <c r="D174" s="617">
        <f t="shared" si="20"/>
        <v>1.6009200000000001</v>
      </c>
      <c r="E174" s="618">
        <f t="shared" si="21"/>
        <v>-2.2729999999999917E-2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1.0385791080995903</v>
      </c>
      <c r="D175" s="617">
        <f t="shared" si="20"/>
        <v>1.0359253438276721</v>
      </c>
      <c r="E175" s="618">
        <f t="shared" si="21"/>
        <v>-2.6537642719182131E-3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1.0414699999999999</v>
      </c>
      <c r="D176" s="617">
        <f t="shared" si="20"/>
        <v>1.0368200000000001</v>
      </c>
      <c r="E176" s="618">
        <f t="shared" si="21"/>
        <v>-4.6499999999998209E-3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0.93227000000000004</v>
      </c>
      <c r="D177" s="617">
        <f t="shared" si="20"/>
        <v>0.98986999999999992</v>
      </c>
      <c r="E177" s="618">
        <f t="shared" si="21"/>
        <v>5.7599999999999874E-2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0.77651999999999999</v>
      </c>
      <c r="D178" s="617">
        <f t="shared" si="20"/>
        <v>0.75302999999999998</v>
      </c>
      <c r="E178" s="618">
        <f t="shared" si="21"/>
        <v>-2.3490000000000011E-2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1.15985</v>
      </c>
      <c r="D179" s="617">
        <f t="shared" si="20"/>
        <v>1.2106600000000001</v>
      </c>
      <c r="E179" s="618">
        <f t="shared" si="21"/>
        <v>5.0810000000000022E-2</v>
      </c>
    </row>
    <row r="180" spans="1:5" s="421" customFormat="1" x14ac:dyDescent="0.2">
      <c r="A180" s="588"/>
      <c r="B180" s="592" t="s">
        <v>813</v>
      </c>
      <c r="C180" s="619">
        <f t="shared" si="20"/>
        <v>1.399392436682271</v>
      </c>
      <c r="D180" s="619">
        <f t="shared" si="20"/>
        <v>1.3655531312093183</v>
      </c>
      <c r="E180" s="620">
        <f t="shared" si="21"/>
        <v>-3.3839305472952663E-2</v>
      </c>
    </row>
    <row r="181" spans="1:5" s="421" customFormat="1" x14ac:dyDescent="0.2">
      <c r="A181" s="588"/>
      <c r="B181" s="592" t="s">
        <v>724</v>
      </c>
      <c r="C181" s="619">
        <f t="shared" si="20"/>
        <v>1.2846034615922763</v>
      </c>
      <c r="D181" s="619">
        <f t="shared" si="20"/>
        <v>1.2589443393181359</v>
      </c>
      <c r="E181" s="620">
        <f t="shared" si="21"/>
        <v>-2.5659122274140467E-2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686908665</v>
      </c>
      <c r="D185" s="589">
        <v>721594324</v>
      </c>
      <c r="E185" s="590">
        <f>D185-C185</f>
        <v>34685659</v>
      </c>
    </row>
    <row r="186" spans="1:5" s="421" customFormat="1" ht="25.5" x14ac:dyDescent="0.2">
      <c r="A186" s="588">
        <v>2</v>
      </c>
      <c r="B186" s="587" t="s">
        <v>816</v>
      </c>
      <c r="C186" s="589">
        <v>299755840</v>
      </c>
      <c r="D186" s="589">
        <v>312700495</v>
      </c>
      <c r="E186" s="590">
        <f>D186-C186</f>
        <v>12944655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387152825</v>
      </c>
      <c r="D188" s="622">
        <f>+D185-D186</f>
        <v>408893829</v>
      </c>
      <c r="E188" s="590">
        <f t="shared" ref="E188:E197" si="22">D188-C188</f>
        <v>21741004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0.56361616140043891</v>
      </c>
      <c r="D189" s="623">
        <f>IF(D185=0,0,+D188/D185)</f>
        <v>0.56665333332084244</v>
      </c>
      <c r="E189" s="599">
        <f t="shared" si="22"/>
        <v>3.0371719204035363E-3</v>
      </c>
    </row>
    <row r="190" spans="1:5" s="421" customFormat="1" x14ac:dyDescent="0.2">
      <c r="A190" s="588">
        <v>5</v>
      </c>
      <c r="B190" s="587" t="s">
        <v>763</v>
      </c>
      <c r="C190" s="589">
        <v>34761420</v>
      </c>
      <c r="D190" s="589">
        <v>31904863</v>
      </c>
      <c r="E190" s="622">
        <f t="shared" si="22"/>
        <v>-2856557</v>
      </c>
    </row>
    <row r="191" spans="1:5" s="421" customFormat="1" x14ac:dyDescent="0.2">
      <c r="A191" s="588">
        <v>6</v>
      </c>
      <c r="B191" s="587" t="s">
        <v>749</v>
      </c>
      <c r="C191" s="589">
        <v>23951070</v>
      </c>
      <c r="D191" s="589">
        <v>22670255</v>
      </c>
      <c r="E191" s="622">
        <f t="shared" si="22"/>
        <v>-1280815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34807823</v>
      </c>
      <c r="D193" s="589">
        <v>28856190</v>
      </c>
      <c r="E193" s="622">
        <f t="shared" si="22"/>
        <v>-5951633</v>
      </c>
    </row>
    <row r="194" spans="1:5" s="421" customFormat="1" x14ac:dyDescent="0.2">
      <c r="A194" s="588">
        <v>9</v>
      </c>
      <c r="B194" s="587" t="s">
        <v>819</v>
      </c>
      <c r="C194" s="589">
        <v>51939073</v>
      </c>
      <c r="D194" s="589">
        <v>48816541</v>
      </c>
      <c r="E194" s="622">
        <f t="shared" si="22"/>
        <v>-3122532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86746896</v>
      </c>
      <c r="D195" s="589">
        <f>+D193+D194</f>
        <v>77672731</v>
      </c>
      <c r="E195" s="625">
        <f t="shared" si="22"/>
        <v>-9074165</v>
      </c>
    </row>
    <row r="196" spans="1:5" s="421" customFormat="1" x14ac:dyDescent="0.2">
      <c r="A196" s="588">
        <v>11</v>
      </c>
      <c r="B196" s="587" t="s">
        <v>821</v>
      </c>
      <c r="C196" s="589">
        <v>23115000</v>
      </c>
      <c r="D196" s="589">
        <v>17736787</v>
      </c>
      <c r="E196" s="622">
        <f t="shared" si="22"/>
        <v>-5378213</v>
      </c>
    </row>
    <row r="197" spans="1:5" s="421" customFormat="1" x14ac:dyDescent="0.2">
      <c r="A197" s="588">
        <v>12</v>
      </c>
      <c r="B197" s="587" t="s">
        <v>711</v>
      </c>
      <c r="C197" s="589">
        <v>482124601</v>
      </c>
      <c r="D197" s="589">
        <v>453664905</v>
      </c>
      <c r="E197" s="622">
        <f t="shared" si="22"/>
        <v>-28459696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6703.7834900000007</v>
      </c>
      <c r="D203" s="629">
        <v>6763.6125000000002</v>
      </c>
      <c r="E203" s="630">
        <f t="shared" ref="E203:E211" si="23">D203-C203</f>
        <v>59.829009999999471</v>
      </c>
    </row>
    <row r="204" spans="1:5" s="421" customFormat="1" x14ac:dyDescent="0.2">
      <c r="A204" s="588">
        <v>2</v>
      </c>
      <c r="B204" s="587" t="s">
        <v>636</v>
      </c>
      <c r="C204" s="629">
        <v>8352.0555999999997</v>
      </c>
      <c r="D204" s="629">
        <v>8193.5085600000002</v>
      </c>
      <c r="E204" s="630">
        <f t="shared" si="23"/>
        <v>-158.54703999999947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3295.4115099999999</v>
      </c>
      <c r="D205" s="629">
        <f>D206+D207</f>
        <v>3751.0856700000004</v>
      </c>
      <c r="E205" s="630">
        <f t="shared" si="23"/>
        <v>455.67416000000048</v>
      </c>
    </row>
    <row r="206" spans="1:5" s="421" customFormat="1" x14ac:dyDescent="0.2">
      <c r="A206" s="588">
        <v>4</v>
      </c>
      <c r="B206" s="587" t="s">
        <v>115</v>
      </c>
      <c r="C206" s="629">
        <v>3217.1008299999999</v>
      </c>
      <c r="D206" s="629">
        <v>3682.7846400000003</v>
      </c>
      <c r="E206" s="630">
        <f t="shared" si="23"/>
        <v>465.68381000000045</v>
      </c>
    </row>
    <row r="207" spans="1:5" s="421" customFormat="1" x14ac:dyDescent="0.2">
      <c r="A207" s="588">
        <v>5</v>
      </c>
      <c r="B207" s="587" t="s">
        <v>744</v>
      </c>
      <c r="C207" s="629">
        <v>78.310680000000005</v>
      </c>
      <c r="D207" s="629">
        <v>68.301029999999997</v>
      </c>
      <c r="E207" s="630">
        <f t="shared" si="23"/>
        <v>-10.009650000000008</v>
      </c>
    </row>
    <row r="208" spans="1:5" s="421" customFormat="1" x14ac:dyDescent="0.2">
      <c r="A208" s="588">
        <v>6</v>
      </c>
      <c r="B208" s="587" t="s">
        <v>424</v>
      </c>
      <c r="C208" s="629">
        <v>10.87128</v>
      </c>
      <c r="D208" s="629">
        <v>13.554539999999999</v>
      </c>
      <c r="E208" s="630">
        <f t="shared" si="23"/>
        <v>2.6832599999999989</v>
      </c>
    </row>
    <row r="209" spans="1:5" s="421" customFormat="1" x14ac:dyDescent="0.2">
      <c r="A209" s="588">
        <v>7</v>
      </c>
      <c r="B209" s="587" t="s">
        <v>759</v>
      </c>
      <c r="C209" s="629">
        <v>462.78014999999999</v>
      </c>
      <c r="D209" s="629">
        <v>434.62694000000005</v>
      </c>
      <c r="E209" s="630">
        <f t="shared" si="23"/>
        <v>-28.153209999999945</v>
      </c>
    </row>
    <row r="210" spans="1:5" s="421" customFormat="1" x14ac:dyDescent="0.2">
      <c r="A210" s="588"/>
      <c r="B210" s="592" t="s">
        <v>824</v>
      </c>
      <c r="C210" s="631">
        <f>C204+C205+C208</f>
        <v>11658.338389999999</v>
      </c>
      <c r="D210" s="631">
        <f>D204+D205+D208</f>
        <v>11958.14877</v>
      </c>
      <c r="E210" s="632">
        <f t="shared" si="23"/>
        <v>299.81038000000081</v>
      </c>
    </row>
    <row r="211" spans="1:5" s="421" customFormat="1" x14ac:dyDescent="0.2">
      <c r="A211" s="588"/>
      <c r="B211" s="592" t="s">
        <v>725</v>
      </c>
      <c r="C211" s="631">
        <f>C210+C203</f>
        <v>18362.121879999999</v>
      </c>
      <c r="D211" s="631">
        <f>D210+D203</f>
        <v>18721.761269999999</v>
      </c>
      <c r="E211" s="632">
        <f t="shared" si="23"/>
        <v>359.63939000000028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16579.436415157292</v>
      </c>
      <c r="D215" s="633">
        <f>IF(D14*D137=0,0,D25/D14*D137)</f>
        <v>18313.55946984627</v>
      </c>
      <c r="E215" s="633">
        <f t="shared" ref="E215:E223" si="24">D215-C215</f>
        <v>1734.1230546889783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5705.4678990480279</v>
      </c>
      <c r="D216" s="633">
        <f>IF(D15*D138=0,0,D26/D15*D138)</f>
        <v>5892.8496285675128</v>
      </c>
      <c r="E216" s="633">
        <f t="shared" si="24"/>
        <v>187.38172951948491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3872.776393633987</v>
      </c>
      <c r="D217" s="633">
        <f>D218+D219</f>
        <v>4209.8953154613955</v>
      </c>
      <c r="E217" s="633">
        <f t="shared" si="24"/>
        <v>337.11892182740849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3827.3679278364066</v>
      </c>
      <c r="D218" s="633">
        <f t="shared" si="25"/>
        <v>4152.9445669674951</v>
      </c>
      <c r="E218" s="633">
        <f t="shared" si="24"/>
        <v>325.57663913108854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45.408465797580533</v>
      </c>
      <c r="D219" s="633">
        <f t="shared" si="25"/>
        <v>56.950748493900385</v>
      </c>
      <c r="E219" s="633">
        <f t="shared" si="24"/>
        <v>11.542282696319852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12.965815571011891</v>
      </c>
      <c r="D220" s="633">
        <f t="shared" si="25"/>
        <v>27.141293178404869</v>
      </c>
      <c r="E220" s="633">
        <f t="shared" si="24"/>
        <v>14.175477607392978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1532.2441510762883</v>
      </c>
      <c r="D221" s="633">
        <f t="shared" si="25"/>
        <v>1380.0817984937339</v>
      </c>
      <c r="E221" s="633">
        <f t="shared" si="24"/>
        <v>-152.16235258255438</v>
      </c>
    </row>
    <row r="222" spans="1:5" s="421" customFormat="1" x14ac:dyDescent="0.2">
      <c r="A222" s="588"/>
      <c r="B222" s="592" t="s">
        <v>826</v>
      </c>
      <c r="C222" s="634">
        <f>C216+C218+C219+C220</f>
        <v>9591.2101082530262</v>
      </c>
      <c r="D222" s="634">
        <f>D216+D218+D219+D220</f>
        <v>10129.886237207313</v>
      </c>
      <c r="E222" s="634">
        <f t="shared" si="24"/>
        <v>538.67612895428647</v>
      </c>
    </row>
    <row r="223" spans="1:5" s="421" customFormat="1" x14ac:dyDescent="0.2">
      <c r="A223" s="588"/>
      <c r="B223" s="592" t="s">
        <v>827</v>
      </c>
      <c r="C223" s="634">
        <f>C215+C222</f>
        <v>26170.646523410316</v>
      </c>
      <c r="D223" s="634">
        <f>D215+D222</f>
        <v>28443.445707053583</v>
      </c>
      <c r="E223" s="634">
        <f t="shared" si="24"/>
        <v>2272.7991836432666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10200.198157055933</v>
      </c>
      <c r="D227" s="636">
        <f t="shared" si="26"/>
        <v>10828.057787166252</v>
      </c>
      <c r="E227" s="636">
        <f t="shared" ref="E227:E235" si="27">D227-C227</f>
        <v>627.8596301103189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7946.9166847979322</v>
      </c>
      <c r="D228" s="636">
        <f t="shared" si="26"/>
        <v>8437.1348969457831</v>
      </c>
      <c r="E228" s="636">
        <f t="shared" si="27"/>
        <v>490.21821214785086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5371.9752286718212</v>
      </c>
      <c r="D229" s="636">
        <f t="shared" si="26"/>
        <v>5153.7087394754162</v>
      </c>
      <c r="E229" s="636">
        <f t="shared" si="27"/>
        <v>-218.26648919640502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5392.8869242186611</v>
      </c>
      <c r="D230" s="636">
        <f t="shared" si="26"/>
        <v>5163.1867890053973</v>
      </c>
      <c r="E230" s="636">
        <f t="shared" si="27"/>
        <v>-229.70013521326382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4512.8965806451943</v>
      </c>
      <c r="D231" s="636">
        <f t="shared" si="26"/>
        <v>4642.6532659902787</v>
      </c>
      <c r="E231" s="636">
        <f t="shared" si="27"/>
        <v>129.75668534508441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15052.965244203075</v>
      </c>
      <c r="D232" s="636">
        <f t="shared" si="26"/>
        <v>2225.8224919473478</v>
      </c>
      <c r="E232" s="636">
        <f t="shared" si="27"/>
        <v>-12827.142752255728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614.16419870212667</v>
      </c>
      <c r="D233" s="636">
        <f t="shared" si="26"/>
        <v>970.92002626436351</v>
      </c>
      <c r="E233" s="636">
        <f t="shared" si="27"/>
        <v>356.75582756223685</v>
      </c>
    </row>
    <row r="234" spans="1:5" x14ac:dyDescent="0.2">
      <c r="A234" s="588"/>
      <c r="B234" s="592" t="s">
        <v>829</v>
      </c>
      <c r="C234" s="637">
        <f t="shared" si="26"/>
        <v>7225.6955650092441</v>
      </c>
      <c r="D234" s="637">
        <f t="shared" si="26"/>
        <v>7400.1345611290635</v>
      </c>
      <c r="E234" s="637">
        <f t="shared" si="27"/>
        <v>174.43899611981942</v>
      </c>
    </row>
    <row r="235" spans="1:5" s="421" customFormat="1" x14ac:dyDescent="0.2">
      <c r="A235" s="588"/>
      <c r="B235" s="592" t="s">
        <v>830</v>
      </c>
      <c r="C235" s="637">
        <f t="shared" si="26"/>
        <v>8311.6496556006969</v>
      </c>
      <c r="D235" s="637">
        <f t="shared" si="26"/>
        <v>8638.5407156727415</v>
      </c>
      <c r="E235" s="637">
        <f t="shared" si="27"/>
        <v>326.89106007204464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14812.085999225455</v>
      </c>
      <c r="D239" s="636">
        <f t="shared" si="28"/>
        <v>13720.218148400683</v>
      </c>
      <c r="E239" s="638">
        <f t="shared" ref="E239:E247" si="29">D239-C239</f>
        <v>-1091.8678508247722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8009.3567799451966</v>
      </c>
      <c r="D240" s="636">
        <f t="shared" si="28"/>
        <v>7705.8297533783334</v>
      </c>
      <c r="E240" s="638">
        <f t="shared" si="29"/>
        <v>-303.52702656686324</v>
      </c>
    </row>
    <row r="241" spans="1:5" x14ac:dyDescent="0.2">
      <c r="A241" s="588">
        <v>3</v>
      </c>
      <c r="B241" s="587" t="s">
        <v>778</v>
      </c>
      <c r="C241" s="636">
        <f t="shared" si="28"/>
        <v>5087.1121896902241</v>
      </c>
      <c r="D241" s="636">
        <f t="shared" si="28"/>
        <v>4605.9442211747346</v>
      </c>
      <c r="E241" s="638">
        <f t="shared" si="29"/>
        <v>-481.16796851548952</v>
      </c>
    </row>
    <row r="242" spans="1:5" x14ac:dyDescent="0.2">
      <c r="A242" s="588">
        <v>4</v>
      </c>
      <c r="B242" s="587" t="s">
        <v>115</v>
      </c>
      <c r="C242" s="636">
        <f t="shared" si="28"/>
        <v>5087.1639118861913</v>
      </c>
      <c r="D242" s="636">
        <f t="shared" si="28"/>
        <v>4611.5775665131578</v>
      </c>
      <c r="E242" s="638">
        <f t="shared" si="29"/>
        <v>-475.58634537303351</v>
      </c>
    </row>
    <row r="243" spans="1:5" x14ac:dyDescent="0.2">
      <c r="A243" s="588">
        <v>5</v>
      </c>
      <c r="B243" s="587" t="s">
        <v>744</v>
      </c>
      <c r="C243" s="636">
        <f t="shared" si="28"/>
        <v>5082.7526529711022</v>
      </c>
      <c r="D243" s="636">
        <f t="shared" si="28"/>
        <v>4195.1511844587749</v>
      </c>
      <c r="E243" s="638">
        <f t="shared" si="29"/>
        <v>-887.6014685123273</v>
      </c>
    </row>
    <row r="244" spans="1:5" x14ac:dyDescent="0.2">
      <c r="A244" s="588">
        <v>6</v>
      </c>
      <c r="B244" s="587" t="s">
        <v>424</v>
      </c>
      <c r="C244" s="636">
        <f t="shared" si="28"/>
        <v>15048.725545366702</v>
      </c>
      <c r="D244" s="636">
        <f t="shared" si="28"/>
        <v>6312.7795302076947</v>
      </c>
      <c r="E244" s="638">
        <f t="shared" si="29"/>
        <v>-8735.9460151590065</v>
      </c>
    </row>
    <row r="245" spans="1:5" x14ac:dyDescent="0.2">
      <c r="A245" s="588">
        <v>7</v>
      </c>
      <c r="B245" s="587" t="s">
        <v>759</v>
      </c>
      <c r="C245" s="636">
        <f t="shared" si="28"/>
        <v>1126.6761885091039</v>
      </c>
      <c r="D245" s="636">
        <f t="shared" si="28"/>
        <v>1209.5551160966777</v>
      </c>
      <c r="E245" s="638">
        <f t="shared" si="29"/>
        <v>82.878927587573799</v>
      </c>
    </row>
    <row r="246" spans="1:5" ht="25.5" x14ac:dyDescent="0.2">
      <c r="A246" s="588"/>
      <c r="B246" s="592" t="s">
        <v>832</v>
      </c>
      <c r="C246" s="637">
        <f t="shared" si="28"/>
        <v>6838.917535917416</v>
      </c>
      <c r="D246" s="637">
        <f t="shared" si="28"/>
        <v>6413.8110220191147</v>
      </c>
      <c r="E246" s="639">
        <f t="shared" si="29"/>
        <v>-425.10651389830127</v>
      </c>
    </row>
    <row r="247" spans="1:5" x14ac:dyDescent="0.2">
      <c r="A247" s="588"/>
      <c r="B247" s="592" t="s">
        <v>833</v>
      </c>
      <c r="C247" s="637">
        <f t="shared" si="28"/>
        <v>11890.020856827165</v>
      </c>
      <c r="D247" s="637">
        <f t="shared" si="28"/>
        <v>11118.104685944485</v>
      </c>
      <c r="E247" s="639">
        <f t="shared" si="29"/>
        <v>-771.91617088267958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11184307.262161322</v>
      </c>
      <c r="D251" s="622">
        <f>((IF((IF(D15=0,0,D26/D15)*D138)=0,0,D59/(IF(D15=0,0,D26/D15)*D138)))-(IF((IF(D17=0,0,D28/D17)*D140)=0,0,D61/(IF(D17=0,0,D28/D17)*D140))))*(IF(D17=0,0,D28/D17)*D140)</f>
        <v>12850257.808269022</v>
      </c>
      <c r="E251" s="622">
        <f>D251-C251</f>
        <v>1665950.5461077001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401813.0528926329</v>
      </c>
      <c r="D252" s="622">
        <f>IF(D231=0,0,(D228-D231)*D207)+IF(D243=0,0,(D240-D243)*D219)</f>
        <v>459102.77593180473</v>
      </c>
      <c r="E252" s="622">
        <f>D252-C252</f>
        <v>57289.723039171833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13939399.375382531</v>
      </c>
      <c r="D253" s="622">
        <f>IF(D233=0,0,(D228-D233)*D209+IF(D221=0,0,(D240-D245)*D221))</f>
        <v>12210408.507555656</v>
      </c>
      <c r="E253" s="622">
        <f>D253-C253</f>
        <v>-1728990.8678268753</v>
      </c>
    </row>
    <row r="254" spans="1:5" ht="15" customHeight="1" x14ac:dyDescent="0.2">
      <c r="A254" s="588"/>
      <c r="B254" s="592" t="s">
        <v>760</v>
      </c>
      <c r="C254" s="640">
        <f>+C251+C252+C253</f>
        <v>25525519.690436486</v>
      </c>
      <c r="D254" s="640">
        <f>+D251+D252+D253</f>
        <v>25519769.091756485</v>
      </c>
      <c r="E254" s="640">
        <f>D254-C254</f>
        <v>-5750.5986800007522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1642590508</v>
      </c>
      <c r="D258" s="625">
        <f>+D44</f>
        <v>1720809095</v>
      </c>
      <c r="E258" s="622">
        <f t="shared" ref="E258:E271" si="30">D258-C258</f>
        <v>78218587</v>
      </c>
    </row>
    <row r="259" spans="1:5" x14ac:dyDescent="0.2">
      <c r="A259" s="588">
        <v>2</v>
      </c>
      <c r="B259" s="587" t="s">
        <v>743</v>
      </c>
      <c r="C259" s="622">
        <f>+(C43-C76)</f>
        <v>683028307</v>
      </c>
      <c r="D259" s="625">
        <f>+(D43-D76)</f>
        <v>734325930</v>
      </c>
      <c r="E259" s="622">
        <f t="shared" si="30"/>
        <v>51297623</v>
      </c>
    </row>
    <row r="260" spans="1:5" x14ac:dyDescent="0.2">
      <c r="A260" s="588">
        <v>3</v>
      </c>
      <c r="B260" s="587" t="s">
        <v>747</v>
      </c>
      <c r="C260" s="622">
        <f>C195</f>
        <v>86746896</v>
      </c>
      <c r="D260" s="622">
        <f>D195</f>
        <v>77672731</v>
      </c>
      <c r="E260" s="622">
        <f t="shared" si="30"/>
        <v>-9074165</v>
      </c>
    </row>
    <row r="261" spans="1:5" x14ac:dyDescent="0.2">
      <c r="A261" s="588">
        <v>4</v>
      </c>
      <c r="B261" s="587" t="s">
        <v>748</v>
      </c>
      <c r="C261" s="622">
        <f>C188</f>
        <v>387152825</v>
      </c>
      <c r="D261" s="622">
        <f>D188</f>
        <v>408893829</v>
      </c>
      <c r="E261" s="622">
        <f t="shared" si="30"/>
        <v>21741004</v>
      </c>
    </row>
    <row r="262" spans="1:5" x14ac:dyDescent="0.2">
      <c r="A262" s="588">
        <v>5</v>
      </c>
      <c r="B262" s="587" t="s">
        <v>749</v>
      </c>
      <c r="C262" s="622">
        <f>C191</f>
        <v>23951070</v>
      </c>
      <c r="D262" s="622">
        <f>D191</f>
        <v>22670255</v>
      </c>
      <c r="E262" s="622">
        <f t="shared" si="30"/>
        <v>-1280815</v>
      </c>
    </row>
    <row r="263" spans="1:5" x14ac:dyDescent="0.2">
      <c r="A263" s="588">
        <v>6</v>
      </c>
      <c r="B263" s="587" t="s">
        <v>750</v>
      </c>
      <c r="C263" s="622">
        <f>+C259+C260+C261+C262</f>
        <v>1180879098</v>
      </c>
      <c r="D263" s="622">
        <f>+D259+D260+D261+D262</f>
        <v>1243562745</v>
      </c>
      <c r="E263" s="622">
        <f t="shared" si="30"/>
        <v>62683647</v>
      </c>
    </row>
    <row r="264" spans="1:5" x14ac:dyDescent="0.2">
      <c r="A264" s="588">
        <v>7</v>
      </c>
      <c r="B264" s="587" t="s">
        <v>655</v>
      </c>
      <c r="C264" s="622">
        <f>+C258-C263</f>
        <v>461711410</v>
      </c>
      <c r="D264" s="622">
        <f>+D258-D263</f>
        <v>477246350</v>
      </c>
      <c r="E264" s="622">
        <f t="shared" si="30"/>
        <v>15534940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461711410</v>
      </c>
      <c r="D266" s="622">
        <f>+D264+D265</f>
        <v>477246350</v>
      </c>
      <c r="E266" s="641">
        <f t="shared" si="30"/>
        <v>15534940</v>
      </c>
    </row>
    <row r="267" spans="1:5" x14ac:dyDescent="0.2">
      <c r="A267" s="588">
        <v>10</v>
      </c>
      <c r="B267" s="587" t="s">
        <v>838</v>
      </c>
      <c r="C267" s="642">
        <f>IF(C258=0,0,C266/C258)</f>
        <v>0.28108734815603842</v>
      </c>
      <c r="D267" s="642">
        <f>IF(D258=0,0,D266/D258)</f>
        <v>0.27733834705237886</v>
      </c>
      <c r="E267" s="643">
        <f t="shared" si="30"/>
        <v>-3.749001103659555E-3</v>
      </c>
    </row>
    <row r="268" spans="1:5" x14ac:dyDescent="0.2">
      <c r="A268" s="588">
        <v>11</v>
      </c>
      <c r="B268" s="587" t="s">
        <v>717</v>
      </c>
      <c r="C268" s="622">
        <f>+C260*C267</f>
        <v>24383454.957407657</v>
      </c>
      <c r="D268" s="644">
        <f>+D260*D267</f>
        <v>21541626.826584067</v>
      </c>
      <c r="E268" s="622">
        <f t="shared" si="30"/>
        <v>-2841828.1308235899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25127615.618329875</v>
      </c>
      <c r="D269" s="644">
        <f>((D17+D18+D28+D29)*D267)-(D50+D51+D61+D62)</f>
        <v>33023061.160156891</v>
      </c>
      <c r="E269" s="622">
        <f t="shared" si="30"/>
        <v>7895445.5418270156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49511070.575737536</v>
      </c>
      <c r="D271" s="622">
        <f>+D268+D269+D270</f>
        <v>54564687.986740962</v>
      </c>
      <c r="E271" s="625">
        <f t="shared" si="30"/>
        <v>5053617.4110034257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0.3192455733664209</v>
      </c>
      <c r="D276" s="623">
        <f t="shared" si="31"/>
        <v>0.35125980679086072</v>
      </c>
      <c r="E276" s="650">
        <f t="shared" ref="E276:E284" si="32">D276-C276</f>
        <v>3.201423342443982E-2</v>
      </c>
    </row>
    <row r="277" spans="1:5" x14ac:dyDescent="0.2">
      <c r="A277" s="588">
        <v>2</v>
      </c>
      <c r="B277" s="587" t="s">
        <v>636</v>
      </c>
      <c r="C277" s="623">
        <f t="shared" si="31"/>
        <v>0.22999052727085598</v>
      </c>
      <c r="D277" s="623">
        <f t="shared" si="31"/>
        <v>0.23684161903518511</v>
      </c>
      <c r="E277" s="650">
        <f t="shared" si="32"/>
        <v>6.8510917643291314E-3</v>
      </c>
    </row>
    <row r="278" spans="1:5" x14ac:dyDescent="0.2">
      <c r="A278" s="588">
        <v>3</v>
      </c>
      <c r="B278" s="587" t="s">
        <v>778</v>
      </c>
      <c r="C278" s="623">
        <f t="shared" si="31"/>
        <v>0.17647824200969481</v>
      </c>
      <c r="D278" s="623">
        <f t="shared" si="31"/>
        <v>0.16157514614244872</v>
      </c>
      <c r="E278" s="650">
        <f t="shared" si="32"/>
        <v>-1.4903095867246086E-2</v>
      </c>
    </row>
    <row r="279" spans="1:5" x14ac:dyDescent="0.2">
      <c r="A279" s="588">
        <v>4</v>
      </c>
      <c r="B279" s="587" t="s">
        <v>115</v>
      </c>
      <c r="C279" s="623">
        <f t="shared" si="31"/>
        <v>0.17839852865895336</v>
      </c>
      <c r="D279" s="623">
        <f t="shared" si="31"/>
        <v>0.16225114377175118</v>
      </c>
      <c r="E279" s="650">
        <f t="shared" si="32"/>
        <v>-1.6147384887202187E-2</v>
      </c>
    </row>
    <row r="280" spans="1:5" x14ac:dyDescent="0.2">
      <c r="A280" s="588">
        <v>5</v>
      </c>
      <c r="B280" s="587" t="s">
        <v>744</v>
      </c>
      <c r="C280" s="623">
        <f t="shared" si="31"/>
        <v>0.11546401991921622</v>
      </c>
      <c r="D280" s="623">
        <f t="shared" si="31"/>
        <v>0.12927689687829591</v>
      </c>
      <c r="E280" s="650">
        <f t="shared" si="32"/>
        <v>1.3812876959079692E-2</v>
      </c>
    </row>
    <row r="281" spans="1:5" x14ac:dyDescent="0.2">
      <c r="A281" s="588">
        <v>6</v>
      </c>
      <c r="B281" s="587" t="s">
        <v>424</v>
      </c>
      <c r="C281" s="623">
        <f t="shared" si="31"/>
        <v>0.1835820058335203</v>
      </c>
      <c r="D281" s="623">
        <f t="shared" si="31"/>
        <v>6.6244214335274332E-2</v>
      </c>
      <c r="E281" s="650">
        <f t="shared" si="32"/>
        <v>-0.11733779149824597</v>
      </c>
    </row>
    <row r="282" spans="1:5" x14ac:dyDescent="0.2">
      <c r="A282" s="588">
        <v>7</v>
      </c>
      <c r="B282" s="587" t="s">
        <v>759</v>
      </c>
      <c r="C282" s="623">
        <f t="shared" si="31"/>
        <v>1.5622469008920302E-2</v>
      </c>
      <c r="D282" s="623">
        <f t="shared" si="31"/>
        <v>2.5706587268822221E-2</v>
      </c>
      <c r="E282" s="650">
        <f t="shared" si="32"/>
        <v>1.0084118259901919E-2</v>
      </c>
    </row>
    <row r="283" spans="1:5" ht="29.25" customHeight="1" x14ac:dyDescent="0.2">
      <c r="A283" s="588"/>
      <c r="B283" s="592" t="s">
        <v>845</v>
      </c>
      <c r="C283" s="651">
        <f t="shared" si="31"/>
        <v>0.21611322261899749</v>
      </c>
      <c r="D283" s="651">
        <f t="shared" si="31"/>
        <v>0.21479438487313157</v>
      </c>
      <c r="E283" s="652">
        <f t="shared" si="32"/>
        <v>-1.318837745865914E-3</v>
      </c>
    </row>
    <row r="284" spans="1:5" x14ac:dyDescent="0.2">
      <c r="A284" s="588"/>
      <c r="B284" s="592" t="s">
        <v>846</v>
      </c>
      <c r="C284" s="651">
        <f t="shared" si="31"/>
        <v>0.25268715840965145</v>
      </c>
      <c r="D284" s="651">
        <f t="shared" si="31"/>
        <v>0.26065020054005872</v>
      </c>
      <c r="E284" s="652">
        <f t="shared" si="32"/>
        <v>7.9630421304072718E-3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0.41236075866442234</v>
      </c>
      <c r="D287" s="623">
        <f t="shared" si="33"/>
        <v>0.40233297276778102</v>
      </c>
      <c r="E287" s="650">
        <f t="shared" ref="E287:E295" si="34">D287-C287</f>
        <v>-1.0027785896641328E-2</v>
      </c>
    </row>
    <row r="288" spans="1:5" x14ac:dyDescent="0.2">
      <c r="A288" s="588">
        <v>2</v>
      </c>
      <c r="B288" s="587" t="s">
        <v>636</v>
      </c>
      <c r="C288" s="623">
        <f t="shared" si="33"/>
        <v>0.1427632782473211</v>
      </c>
      <c r="D288" s="623">
        <f t="shared" si="33"/>
        <v>0.13511787546630599</v>
      </c>
      <c r="E288" s="650">
        <f t="shared" si="34"/>
        <v>-7.6454027810151093E-3</v>
      </c>
    </row>
    <row r="289" spans="1:5" x14ac:dyDescent="0.2">
      <c r="A289" s="588">
        <v>3</v>
      </c>
      <c r="B289" s="587" t="s">
        <v>778</v>
      </c>
      <c r="C289" s="623">
        <f t="shared" si="33"/>
        <v>0.16128496251266775</v>
      </c>
      <c r="D289" s="623">
        <f t="shared" si="33"/>
        <v>0.13945386519581648</v>
      </c>
      <c r="E289" s="650">
        <f t="shared" si="34"/>
        <v>-2.1831097316851261E-2</v>
      </c>
    </row>
    <row r="290" spans="1:5" x14ac:dyDescent="0.2">
      <c r="A290" s="588">
        <v>4</v>
      </c>
      <c r="B290" s="587" t="s">
        <v>115</v>
      </c>
      <c r="C290" s="623">
        <f t="shared" si="33"/>
        <v>0.16158421050364657</v>
      </c>
      <c r="D290" s="623">
        <f t="shared" si="33"/>
        <v>0.13977068125576456</v>
      </c>
      <c r="E290" s="650">
        <f t="shared" si="34"/>
        <v>-2.1813529247882019E-2</v>
      </c>
    </row>
    <row r="291" spans="1:5" x14ac:dyDescent="0.2">
      <c r="A291" s="588">
        <v>5</v>
      </c>
      <c r="B291" s="587" t="s">
        <v>744</v>
      </c>
      <c r="C291" s="623">
        <f t="shared" si="33"/>
        <v>0.13949176164556762</v>
      </c>
      <c r="D291" s="623">
        <f t="shared" si="33"/>
        <v>0.11801144367762496</v>
      </c>
      <c r="E291" s="650">
        <f t="shared" si="34"/>
        <v>-2.1480317967942655E-2</v>
      </c>
    </row>
    <row r="292" spans="1:5" x14ac:dyDescent="0.2">
      <c r="A292" s="588">
        <v>6</v>
      </c>
      <c r="B292" s="587" t="s">
        <v>424</v>
      </c>
      <c r="C292" s="623">
        <f t="shared" si="33"/>
        <v>0.23634973932592981</v>
      </c>
      <c r="D292" s="623">
        <f t="shared" si="33"/>
        <v>0.24949725437545234</v>
      </c>
      <c r="E292" s="650">
        <f t="shared" si="34"/>
        <v>1.3147515049522523E-2</v>
      </c>
    </row>
    <row r="293" spans="1:5" x14ac:dyDescent="0.2">
      <c r="A293" s="588">
        <v>7</v>
      </c>
      <c r="B293" s="587" t="s">
        <v>759</v>
      </c>
      <c r="C293" s="623">
        <f t="shared" si="33"/>
        <v>2.4709415041677476E-2</v>
      </c>
      <c r="D293" s="623">
        <f t="shared" si="33"/>
        <v>2.645236063412201E-2</v>
      </c>
      <c r="E293" s="650">
        <f t="shared" si="34"/>
        <v>1.7429455924445336E-3</v>
      </c>
    </row>
    <row r="294" spans="1:5" ht="29.25" customHeight="1" x14ac:dyDescent="0.2">
      <c r="A294" s="588"/>
      <c r="B294" s="592" t="s">
        <v>848</v>
      </c>
      <c r="C294" s="651">
        <f t="shared" si="33"/>
        <v>0.14804400225544836</v>
      </c>
      <c r="D294" s="651">
        <f t="shared" si="33"/>
        <v>0.13655008259522664</v>
      </c>
      <c r="E294" s="652">
        <f t="shared" si="34"/>
        <v>-1.149391966022173E-2</v>
      </c>
    </row>
    <row r="295" spans="1:5" x14ac:dyDescent="0.2">
      <c r="A295" s="588"/>
      <c r="B295" s="592" t="s">
        <v>849</v>
      </c>
      <c r="C295" s="651">
        <f t="shared" si="33"/>
        <v>0.29960350824112647</v>
      </c>
      <c r="D295" s="651">
        <f t="shared" si="33"/>
        <v>0.28740284727346155</v>
      </c>
      <c r="E295" s="652">
        <f t="shared" si="34"/>
        <v>-1.2200660967664922E-2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463789057</v>
      </c>
      <c r="D301" s="590">
        <f>+D48+D47+D50+D51+D52+D59+D58+D61+D62+D63</f>
        <v>477965904</v>
      </c>
      <c r="E301" s="590">
        <f>D301-C301</f>
        <v>14176847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463789057</v>
      </c>
      <c r="D303" s="593">
        <f>+D301+D302</f>
        <v>477965904</v>
      </c>
      <c r="E303" s="593">
        <f>D303-C303</f>
        <v>14176847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41066943</v>
      </c>
      <c r="D305" s="654">
        <v>-12081445</v>
      </c>
      <c r="E305" s="655">
        <f>D305-C305</f>
        <v>-53148388</v>
      </c>
    </row>
    <row r="306" spans="1:5" x14ac:dyDescent="0.2">
      <c r="A306" s="588">
        <v>4</v>
      </c>
      <c r="B306" s="592" t="s">
        <v>856</v>
      </c>
      <c r="C306" s="593">
        <f>+C303+C305+C194+C190-C191</f>
        <v>567605423</v>
      </c>
      <c r="D306" s="593">
        <f>+D303+D305</f>
        <v>465884459</v>
      </c>
      <c r="E306" s="656">
        <f>D306-C306</f>
        <v>-101720964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504856000</v>
      </c>
      <c r="D308" s="589">
        <v>465884000</v>
      </c>
      <c r="E308" s="590">
        <f>D308-C308</f>
        <v>-38972000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62749423</v>
      </c>
      <c r="D310" s="658">
        <f>D306-D308</f>
        <v>459</v>
      </c>
      <c r="E310" s="656">
        <f>D310-C310</f>
        <v>-62748964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1642590508</v>
      </c>
      <c r="D314" s="590">
        <f>+D14+D15+D16+D19+D25+D26+D27+D30</f>
        <v>1720809095</v>
      </c>
      <c r="E314" s="590">
        <f>D314-C314</f>
        <v>78218587</v>
      </c>
    </row>
    <row r="315" spans="1:5" x14ac:dyDescent="0.2">
      <c r="A315" s="588">
        <v>2</v>
      </c>
      <c r="B315" s="659" t="s">
        <v>861</v>
      </c>
      <c r="C315" s="589">
        <v>-508</v>
      </c>
      <c r="D315" s="589">
        <v>-2703000</v>
      </c>
      <c r="E315" s="590">
        <f>D315-C315</f>
        <v>-2702492</v>
      </c>
    </row>
    <row r="316" spans="1:5" x14ac:dyDescent="0.2">
      <c r="A316" s="588"/>
      <c r="B316" s="592" t="s">
        <v>862</v>
      </c>
      <c r="C316" s="657">
        <f>C314+C315</f>
        <v>1642590000</v>
      </c>
      <c r="D316" s="657">
        <f>D314+D315</f>
        <v>1718106095</v>
      </c>
      <c r="E316" s="593">
        <f>D316-C316</f>
        <v>75516095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1642590000</v>
      </c>
      <c r="D318" s="589">
        <v>1718106000</v>
      </c>
      <c r="E318" s="590">
        <f>D318-C318</f>
        <v>75516000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95</v>
      </c>
      <c r="E320" s="593">
        <f>D320-C320</f>
        <v>95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86746896</v>
      </c>
      <c r="D324" s="589">
        <f>+D193+D194</f>
        <v>77672731</v>
      </c>
      <c r="E324" s="590">
        <f>D324-C324</f>
        <v>-9074165</v>
      </c>
    </row>
    <row r="325" spans="1:5" x14ac:dyDescent="0.2">
      <c r="A325" s="588">
        <v>2</v>
      </c>
      <c r="B325" s="587" t="s">
        <v>866</v>
      </c>
      <c r="C325" s="589">
        <v>104</v>
      </c>
      <c r="D325" s="589">
        <v>0</v>
      </c>
      <c r="E325" s="590">
        <f>D325-C325</f>
        <v>-104</v>
      </c>
    </row>
    <row r="326" spans="1:5" x14ac:dyDescent="0.2">
      <c r="A326" s="588"/>
      <c r="B326" s="592" t="s">
        <v>867</v>
      </c>
      <c r="C326" s="657">
        <f>C324+C325</f>
        <v>86747000</v>
      </c>
      <c r="D326" s="657">
        <f>D324+D325</f>
        <v>77672731</v>
      </c>
      <c r="E326" s="593">
        <f>D326-C326</f>
        <v>-9074269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86747000</v>
      </c>
      <c r="D328" s="589">
        <v>77673000</v>
      </c>
      <c r="E328" s="590">
        <f>D328-C328</f>
        <v>-9074000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-269</v>
      </c>
      <c r="E330" s="593">
        <f>D330-C330</f>
        <v>-269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208497487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291881711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119647133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117194274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2452859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455436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16415559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411984280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620481767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624522592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336071714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139046293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137021769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2024524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686729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63105332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475804736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1100327328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833020079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887789016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1720809095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73236787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69129737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19332003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19014905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317098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30170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421988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88491910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161728697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251266031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45409296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19390543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19151626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238917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171337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1669285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64971176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316237207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324502818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153463086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477965904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6114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5118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3621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3552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69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359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8757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14871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1.10625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1.6009199999999999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1.0359253438276721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1.0368200000000001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0.98987000000000003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0.75302999999999998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1.2106600000000001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1.3655531312093183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1.2589443393181361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721594324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312700495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408893829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0.56665333332084244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31904863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22670255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28856190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48816541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77672731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17736787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453664905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477965904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477965904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-12081445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465884459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465884000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459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1720809095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-2703000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1718106095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1718106000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95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77672731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77672731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77673000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-269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1818</v>
      </c>
      <c r="D12" s="185">
        <v>2201</v>
      </c>
      <c r="E12" s="185">
        <f>+D12-C12</f>
        <v>383</v>
      </c>
      <c r="F12" s="77">
        <f>IF(C12=0,0,+E12/C12)</f>
        <v>0.21067106710671066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1653</v>
      </c>
      <c r="D13" s="185">
        <v>1683</v>
      </c>
      <c r="E13" s="185">
        <f>+D13-C13</f>
        <v>30</v>
      </c>
      <c r="F13" s="77">
        <f>IF(C13=0,0,+E13/C13)</f>
        <v>1.8148820326678767E-2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34807823</v>
      </c>
      <c r="D15" s="76">
        <v>28856190</v>
      </c>
      <c r="E15" s="76">
        <f>+D15-C15</f>
        <v>-5951633</v>
      </c>
      <c r="F15" s="77">
        <f>IF(C15=0,0,+E15/C15)</f>
        <v>-0.17098549943787061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21057.36418632789</v>
      </c>
      <c r="D16" s="79">
        <f>IF(D13=0,0,+D15/+D13)</f>
        <v>17145.686274509804</v>
      </c>
      <c r="E16" s="79">
        <f>+D16-C16</f>
        <v>-3911.6779118180857</v>
      </c>
      <c r="F16" s="80">
        <f>IF(C16=0,0,+E16/C16)</f>
        <v>-0.18576294151562697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0.31098700000000001</v>
      </c>
      <c r="D18" s="704">
        <v>0.28944199999999998</v>
      </c>
      <c r="E18" s="704">
        <f>+D18-C18</f>
        <v>-2.1545000000000036E-2</v>
      </c>
      <c r="F18" s="77">
        <f>IF(C18=0,0,+E18/C18)</f>
        <v>-6.927942325563459E-2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10824780.451301001</v>
      </c>
      <c r="D19" s="79">
        <f>+D15*D18</f>
        <v>8352193.3459799998</v>
      </c>
      <c r="E19" s="79">
        <f>+D19-C19</f>
        <v>-2472587.1053210013</v>
      </c>
      <c r="F19" s="80">
        <f>IF(C19=0,0,+E19/C19)</f>
        <v>-0.22841914590737292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6548.5665162135519</v>
      </c>
      <c r="D20" s="79">
        <f>IF(D13=0,0,+D19/D13)</f>
        <v>4962.6817266666667</v>
      </c>
      <c r="E20" s="79">
        <f>+D20-C20</f>
        <v>-1585.8847895468853</v>
      </c>
      <c r="F20" s="80">
        <f>IF(C20=0,0,+E20/C20)</f>
        <v>-0.24217281532078871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5834927</v>
      </c>
      <c r="D22" s="76">
        <v>5658614</v>
      </c>
      <c r="E22" s="76">
        <f>+D22-C22</f>
        <v>-176313</v>
      </c>
      <c r="F22" s="77">
        <f>IF(C22=0,0,+E22/C22)</f>
        <v>-3.0216830476199618E-2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22076477</v>
      </c>
      <c r="D23" s="185">
        <v>15145955</v>
      </c>
      <c r="E23" s="185">
        <f>+D23-C23</f>
        <v>-6930522</v>
      </c>
      <c r="F23" s="77">
        <f>IF(C23=0,0,+E23/C23)</f>
        <v>-0.31393242680886085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6896419</v>
      </c>
      <c r="D24" s="185">
        <v>8051621</v>
      </c>
      <c r="E24" s="185">
        <f>+D24-C24</f>
        <v>1155202</v>
      </c>
      <c r="F24" s="77">
        <f>IF(C24=0,0,+E24/C24)</f>
        <v>0.16750751368210082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34807823</v>
      </c>
      <c r="D25" s="79">
        <f>+D22+D23+D24</f>
        <v>28856190</v>
      </c>
      <c r="E25" s="79">
        <f>+E22+E23+E24</f>
        <v>-5951633</v>
      </c>
      <c r="F25" s="80">
        <f>IF(C25=0,0,+E25/C25)</f>
        <v>-0.17098549943787061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571</v>
      </c>
      <c r="D27" s="185">
        <v>637</v>
      </c>
      <c r="E27" s="185">
        <f>+D27-C27</f>
        <v>66</v>
      </c>
      <c r="F27" s="77">
        <f>IF(C27=0,0,+E27/C27)</f>
        <v>0.11558669001751314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139</v>
      </c>
      <c r="D28" s="185">
        <v>159</v>
      </c>
      <c r="E28" s="185">
        <f>+D28-C28</f>
        <v>20</v>
      </c>
      <c r="F28" s="77">
        <f>IF(C28=0,0,+E28/C28)</f>
        <v>0.14388489208633093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1391</v>
      </c>
      <c r="D29" s="185">
        <v>1340</v>
      </c>
      <c r="E29" s="185">
        <f>+D29-C29</f>
        <v>-51</v>
      </c>
      <c r="F29" s="77">
        <f>IF(C29=0,0,+E29/C29)</f>
        <v>-3.6664270309130123E-2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8740</v>
      </c>
      <c r="D30" s="185">
        <v>8607</v>
      </c>
      <c r="E30" s="185">
        <f>+D30-C30</f>
        <v>-133</v>
      </c>
      <c r="F30" s="77">
        <f>IF(C30=0,0,+E30/C30)</f>
        <v>-1.5217391304347827E-2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17040007</v>
      </c>
      <c r="D33" s="76">
        <v>12461515</v>
      </c>
      <c r="E33" s="76">
        <f>+D33-C33</f>
        <v>-4578492</v>
      </c>
      <c r="F33" s="77">
        <f>IF(C33=0,0,+E33/C33)</f>
        <v>-0.26869073469277333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18479608</v>
      </c>
      <c r="D34" s="185">
        <v>19447111</v>
      </c>
      <c r="E34" s="185">
        <f>+D34-C34</f>
        <v>967503</v>
      </c>
      <c r="F34" s="77">
        <f>IF(C34=0,0,+E34/C34)</f>
        <v>5.235516900574947E-2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16419458</v>
      </c>
      <c r="D35" s="185">
        <v>16907915</v>
      </c>
      <c r="E35" s="185">
        <f>+D35-C35</f>
        <v>488457</v>
      </c>
      <c r="F35" s="77">
        <f>IF(C35=0,0,+E35/C35)</f>
        <v>2.9748667708763589E-2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51939073</v>
      </c>
      <c r="D36" s="79">
        <f>+D33+D34+D35</f>
        <v>48816541</v>
      </c>
      <c r="E36" s="79">
        <f>+E33+E34+E35</f>
        <v>-3122532</v>
      </c>
      <c r="F36" s="80">
        <f>IF(C36=0,0,+E36/C36)</f>
        <v>-6.0119132276388529E-2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34807823</v>
      </c>
      <c r="D39" s="76">
        <f>+D25</f>
        <v>28856190</v>
      </c>
      <c r="E39" s="76">
        <f>+D39-C39</f>
        <v>-5951633</v>
      </c>
      <c r="F39" s="77">
        <f>IF(C39=0,0,+E39/C39)</f>
        <v>-0.17098549943787061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51939073</v>
      </c>
      <c r="D40" s="185">
        <f>+D36</f>
        <v>48816541</v>
      </c>
      <c r="E40" s="185">
        <f>+D40-C40</f>
        <v>-3122532</v>
      </c>
      <c r="F40" s="77">
        <f>IF(C40=0,0,+E40/C40)</f>
        <v>-6.0119132276388529E-2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86746896</v>
      </c>
      <c r="D41" s="79">
        <f>+D39+D40</f>
        <v>77672731</v>
      </c>
      <c r="E41" s="79">
        <f>+E39+E40</f>
        <v>-9074165</v>
      </c>
      <c r="F41" s="80">
        <f>IF(C41=0,0,+E41/C41)</f>
        <v>-0.10460506852026152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22874934</v>
      </c>
      <c r="D43" s="76">
        <f t="shared" si="0"/>
        <v>18120129</v>
      </c>
      <c r="E43" s="76">
        <f>+D43-C43</f>
        <v>-4754805</v>
      </c>
      <c r="F43" s="77">
        <f>IF(C43=0,0,+E43/C43)</f>
        <v>-0.20786092759874192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40556085</v>
      </c>
      <c r="D44" s="185">
        <f t="shared" si="0"/>
        <v>34593066</v>
      </c>
      <c r="E44" s="185">
        <f>+D44-C44</f>
        <v>-5963019</v>
      </c>
      <c r="F44" s="77">
        <f>IF(C44=0,0,+E44/C44)</f>
        <v>-0.14703142574042835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23315877</v>
      </c>
      <c r="D45" s="185">
        <f t="shared" si="0"/>
        <v>24959536</v>
      </c>
      <c r="E45" s="185">
        <f>+D45-C45</f>
        <v>1643659</v>
      </c>
      <c r="F45" s="77">
        <f>IF(C45=0,0,+E45/C45)</f>
        <v>7.0495268095641439E-2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86746896</v>
      </c>
      <c r="D46" s="79">
        <f>+D43+D44+D45</f>
        <v>77672731</v>
      </c>
      <c r="E46" s="79">
        <f>+E43+E44+E45</f>
        <v>-9074165</v>
      </c>
      <c r="F46" s="80">
        <f>IF(C46=0,0,+E46/C46)</f>
        <v>-0.10460506852026152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686908665</v>
      </c>
      <c r="D15" s="76">
        <v>721594324</v>
      </c>
      <c r="E15" s="76">
        <f>+D15-C15</f>
        <v>34685659</v>
      </c>
      <c r="F15" s="77">
        <f>IF(C15=0,0,E15/C15)</f>
        <v>5.0495299837278948E-2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387152825</v>
      </c>
      <c r="D17" s="76">
        <v>408893829</v>
      </c>
      <c r="E17" s="76">
        <f>+D17-C17</f>
        <v>21741004</v>
      </c>
      <c r="F17" s="77">
        <f>IF(C17=0,0,E17/C17)</f>
        <v>5.6156129042839863E-2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299755840</v>
      </c>
      <c r="D19" s="79">
        <f>+D15-D17</f>
        <v>312700495</v>
      </c>
      <c r="E19" s="79">
        <f>+D19-C19</f>
        <v>12944655</v>
      </c>
      <c r="F19" s="80">
        <f>IF(C19=0,0,E19/C19)</f>
        <v>4.3183996014889987E-2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0.56361616140043891</v>
      </c>
      <c r="D21" s="720">
        <f>IF(D15=0,0,D17/D15)</f>
        <v>0.56665333332084244</v>
      </c>
      <c r="E21" s="720">
        <f>+D21-C21</f>
        <v>3.0371719204035363E-3</v>
      </c>
      <c r="F21" s="80">
        <f>IF(C21=0,0,E21/C21)</f>
        <v>5.3887239728132664E-3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596153309</v>
      </c>
      <c r="D10" s="744">
        <v>603986071</v>
      </c>
      <c r="E10" s="744">
        <v>620481767</v>
      </c>
    </row>
    <row r="11" spans="1:6" ht="26.1" customHeight="1" x14ac:dyDescent="0.25">
      <c r="A11" s="742">
        <v>2</v>
      </c>
      <c r="B11" s="743" t="s">
        <v>933</v>
      </c>
      <c r="C11" s="744">
        <v>863179215</v>
      </c>
      <c r="D11" s="744">
        <v>1038604437</v>
      </c>
      <c r="E11" s="744">
        <v>1100327328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1459332524</v>
      </c>
      <c r="D12" s="744">
        <f>+D11+D10</f>
        <v>1642590508</v>
      </c>
      <c r="E12" s="744">
        <f>+E11+E10</f>
        <v>1720809095</v>
      </c>
    </row>
    <row r="13" spans="1:6" ht="26.1" customHeight="1" x14ac:dyDescent="0.25">
      <c r="A13" s="742">
        <v>4</v>
      </c>
      <c r="B13" s="743" t="s">
        <v>507</v>
      </c>
      <c r="C13" s="744">
        <v>475258979</v>
      </c>
      <c r="D13" s="744">
        <v>504856844</v>
      </c>
      <c r="E13" s="744">
        <v>465884745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461480665</v>
      </c>
      <c r="D16" s="744">
        <v>482124601</v>
      </c>
      <c r="E16" s="744">
        <v>453664905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74442</v>
      </c>
      <c r="D19" s="747">
        <v>70911</v>
      </c>
      <c r="E19" s="747">
        <v>71656</v>
      </c>
    </row>
    <row r="20" spans="1:5" ht="26.1" customHeight="1" x14ac:dyDescent="0.25">
      <c r="A20" s="742">
        <v>2</v>
      </c>
      <c r="B20" s="743" t="s">
        <v>381</v>
      </c>
      <c r="C20" s="748">
        <v>14940</v>
      </c>
      <c r="D20" s="748">
        <v>14294</v>
      </c>
      <c r="E20" s="748">
        <v>14871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4.9827309236947794</v>
      </c>
      <c r="D21" s="749">
        <f>IF(D20=0,0,+D19/D20)</f>
        <v>4.9608926822442987</v>
      </c>
      <c r="E21" s="749">
        <f>IF(E20=0,0,+E19/E20)</f>
        <v>4.8185058166902026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182227.67551829189</v>
      </c>
      <c r="D22" s="748">
        <f>IF(D10=0,0,D19*(D12/D10))</f>
        <v>192848.38029449855</v>
      </c>
      <c r="E22" s="748">
        <f>IF(E10=0,0,E19*(E12/E10))</f>
        <v>198726.70410204012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36571.847508708539</v>
      </c>
      <c r="D23" s="748">
        <f>IF(D10=0,0,D20*(D12/D10))</f>
        <v>38873.725485884592</v>
      </c>
      <c r="E23" s="748">
        <f>IF(E10=0,0,E20*(E12/E10))</f>
        <v>41242.391658778586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1.2262559310575634</v>
      </c>
      <c r="D26" s="750">
        <v>1.2846034615922763</v>
      </c>
      <c r="E26" s="750">
        <v>1.2589443393181361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91284.94401978713</v>
      </c>
      <c r="D27" s="748">
        <f>D19*D26</f>
        <v>91092.51606496991</v>
      </c>
      <c r="E27" s="748">
        <f>E19*E26</f>
        <v>90210.915578180357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18320.263609999998</v>
      </c>
      <c r="D28" s="748">
        <f>D20*D26</f>
        <v>18362.121879999999</v>
      </c>
      <c r="E28" s="748">
        <f>E20*E26</f>
        <v>18721.761270000003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223457.76790713856</v>
      </c>
      <c r="D29" s="748">
        <f>D22*D26</f>
        <v>247733.69688877658</v>
      </c>
      <c r="E29" s="748">
        <f>E22*E26</f>
        <v>250185.85920061363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44846.444917286615</v>
      </c>
      <c r="D30" s="748">
        <f>D23*D26</f>
        <v>49937.32232415524</v>
      </c>
      <c r="E30" s="748">
        <f>E23*E26</f>
        <v>51921.875518760811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19603.617903871469</v>
      </c>
      <c r="D33" s="744">
        <f>IF(D19=0,0,D12/D19)</f>
        <v>23164.114284102609</v>
      </c>
      <c r="E33" s="744">
        <f>IF(E19=0,0,E12/E19)</f>
        <v>24014.864003014402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97679.553145917002</v>
      </c>
      <c r="D34" s="744">
        <f>IF(D20=0,0,D12/D20)</f>
        <v>114914.68504267525</v>
      </c>
      <c r="E34" s="744">
        <f>IF(E20=0,0,E12/E20)</f>
        <v>115715.76188554906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8008.2924827382394</v>
      </c>
      <c r="D35" s="744">
        <f>IF(D22=0,0,D12/D22)</f>
        <v>8517.522965407341</v>
      </c>
      <c r="E35" s="744">
        <f>IF(E22=0,0,E12/E22)</f>
        <v>8659.1739282125709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39903.166599732256</v>
      </c>
      <c r="D36" s="744">
        <f>IF(D23=0,0,D12/D23)</f>
        <v>42254.517349937036</v>
      </c>
      <c r="E36" s="744">
        <f>IF(E23=0,0,E12/E23)</f>
        <v>41724.279940824425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6530.6860337316575</v>
      </c>
      <c r="D37" s="744">
        <f>IF(D29=0,0,D12/D29)</f>
        <v>6630.4686388201089</v>
      </c>
      <c r="E37" s="744">
        <f>IF(E29=0,0,E12/E29)</f>
        <v>6878.1229302818219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32540.651253216336</v>
      </c>
      <c r="D38" s="744">
        <f>IF(D30=0,0,D12/D30)</f>
        <v>32893.043350172993</v>
      </c>
      <c r="E38" s="744">
        <f>IF(E30=0,0,E12/E30)</f>
        <v>33142.275347473224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3271.4751329863643</v>
      </c>
      <c r="D39" s="744">
        <f>IF(D22=0,0,D10/D22)</f>
        <v>3131.9219278775045</v>
      </c>
      <c r="E39" s="744">
        <f>IF(E22=0,0,E10/E22)</f>
        <v>3122.2868099367333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16300.880311229646</v>
      </c>
      <c r="D40" s="744">
        <f>IF(D23=0,0,D10/D23)</f>
        <v>15537.128573367965</v>
      </c>
      <c r="E40" s="744">
        <f>IF(E23=0,0,E10/E23)</f>
        <v>15044.757155055247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6384.28547056769</v>
      </c>
      <c r="D43" s="744">
        <f>IF(D19=0,0,D13/D19)</f>
        <v>7119.5843240117892</v>
      </c>
      <c r="E43" s="744">
        <f>IF(E19=0,0,E13/E19)</f>
        <v>6501.685064753824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31811.176639892907</v>
      </c>
      <c r="D44" s="744">
        <f>IF(D20=0,0,D13/D20)</f>
        <v>35319.493773611306</v>
      </c>
      <c r="E44" s="744">
        <f>IF(E20=0,0,E13/E20)</f>
        <v>31328.407302804117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2608.0504931441869</v>
      </c>
      <c r="D45" s="744">
        <f>IF(D22=0,0,D13/D22)</f>
        <v>2617.8951735505048</v>
      </c>
      <c r="E45" s="744">
        <f>IF(E22=0,0,E13/E22)</f>
        <v>2344.3489746641312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12995.213842746956</v>
      </c>
      <c r="D46" s="744">
        <f>IF(D23=0,0,D13/D23)</f>
        <v>12987.097009349365</v>
      </c>
      <c r="E46" s="744">
        <f>IF(E23=0,0,E13/E23)</f>
        <v>11296.259170770831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2126.8402680792078</v>
      </c>
      <c r="D47" s="744">
        <f>IF(D29=0,0,D13/D29)</f>
        <v>2037.9013849967384</v>
      </c>
      <c r="E47" s="744">
        <f>IF(E29=0,0,E13/E29)</f>
        <v>1862.1545857490946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10597.472773517564</v>
      </c>
      <c r="D48" s="744">
        <f>IF(D30=0,0,D13/D30)</f>
        <v>10109.810067965842</v>
      </c>
      <c r="E48" s="744">
        <f>IF(E30=0,0,E13/E30)</f>
        <v>8972.8027030083485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6199.1975632035683</v>
      </c>
      <c r="D51" s="744">
        <f>IF(D19=0,0,D16/D19)</f>
        <v>6799.0100407553127</v>
      </c>
      <c r="E51" s="744">
        <f>IF(E19=0,0,E16/E19)</f>
        <v>6331.1502874846492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30888.933400267739</v>
      </c>
      <c r="D52" s="744">
        <f>IF(D20=0,0,D16/D20)</f>
        <v>33729.15915768854</v>
      </c>
      <c r="E52" s="744">
        <f>IF(E20=0,0,E16/E20)</f>
        <v>30506.684486584629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2532.4400571288465</v>
      </c>
      <c r="D53" s="744">
        <f>IF(D22=0,0,D16/D22)</f>
        <v>2500.0189281535477</v>
      </c>
      <c r="E53" s="744">
        <f>IF(E22=0,0,E16/E22)</f>
        <v>2282.8582955165243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12618.467385059275</v>
      </c>
      <c r="D54" s="744">
        <f>IF(D23=0,0,D16/D23)</f>
        <v>12402.325606149168</v>
      </c>
      <c r="E54" s="744">
        <f>IF(E23=0,0,E16/E23)</f>
        <v>10999.965975625855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2065.1806796520746</v>
      </c>
      <c r="D55" s="744">
        <f>IF(D29=0,0,D16/D29)</f>
        <v>1946.1405818218441</v>
      </c>
      <c r="E55" s="744">
        <f>IF(E29=0,0,E16/E29)</f>
        <v>1813.3115374687304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10290.239635519394</v>
      </c>
      <c r="D56" s="744">
        <f>IF(D30=0,0,D16/D30)</f>
        <v>9654.5945709786483</v>
      </c>
      <c r="E56" s="744">
        <f>IF(E30=0,0,E16/E30)</f>
        <v>8737.4521907645321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55671919</v>
      </c>
      <c r="D59" s="752">
        <v>55627968</v>
      </c>
      <c r="E59" s="752">
        <v>57236804</v>
      </c>
    </row>
    <row r="60" spans="1:6" ht="26.1" customHeight="1" x14ac:dyDescent="0.25">
      <c r="A60" s="742">
        <v>2</v>
      </c>
      <c r="B60" s="743" t="s">
        <v>969</v>
      </c>
      <c r="C60" s="752">
        <v>14949296</v>
      </c>
      <c r="D60" s="752">
        <v>15837999</v>
      </c>
      <c r="E60" s="752">
        <v>18519095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70621215</v>
      </c>
      <c r="D61" s="755">
        <f>D59+D60</f>
        <v>71465967</v>
      </c>
      <c r="E61" s="755">
        <f>E59+E60</f>
        <v>75755899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21556196</v>
      </c>
      <c r="D64" s="744">
        <v>22560307</v>
      </c>
      <c r="E64" s="752">
        <v>24150084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4771010</v>
      </c>
      <c r="D65" s="752">
        <v>6423210</v>
      </c>
      <c r="E65" s="752">
        <v>7811344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26327206</v>
      </c>
      <c r="D66" s="757">
        <f>D64+D65</f>
        <v>28983517</v>
      </c>
      <c r="E66" s="757">
        <f>E64+E65</f>
        <v>31961428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95229352</v>
      </c>
      <c r="D69" s="752">
        <v>98326147</v>
      </c>
      <c r="E69" s="752">
        <v>103195126</v>
      </c>
    </row>
    <row r="70" spans="1:6" ht="26.1" customHeight="1" x14ac:dyDescent="0.25">
      <c r="A70" s="742">
        <v>2</v>
      </c>
      <c r="B70" s="743" t="s">
        <v>977</v>
      </c>
      <c r="C70" s="752">
        <v>29318027</v>
      </c>
      <c r="D70" s="752">
        <v>27994721</v>
      </c>
      <c r="E70" s="752">
        <v>33389313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124547379</v>
      </c>
      <c r="D71" s="755">
        <f>D69+D70</f>
        <v>126320868</v>
      </c>
      <c r="E71" s="755">
        <f>E69+E70</f>
        <v>136584439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172457467</v>
      </c>
      <c r="D75" s="744">
        <f t="shared" si="0"/>
        <v>176514422</v>
      </c>
      <c r="E75" s="744">
        <f t="shared" si="0"/>
        <v>184582014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49038333</v>
      </c>
      <c r="D76" s="744">
        <f t="shared" si="0"/>
        <v>50255930</v>
      </c>
      <c r="E76" s="744">
        <f t="shared" si="0"/>
        <v>59719752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221495800</v>
      </c>
      <c r="D77" s="757">
        <f>D75+D76</f>
        <v>226770352</v>
      </c>
      <c r="E77" s="757">
        <f>E75+E76</f>
        <v>244301766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599.4</v>
      </c>
      <c r="D80" s="749">
        <v>589</v>
      </c>
      <c r="E80" s="749">
        <v>601</v>
      </c>
    </row>
    <row r="81" spans="1:5" ht="26.1" customHeight="1" x14ac:dyDescent="0.25">
      <c r="A81" s="742">
        <v>2</v>
      </c>
      <c r="B81" s="743" t="s">
        <v>617</v>
      </c>
      <c r="C81" s="749">
        <v>117.3</v>
      </c>
      <c r="D81" s="749">
        <v>117.4</v>
      </c>
      <c r="E81" s="749">
        <v>122.3</v>
      </c>
    </row>
    <row r="82" spans="1:5" ht="26.1" customHeight="1" x14ac:dyDescent="0.25">
      <c r="A82" s="742">
        <v>3</v>
      </c>
      <c r="B82" s="743" t="s">
        <v>983</v>
      </c>
      <c r="C82" s="749">
        <v>1372.7</v>
      </c>
      <c r="D82" s="749">
        <v>1328.2</v>
      </c>
      <c r="E82" s="749">
        <v>1361.1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2089.4</v>
      </c>
      <c r="D83" s="759">
        <f>D80+D81+D82</f>
        <v>2034.6</v>
      </c>
      <c r="E83" s="759">
        <f>E80+E81+E82</f>
        <v>2084.3999999999996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92879.411077744415</v>
      </c>
      <c r="D86" s="752">
        <f>IF(D80=0,0,D59/D80)</f>
        <v>94444.767402376907</v>
      </c>
      <c r="E86" s="752">
        <f>IF(E80=0,0,E59/E80)</f>
        <v>95235.946755407655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24940.433767100436</v>
      </c>
      <c r="D87" s="752">
        <f>IF(D80=0,0,D60/D80)</f>
        <v>26889.641765704586</v>
      </c>
      <c r="E87" s="752">
        <f>IF(E80=0,0,E60/E80)</f>
        <v>30813.801996672213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117819.84484484485</v>
      </c>
      <c r="D88" s="755">
        <f>+D86+D87</f>
        <v>121334.40916808149</v>
      </c>
      <c r="E88" s="755">
        <f>+E86+E87</f>
        <v>126049.74875207987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183769.78687127025</v>
      </c>
      <c r="D91" s="744">
        <f>IF(D81=0,0,D64/D81)</f>
        <v>192166.15843270867</v>
      </c>
      <c r="E91" s="744">
        <f>IF(E81=0,0,E64/E81)</f>
        <v>197465.93622240392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40673.572037510654</v>
      </c>
      <c r="D92" s="744">
        <f>IF(D81=0,0,D65/D81)</f>
        <v>54712.18057921635</v>
      </c>
      <c r="E92" s="744">
        <f>IF(E81=0,0,E65/E81)</f>
        <v>63870.351594439904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224443.35890878091</v>
      </c>
      <c r="D93" s="757">
        <f>+D91+D92</f>
        <v>246878.33901192504</v>
      </c>
      <c r="E93" s="757">
        <f>+E91+E92</f>
        <v>261336.28781684383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69373.7539156407</v>
      </c>
      <c r="D96" s="752">
        <f>IF(D82=0,0,D69/D82)</f>
        <v>74029.624303568737</v>
      </c>
      <c r="E96" s="752">
        <f>IF(E82=0,0,E69/E82)</f>
        <v>75817.446183234148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21357.927442267064</v>
      </c>
      <c r="D97" s="752">
        <f>IF(D82=0,0,D70/D82)</f>
        <v>21077.187923505495</v>
      </c>
      <c r="E97" s="752">
        <f>IF(E82=0,0,E70/E82)</f>
        <v>24531.124090808906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90731.681357907772</v>
      </c>
      <c r="D98" s="757">
        <f>+D96+D97</f>
        <v>95106.812227074231</v>
      </c>
      <c r="E98" s="757">
        <f>+E96+E97</f>
        <v>100348.57027404306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82539.229922465776</v>
      </c>
      <c r="D101" s="744">
        <f>IF(D83=0,0,D75/D83)</f>
        <v>86756.326550673359</v>
      </c>
      <c r="E101" s="744">
        <f>IF(E83=0,0,E75/E83)</f>
        <v>88554.027058146239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23470.055039724321</v>
      </c>
      <c r="D102" s="761">
        <f>IF(D83=0,0,D76/D83)</f>
        <v>24700.643861201221</v>
      </c>
      <c r="E102" s="761">
        <f>IF(E83=0,0,E76/E83)</f>
        <v>28650.81174438688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106009.2849621901</v>
      </c>
      <c r="D103" s="757">
        <f>+D101+D102</f>
        <v>111456.97041187459</v>
      </c>
      <c r="E103" s="757">
        <f>+E101+E102</f>
        <v>117204.83880253312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2975.4144165927837</v>
      </c>
      <c r="D108" s="744">
        <f>IF(D19=0,0,D77/D19)</f>
        <v>3197.9573267899195</v>
      </c>
      <c r="E108" s="744">
        <f>IF(E19=0,0,E77/E19)</f>
        <v>3409.3692921737188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14825.689424364124</v>
      </c>
      <c r="D109" s="744">
        <f>IF(D20=0,0,D77/D20)</f>
        <v>15864.723100601652</v>
      </c>
      <c r="E109" s="744">
        <f>IF(E20=0,0,E77/E20)</f>
        <v>16428.065765584022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1215.4893562134387</v>
      </c>
      <c r="D110" s="744">
        <f>IF(D22=0,0,D77/D22)</f>
        <v>1175.8996972320911</v>
      </c>
      <c r="E110" s="744">
        <f>IF(E22=0,0,E77/E22)</f>
        <v>1229.3353684090612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6056.4564026265589</v>
      </c>
      <c r="D111" s="744">
        <f>IF(D23=0,0,D77/D23)</f>
        <v>5833.512203051966</v>
      </c>
      <c r="E111" s="744">
        <f>IF(E23=0,0,E77/E23)</f>
        <v>5923.5596233420556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991.21996104447851</v>
      </c>
      <c r="D112" s="744">
        <f>IF(D29=0,0,D77/D29)</f>
        <v>915.37951779652985</v>
      </c>
      <c r="E112" s="744">
        <f>IF(E29=0,0,E77/E29)</f>
        <v>976.48111200443418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4938.9823520798573</v>
      </c>
      <c r="D113" s="744">
        <f>IF(D30=0,0,D77/D30)</f>
        <v>4541.0995513131202</v>
      </c>
      <c r="E113" s="744">
        <f>IF(E30=0,0,E77/E30)</f>
        <v>4705.1799180814842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1642590508</v>
      </c>
      <c r="D12" s="76">
        <v>1718105725</v>
      </c>
      <c r="E12" s="76">
        <f t="shared" ref="E12:E21" si="0">D12-C12</f>
        <v>75515217</v>
      </c>
      <c r="F12" s="77">
        <f t="shared" ref="F12:F21" si="1">IF(C12=0,0,E12/C12)</f>
        <v>4.597324569465977E-2</v>
      </c>
    </row>
    <row r="13" spans="1:8" ht="23.1" customHeight="1" x14ac:dyDescent="0.2">
      <c r="A13" s="74">
        <v>2</v>
      </c>
      <c r="B13" s="75" t="s">
        <v>72</v>
      </c>
      <c r="C13" s="76">
        <v>1102925843</v>
      </c>
      <c r="D13" s="76">
        <v>1174548246</v>
      </c>
      <c r="E13" s="76">
        <f t="shared" si="0"/>
        <v>71622403</v>
      </c>
      <c r="F13" s="77">
        <f t="shared" si="1"/>
        <v>6.4938548184875558E-2</v>
      </c>
    </row>
    <row r="14" spans="1:8" ht="23.1" customHeight="1" x14ac:dyDescent="0.2">
      <c r="A14" s="74">
        <v>3</v>
      </c>
      <c r="B14" s="75" t="s">
        <v>73</v>
      </c>
      <c r="C14" s="76">
        <v>34807821</v>
      </c>
      <c r="D14" s="76">
        <v>28856190</v>
      </c>
      <c r="E14" s="76">
        <f t="shared" si="0"/>
        <v>-5951631</v>
      </c>
      <c r="F14" s="77">
        <f t="shared" si="1"/>
        <v>-0.17098545180406438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504856844</v>
      </c>
      <c r="D16" s="79">
        <f>D12-D13-D14-D15</f>
        <v>514701289</v>
      </c>
      <c r="E16" s="79">
        <f t="shared" si="0"/>
        <v>9844445</v>
      </c>
      <c r="F16" s="80">
        <f t="shared" si="1"/>
        <v>1.9499478153058376E-2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48816544</v>
      </c>
      <c r="E17" s="76">
        <f t="shared" si="0"/>
        <v>48816544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504856844</v>
      </c>
      <c r="D18" s="79">
        <f>D16-D17</f>
        <v>465884745</v>
      </c>
      <c r="E18" s="79">
        <f t="shared" si="0"/>
        <v>-38972099</v>
      </c>
      <c r="F18" s="80">
        <f t="shared" si="1"/>
        <v>-7.7194356109392473E-2</v>
      </c>
    </row>
    <row r="19" spans="1:7" ht="23.1" customHeight="1" x14ac:dyDescent="0.2">
      <c r="A19" s="74">
        <v>6</v>
      </c>
      <c r="B19" s="75" t="s">
        <v>78</v>
      </c>
      <c r="C19" s="76">
        <v>23113722</v>
      </c>
      <c r="D19" s="76">
        <v>17736787</v>
      </c>
      <c r="E19" s="76">
        <f t="shared" si="0"/>
        <v>-5376935</v>
      </c>
      <c r="F19" s="77">
        <f t="shared" si="1"/>
        <v>-0.2326295609162384</v>
      </c>
      <c r="G19" s="65"/>
    </row>
    <row r="20" spans="1:7" ht="33" customHeight="1" x14ac:dyDescent="0.2">
      <c r="A20" s="74">
        <v>7</v>
      </c>
      <c r="B20" s="82" t="s">
        <v>79</v>
      </c>
      <c r="C20" s="76">
        <v>1268414</v>
      </c>
      <c r="D20" s="76">
        <v>1454412</v>
      </c>
      <c r="E20" s="76">
        <f t="shared" si="0"/>
        <v>185998</v>
      </c>
      <c r="F20" s="77">
        <f t="shared" si="1"/>
        <v>0.14663824271885992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529238980</v>
      </c>
      <c r="D21" s="79">
        <f>SUM(D18:D20)</f>
        <v>485075944</v>
      </c>
      <c r="E21" s="79">
        <f t="shared" si="0"/>
        <v>-44163036</v>
      </c>
      <c r="F21" s="80">
        <f t="shared" si="1"/>
        <v>-8.3446302462452784E-2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176514422</v>
      </c>
      <c r="D24" s="76">
        <v>184582014</v>
      </c>
      <c r="E24" s="76">
        <f t="shared" ref="E24:E33" si="2">D24-C24</f>
        <v>8067592</v>
      </c>
      <c r="F24" s="77">
        <f t="shared" ref="F24:F33" si="3">IF(C24=0,0,E24/C24)</f>
        <v>4.5705001940294712E-2</v>
      </c>
    </row>
    <row r="25" spans="1:7" ht="23.1" customHeight="1" x14ac:dyDescent="0.2">
      <c r="A25" s="74">
        <v>2</v>
      </c>
      <c r="B25" s="75" t="s">
        <v>83</v>
      </c>
      <c r="C25" s="76">
        <v>50255930</v>
      </c>
      <c r="D25" s="76">
        <v>59719752</v>
      </c>
      <c r="E25" s="76">
        <f t="shared" si="2"/>
        <v>9463822</v>
      </c>
      <c r="F25" s="77">
        <f t="shared" si="3"/>
        <v>0.18831254341527456</v>
      </c>
    </row>
    <row r="26" spans="1:7" ht="23.1" customHeight="1" x14ac:dyDescent="0.2">
      <c r="A26" s="74">
        <v>3</v>
      </c>
      <c r="B26" s="75" t="s">
        <v>84</v>
      </c>
      <c r="C26" s="76">
        <v>10555932</v>
      </c>
      <c r="D26" s="76">
        <v>10441790</v>
      </c>
      <c r="E26" s="76">
        <f t="shared" si="2"/>
        <v>-114142</v>
      </c>
      <c r="F26" s="77">
        <f t="shared" si="3"/>
        <v>-1.0813067003463076E-2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60098042</v>
      </c>
      <c r="D27" s="76">
        <v>58276625</v>
      </c>
      <c r="E27" s="76">
        <f t="shared" si="2"/>
        <v>-1821417</v>
      </c>
      <c r="F27" s="77">
        <f t="shared" si="3"/>
        <v>-3.0307426654598832E-2</v>
      </c>
    </row>
    <row r="28" spans="1:7" ht="23.1" customHeight="1" x14ac:dyDescent="0.2">
      <c r="A28" s="74">
        <v>5</v>
      </c>
      <c r="B28" s="75" t="s">
        <v>86</v>
      </c>
      <c r="C28" s="76">
        <v>26236169</v>
      </c>
      <c r="D28" s="76">
        <v>24839004</v>
      </c>
      <c r="E28" s="76">
        <f t="shared" si="2"/>
        <v>-1397165</v>
      </c>
      <c r="F28" s="77">
        <f t="shared" si="3"/>
        <v>-5.3253392292144479E-2</v>
      </c>
    </row>
    <row r="29" spans="1:7" ht="23.1" customHeight="1" x14ac:dyDescent="0.2">
      <c r="A29" s="74">
        <v>6</v>
      </c>
      <c r="B29" s="75" t="s">
        <v>87</v>
      </c>
      <c r="C29" s="76">
        <v>51939073</v>
      </c>
      <c r="D29" s="76">
        <v>0</v>
      </c>
      <c r="E29" s="76">
        <f t="shared" si="2"/>
        <v>-51939073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5640878</v>
      </c>
      <c r="D30" s="76">
        <v>6274383</v>
      </c>
      <c r="E30" s="76">
        <f t="shared" si="2"/>
        <v>633505</v>
      </c>
      <c r="F30" s="77">
        <f t="shared" si="3"/>
        <v>0.11230609844779484</v>
      </c>
    </row>
    <row r="31" spans="1:7" ht="23.1" customHeight="1" x14ac:dyDescent="0.2">
      <c r="A31" s="74">
        <v>8</v>
      </c>
      <c r="B31" s="75" t="s">
        <v>89</v>
      </c>
      <c r="C31" s="76">
        <v>6493306</v>
      </c>
      <c r="D31" s="76">
        <v>9388014</v>
      </c>
      <c r="E31" s="76">
        <f t="shared" si="2"/>
        <v>2894708</v>
      </c>
      <c r="F31" s="77">
        <f t="shared" si="3"/>
        <v>0.44579879648364024</v>
      </c>
    </row>
    <row r="32" spans="1:7" ht="23.1" customHeight="1" x14ac:dyDescent="0.2">
      <c r="A32" s="74">
        <v>9</v>
      </c>
      <c r="B32" s="75" t="s">
        <v>90</v>
      </c>
      <c r="C32" s="76">
        <v>94390849</v>
      </c>
      <c r="D32" s="76">
        <v>100143323</v>
      </c>
      <c r="E32" s="76">
        <f t="shared" si="2"/>
        <v>5752474</v>
      </c>
      <c r="F32" s="77">
        <f t="shared" si="3"/>
        <v>6.0943132315718442E-2</v>
      </c>
    </row>
    <row r="33" spans="1:6" ht="23.1" customHeight="1" x14ac:dyDescent="0.25">
      <c r="A33" s="71"/>
      <c r="B33" s="78" t="s">
        <v>91</v>
      </c>
      <c r="C33" s="79">
        <f>SUM(C24:C32)</f>
        <v>482124601</v>
      </c>
      <c r="D33" s="79">
        <f>SUM(D24:D32)</f>
        <v>453664905</v>
      </c>
      <c r="E33" s="79">
        <f t="shared" si="2"/>
        <v>-28459696</v>
      </c>
      <c r="F33" s="80">
        <f t="shared" si="3"/>
        <v>-5.9029752767169E-2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47114379</v>
      </c>
      <c r="D35" s="79">
        <f>+D21-D33</f>
        <v>31411039</v>
      </c>
      <c r="E35" s="79">
        <f>D35-C35</f>
        <v>-15703340</v>
      </c>
      <c r="F35" s="80">
        <f>IF(C35=0,0,E35/C35)</f>
        <v>-0.33330249349142432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464217</v>
      </c>
      <c r="D38" s="76">
        <v>424746</v>
      </c>
      <c r="E38" s="76">
        <f>D38-C38</f>
        <v>-39471</v>
      </c>
      <c r="F38" s="77">
        <f>IF(C38=0,0,E38/C38)</f>
        <v>-8.5027045541201635E-2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1257236</v>
      </c>
      <c r="D40" s="76">
        <v>717812</v>
      </c>
      <c r="E40" s="76">
        <f>D40-C40</f>
        <v>-539424</v>
      </c>
      <c r="F40" s="77">
        <f>IF(C40=0,0,E40/C40)</f>
        <v>-0.42905548361644114</v>
      </c>
    </row>
    <row r="41" spans="1:6" ht="23.1" customHeight="1" x14ac:dyDescent="0.25">
      <c r="A41" s="83"/>
      <c r="B41" s="78" t="s">
        <v>97</v>
      </c>
      <c r="C41" s="79">
        <f>SUM(C38:C40)</f>
        <v>1721453</v>
      </c>
      <c r="D41" s="79">
        <f>SUM(D38:D40)</f>
        <v>1142558</v>
      </c>
      <c r="E41" s="79">
        <f>D41-C41</f>
        <v>-578895</v>
      </c>
      <c r="F41" s="80">
        <f>IF(C41=0,0,E41/C41)</f>
        <v>-0.33628277972154919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48835832</v>
      </c>
      <c r="D43" s="79">
        <f>D35+D41</f>
        <v>32553597</v>
      </c>
      <c r="E43" s="79">
        <f>D43-C43</f>
        <v>-16282235</v>
      </c>
      <c r="F43" s="80">
        <f>IF(C43=0,0,E43/C43)</f>
        <v>-0.33340754796600985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-24468</v>
      </c>
      <c r="D46" s="76">
        <v>201574</v>
      </c>
      <c r="E46" s="76">
        <f>D46-C46</f>
        <v>226042</v>
      </c>
      <c r="F46" s="77">
        <f>IF(C46=0,0,E46/C46)</f>
        <v>-9.2382703939839796</v>
      </c>
    </row>
    <row r="47" spans="1:6" ht="23.1" customHeight="1" x14ac:dyDescent="0.2">
      <c r="A47" s="85"/>
      <c r="B47" s="75" t="s">
        <v>101</v>
      </c>
      <c r="C47" s="76">
        <v>-11794512</v>
      </c>
      <c r="D47" s="76">
        <v>-256757</v>
      </c>
      <c r="E47" s="76">
        <f>D47-C47</f>
        <v>11537755</v>
      </c>
      <c r="F47" s="77">
        <f>IF(C47=0,0,E47/C47)</f>
        <v>-0.97823080768411619</v>
      </c>
    </row>
    <row r="48" spans="1:6" ht="23.1" customHeight="1" x14ac:dyDescent="0.25">
      <c r="A48" s="83"/>
      <c r="B48" s="78" t="s">
        <v>102</v>
      </c>
      <c r="C48" s="79">
        <f>SUM(C46:C47)</f>
        <v>-11818980</v>
      </c>
      <c r="D48" s="79">
        <f>SUM(D46:D47)</f>
        <v>-55183</v>
      </c>
      <c r="E48" s="79">
        <f>D48-C48</f>
        <v>11763797</v>
      </c>
      <c r="F48" s="80">
        <f>IF(C48=0,0,E48/C48)</f>
        <v>-0.99533098456888836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37016852</v>
      </c>
      <c r="D50" s="79">
        <f>D43+D48</f>
        <v>32498414</v>
      </c>
      <c r="E50" s="79">
        <f>D50-C50</f>
        <v>-4518438</v>
      </c>
      <c r="F50" s="80">
        <f>IF(C50=0,0,E50/C50)</f>
        <v>-0.12206435058281023</v>
      </c>
    </row>
    <row r="51" spans="1:6" ht="23.1" customHeight="1" x14ac:dyDescent="0.2">
      <c r="A51" s="85"/>
      <c r="B51" s="75" t="s">
        <v>104</v>
      </c>
      <c r="C51" s="76">
        <v>4939000</v>
      </c>
      <c r="D51" s="76">
        <v>5140000</v>
      </c>
      <c r="E51" s="76">
        <f>D51-C51</f>
        <v>201000</v>
      </c>
      <c r="F51" s="77">
        <f>IF(C51=0,0,E51/C51)</f>
        <v>4.069649726665317E-2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246939534</v>
      </c>
      <c r="D14" s="113">
        <v>245673185</v>
      </c>
      <c r="E14" s="113">
        <f t="shared" ref="E14:E25" si="0">D14-C14</f>
        <v>-1266349</v>
      </c>
      <c r="F14" s="114">
        <f t="shared" ref="F14:F25" si="1">IF(C14=0,0,E14/C14)</f>
        <v>-5.1281744137413009E-3</v>
      </c>
    </row>
    <row r="15" spans="1:6" x14ac:dyDescent="0.2">
      <c r="A15" s="115">
        <v>2</v>
      </c>
      <c r="B15" s="116" t="s">
        <v>114</v>
      </c>
      <c r="C15" s="113">
        <v>41651004</v>
      </c>
      <c r="D15" s="113">
        <v>46208526</v>
      </c>
      <c r="E15" s="113">
        <f t="shared" si="0"/>
        <v>4557522</v>
      </c>
      <c r="F15" s="114">
        <f t="shared" si="1"/>
        <v>0.10942166003969556</v>
      </c>
    </row>
    <row r="16" spans="1:6" x14ac:dyDescent="0.2">
      <c r="A16" s="115">
        <v>3</v>
      </c>
      <c r="B16" s="116" t="s">
        <v>115</v>
      </c>
      <c r="C16" s="113">
        <v>91250475</v>
      </c>
      <c r="D16" s="113">
        <v>117194274</v>
      </c>
      <c r="E16" s="113">
        <f t="shared" si="0"/>
        <v>25943799</v>
      </c>
      <c r="F16" s="114">
        <f t="shared" si="1"/>
        <v>0.28431412548811391</v>
      </c>
    </row>
    <row r="17" spans="1:6" x14ac:dyDescent="0.2">
      <c r="A17" s="115">
        <v>4</v>
      </c>
      <c r="B17" s="116" t="s">
        <v>116</v>
      </c>
      <c r="C17" s="113">
        <v>6000669</v>
      </c>
      <c r="D17" s="113">
        <v>0</v>
      </c>
      <c r="E17" s="113">
        <f t="shared" si="0"/>
        <v>-6000669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891400</v>
      </c>
      <c r="D18" s="113">
        <v>455436</v>
      </c>
      <c r="E18" s="113">
        <f t="shared" si="0"/>
        <v>-435964</v>
      </c>
      <c r="F18" s="114">
        <f t="shared" si="1"/>
        <v>-0.48907785505945706</v>
      </c>
    </row>
    <row r="19" spans="1:6" x14ac:dyDescent="0.2">
      <c r="A19" s="115">
        <v>6</v>
      </c>
      <c r="B19" s="116" t="s">
        <v>118</v>
      </c>
      <c r="C19" s="113">
        <v>54364985</v>
      </c>
      <c r="D19" s="113">
        <v>53153142</v>
      </c>
      <c r="E19" s="113">
        <f t="shared" si="0"/>
        <v>-1211843</v>
      </c>
      <c r="F19" s="114">
        <f t="shared" si="1"/>
        <v>-2.2290873436275206E-2</v>
      </c>
    </row>
    <row r="20" spans="1:6" x14ac:dyDescent="0.2">
      <c r="A20" s="115">
        <v>7</v>
      </c>
      <c r="B20" s="116" t="s">
        <v>119</v>
      </c>
      <c r="C20" s="113">
        <v>136760590</v>
      </c>
      <c r="D20" s="113">
        <v>136036802</v>
      </c>
      <c r="E20" s="113">
        <f t="shared" si="0"/>
        <v>-723788</v>
      </c>
      <c r="F20" s="114">
        <f t="shared" si="1"/>
        <v>-5.292372605295137E-3</v>
      </c>
    </row>
    <row r="21" spans="1:6" x14ac:dyDescent="0.2">
      <c r="A21" s="115">
        <v>8</v>
      </c>
      <c r="B21" s="116" t="s">
        <v>120</v>
      </c>
      <c r="C21" s="113">
        <v>4873432</v>
      </c>
      <c r="D21" s="113">
        <v>2891984</v>
      </c>
      <c r="E21" s="113">
        <f t="shared" si="0"/>
        <v>-1981448</v>
      </c>
      <c r="F21" s="114">
        <f t="shared" si="1"/>
        <v>-0.40658164513221895</v>
      </c>
    </row>
    <row r="22" spans="1:6" x14ac:dyDescent="0.2">
      <c r="A22" s="115">
        <v>9</v>
      </c>
      <c r="B22" s="116" t="s">
        <v>121</v>
      </c>
      <c r="C22" s="113">
        <v>18193219</v>
      </c>
      <c r="D22" s="113">
        <v>16415559</v>
      </c>
      <c r="E22" s="113">
        <f t="shared" si="0"/>
        <v>-1777660</v>
      </c>
      <c r="F22" s="114">
        <f t="shared" si="1"/>
        <v>-9.7710031413352411E-2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3060763</v>
      </c>
      <c r="D24" s="113">
        <v>2452859</v>
      </c>
      <c r="E24" s="113">
        <f t="shared" si="0"/>
        <v>-607904</v>
      </c>
      <c r="F24" s="114">
        <f t="shared" si="1"/>
        <v>-0.19861191474152035</v>
      </c>
    </row>
    <row r="25" spans="1:6" ht="15.75" x14ac:dyDescent="0.25">
      <c r="A25" s="117"/>
      <c r="B25" s="118" t="s">
        <v>124</v>
      </c>
      <c r="C25" s="119">
        <f>SUM(C14:C24)</f>
        <v>603986071</v>
      </c>
      <c r="D25" s="119">
        <f>SUM(D14:D24)</f>
        <v>620481767</v>
      </c>
      <c r="E25" s="119">
        <f t="shared" si="0"/>
        <v>16495696</v>
      </c>
      <c r="F25" s="120">
        <f t="shared" si="1"/>
        <v>2.7311384801786263E-2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267737797</v>
      </c>
      <c r="D27" s="113">
        <v>275679007</v>
      </c>
      <c r="E27" s="113">
        <f t="shared" ref="E27:E38" si="2">D27-C27</f>
        <v>7941210</v>
      </c>
      <c r="F27" s="114">
        <f t="shared" ref="F27:F38" si="3">IF(C27=0,0,E27/C27)</f>
        <v>2.966039942429197E-2</v>
      </c>
    </row>
    <row r="28" spans="1:6" x14ac:dyDescent="0.2">
      <c r="A28" s="115">
        <v>2</v>
      </c>
      <c r="B28" s="116" t="s">
        <v>114</v>
      </c>
      <c r="C28" s="113">
        <v>52352415</v>
      </c>
      <c r="D28" s="113">
        <v>60392707</v>
      </c>
      <c r="E28" s="113">
        <f t="shared" si="2"/>
        <v>8040292</v>
      </c>
      <c r="F28" s="114">
        <f t="shared" si="3"/>
        <v>0.1535801548027918</v>
      </c>
    </row>
    <row r="29" spans="1:6" x14ac:dyDescent="0.2">
      <c r="A29" s="115">
        <v>3</v>
      </c>
      <c r="B29" s="116" t="s">
        <v>115</v>
      </c>
      <c r="C29" s="113">
        <v>106884643</v>
      </c>
      <c r="D29" s="113">
        <v>137021769</v>
      </c>
      <c r="E29" s="113">
        <f t="shared" si="2"/>
        <v>30137126</v>
      </c>
      <c r="F29" s="114">
        <f t="shared" si="3"/>
        <v>0.28195936435882563</v>
      </c>
    </row>
    <row r="30" spans="1:6" x14ac:dyDescent="0.2">
      <c r="A30" s="115">
        <v>4</v>
      </c>
      <c r="B30" s="116" t="s">
        <v>116</v>
      </c>
      <c r="C30" s="113">
        <v>13612576</v>
      </c>
      <c r="D30" s="113">
        <v>0</v>
      </c>
      <c r="E30" s="113">
        <f t="shared" si="2"/>
        <v>-13612576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825552</v>
      </c>
      <c r="D31" s="113">
        <v>686729</v>
      </c>
      <c r="E31" s="113">
        <f t="shared" si="2"/>
        <v>-138823</v>
      </c>
      <c r="F31" s="114">
        <f t="shared" si="3"/>
        <v>-0.16815779018159971</v>
      </c>
    </row>
    <row r="32" spans="1:6" x14ac:dyDescent="0.2">
      <c r="A32" s="115">
        <v>6</v>
      </c>
      <c r="B32" s="116" t="s">
        <v>118</v>
      </c>
      <c r="C32" s="113">
        <v>143671422</v>
      </c>
      <c r="D32" s="113">
        <v>144966374</v>
      </c>
      <c r="E32" s="113">
        <f t="shared" si="2"/>
        <v>1294952</v>
      </c>
      <c r="F32" s="114">
        <f t="shared" si="3"/>
        <v>9.0132886691968572E-3</v>
      </c>
    </row>
    <row r="33" spans="1:6" x14ac:dyDescent="0.2">
      <c r="A33" s="115">
        <v>7</v>
      </c>
      <c r="B33" s="116" t="s">
        <v>119</v>
      </c>
      <c r="C33" s="113">
        <v>372956686</v>
      </c>
      <c r="D33" s="113">
        <v>406464894</v>
      </c>
      <c r="E33" s="113">
        <f t="shared" si="2"/>
        <v>33508208</v>
      </c>
      <c r="F33" s="114">
        <f t="shared" si="3"/>
        <v>8.9844770875082261E-2</v>
      </c>
    </row>
    <row r="34" spans="1:6" x14ac:dyDescent="0.2">
      <c r="A34" s="115">
        <v>8</v>
      </c>
      <c r="B34" s="116" t="s">
        <v>120</v>
      </c>
      <c r="C34" s="113">
        <v>9042970</v>
      </c>
      <c r="D34" s="113">
        <v>9985992</v>
      </c>
      <c r="E34" s="113">
        <f t="shared" si="2"/>
        <v>943022</v>
      </c>
      <c r="F34" s="114">
        <f t="shared" si="3"/>
        <v>0.10428233202144871</v>
      </c>
    </row>
    <row r="35" spans="1:6" x14ac:dyDescent="0.2">
      <c r="A35" s="115">
        <v>9</v>
      </c>
      <c r="B35" s="116" t="s">
        <v>121</v>
      </c>
      <c r="C35" s="113">
        <v>69865798</v>
      </c>
      <c r="D35" s="113">
        <v>63105332</v>
      </c>
      <c r="E35" s="113">
        <f t="shared" si="2"/>
        <v>-6760466</v>
      </c>
      <c r="F35" s="114">
        <f t="shared" si="3"/>
        <v>-9.6763598119927005E-2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1654578</v>
      </c>
      <c r="D37" s="113">
        <v>2024524</v>
      </c>
      <c r="E37" s="113">
        <f t="shared" si="2"/>
        <v>369946</v>
      </c>
      <c r="F37" s="114">
        <f t="shared" si="3"/>
        <v>0.22358933818774335</v>
      </c>
    </row>
    <row r="38" spans="1:6" ht="15.75" x14ac:dyDescent="0.25">
      <c r="A38" s="117"/>
      <c r="B38" s="118" t="s">
        <v>126</v>
      </c>
      <c r="C38" s="119">
        <f>SUM(C27:C37)</f>
        <v>1038604437</v>
      </c>
      <c r="D38" s="119">
        <f>SUM(D27:D37)</f>
        <v>1100327328</v>
      </c>
      <c r="E38" s="119">
        <f t="shared" si="2"/>
        <v>61722891</v>
      </c>
      <c r="F38" s="120">
        <f t="shared" si="3"/>
        <v>5.9428680257024552E-2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514677331</v>
      </c>
      <c r="D41" s="119">
        <f t="shared" si="4"/>
        <v>521352192</v>
      </c>
      <c r="E41" s="123">
        <f t="shared" ref="E41:E52" si="5">D41-C41</f>
        <v>6674861</v>
      </c>
      <c r="F41" s="124">
        <f t="shared" ref="F41:F52" si="6">IF(C41=0,0,E41/C41)</f>
        <v>1.2969020778573984E-2</v>
      </c>
    </row>
    <row r="42" spans="1:6" ht="15.75" x14ac:dyDescent="0.25">
      <c r="A42" s="121">
        <v>2</v>
      </c>
      <c r="B42" s="122" t="s">
        <v>114</v>
      </c>
      <c r="C42" s="119">
        <f t="shared" si="4"/>
        <v>94003419</v>
      </c>
      <c r="D42" s="119">
        <f t="shared" si="4"/>
        <v>106601233</v>
      </c>
      <c r="E42" s="123">
        <f t="shared" si="5"/>
        <v>12597814</v>
      </c>
      <c r="F42" s="124">
        <f t="shared" si="6"/>
        <v>0.13401442345410863</v>
      </c>
    </row>
    <row r="43" spans="1:6" ht="15.75" x14ac:dyDescent="0.25">
      <c r="A43" s="121">
        <v>3</v>
      </c>
      <c r="B43" s="122" t="s">
        <v>115</v>
      </c>
      <c r="C43" s="119">
        <f t="shared" si="4"/>
        <v>198135118</v>
      </c>
      <c r="D43" s="119">
        <f t="shared" si="4"/>
        <v>254216043</v>
      </c>
      <c r="E43" s="123">
        <f t="shared" si="5"/>
        <v>56080925</v>
      </c>
      <c r="F43" s="124">
        <f t="shared" si="6"/>
        <v>0.28304384182919051</v>
      </c>
    </row>
    <row r="44" spans="1:6" ht="15.75" x14ac:dyDescent="0.25">
      <c r="A44" s="121">
        <v>4</v>
      </c>
      <c r="B44" s="122" t="s">
        <v>116</v>
      </c>
      <c r="C44" s="119">
        <f t="shared" si="4"/>
        <v>19613245</v>
      </c>
      <c r="D44" s="119">
        <f t="shared" si="4"/>
        <v>0</v>
      </c>
      <c r="E44" s="123">
        <f t="shared" si="5"/>
        <v>-19613245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1716952</v>
      </c>
      <c r="D45" s="119">
        <f t="shared" si="4"/>
        <v>1142165</v>
      </c>
      <c r="E45" s="123">
        <f t="shared" si="5"/>
        <v>-574787</v>
      </c>
      <c r="F45" s="124">
        <f t="shared" si="6"/>
        <v>-0.33477173502811958</v>
      </c>
    </row>
    <row r="46" spans="1:6" ht="15.75" x14ac:dyDescent="0.25">
      <c r="A46" s="121">
        <v>6</v>
      </c>
      <c r="B46" s="122" t="s">
        <v>118</v>
      </c>
      <c r="C46" s="119">
        <f t="shared" si="4"/>
        <v>198036407</v>
      </c>
      <c r="D46" s="119">
        <f t="shared" si="4"/>
        <v>198119516</v>
      </c>
      <c r="E46" s="123">
        <f t="shared" si="5"/>
        <v>83109</v>
      </c>
      <c r="F46" s="124">
        <f t="shared" si="6"/>
        <v>4.196652588228386E-4</v>
      </c>
    </row>
    <row r="47" spans="1:6" ht="15.75" x14ac:dyDescent="0.25">
      <c r="A47" s="121">
        <v>7</v>
      </c>
      <c r="B47" s="122" t="s">
        <v>119</v>
      </c>
      <c r="C47" s="119">
        <f t="shared" si="4"/>
        <v>509717276</v>
      </c>
      <c r="D47" s="119">
        <f t="shared" si="4"/>
        <v>542501696</v>
      </c>
      <c r="E47" s="123">
        <f t="shared" si="5"/>
        <v>32784420</v>
      </c>
      <c r="F47" s="124">
        <f t="shared" si="6"/>
        <v>6.4318832308913151E-2</v>
      </c>
    </row>
    <row r="48" spans="1:6" ht="15.75" x14ac:dyDescent="0.25">
      <c r="A48" s="121">
        <v>8</v>
      </c>
      <c r="B48" s="122" t="s">
        <v>120</v>
      </c>
      <c r="C48" s="119">
        <f t="shared" si="4"/>
        <v>13916402</v>
      </c>
      <c r="D48" s="119">
        <f t="shared" si="4"/>
        <v>12877976</v>
      </c>
      <c r="E48" s="123">
        <f t="shared" si="5"/>
        <v>-1038426</v>
      </c>
      <c r="F48" s="124">
        <f t="shared" si="6"/>
        <v>-7.4618856224475269E-2</v>
      </c>
    </row>
    <row r="49" spans="1:6" ht="15.75" x14ac:dyDescent="0.25">
      <c r="A49" s="121">
        <v>9</v>
      </c>
      <c r="B49" s="122" t="s">
        <v>121</v>
      </c>
      <c r="C49" s="119">
        <f t="shared" si="4"/>
        <v>88059017</v>
      </c>
      <c r="D49" s="119">
        <f t="shared" si="4"/>
        <v>79520891</v>
      </c>
      <c r="E49" s="123">
        <f t="shared" si="5"/>
        <v>-8538126</v>
      </c>
      <c r="F49" s="124">
        <f t="shared" si="6"/>
        <v>-9.6959133668276132E-2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4715341</v>
      </c>
      <c r="D51" s="119">
        <f t="shared" si="4"/>
        <v>4477383</v>
      </c>
      <c r="E51" s="123">
        <f t="shared" si="5"/>
        <v>-237958</v>
      </c>
      <c r="F51" s="124">
        <f t="shared" si="6"/>
        <v>-5.0464642960074364E-2</v>
      </c>
    </row>
    <row r="52" spans="1:6" ht="18.75" customHeight="1" thickBot="1" x14ac:dyDescent="0.3">
      <c r="A52" s="125"/>
      <c r="B52" s="126" t="s">
        <v>128</v>
      </c>
      <c r="C52" s="127">
        <f>SUM(C41:C51)</f>
        <v>1642590508</v>
      </c>
      <c r="D52" s="128">
        <f>SUM(D41:D51)</f>
        <v>1720809095</v>
      </c>
      <c r="E52" s="127">
        <f t="shared" si="5"/>
        <v>78218587</v>
      </c>
      <c r="F52" s="129">
        <f t="shared" si="6"/>
        <v>4.7619042371819187E-2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57399785</v>
      </c>
      <c r="D57" s="113">
        <v>59248315</v>
      </c>
      <c r="E57" s="113">
        <f t="shared" ref="E57:E68" si="7">D57-C57</f>
        <v>1848530</v>
      </c>
      <c r="F57" s="114">
        <f t="shared" ref="F57:F68" si="8">IF(C57=0,0,E57/C57)</f>
        <v>3.220447602721857E-2</v>
      </c>
    </row>
    <row r="58" spans="1:6" x14ac:dyDescent="0.2">
      <c r="A58" s="115">
        <v>2</v>
      </c>
      <c r="B58" s="116" t="s">
        <v>114</v>
      </c>
      <c r="C58" s="113">
        <v>8973305</v>
      </c>
      <c r="D58" s="113">
        <v>9881422</v>
      </c>
      <c r="E58" s="113">
        <f t="shared" si="7"/>
        <v>908117</v>
      </c>
      <c r="F58" s="114">
        <f t="shared" si="8"/>
        <v>0.10120206545971634</v>
      </c>
    </row>
    <row r="59" spans="1:6" x14ac:dyDescent="0.2">
      <c r="A59" s="115">
        <v>3</v>
      </c>
      <c r="B59" s="116" t="s">
        <v>115</v>
      </c>
      <c r="C59" s="113">
        <v>16458289</v>
      </c>
      <c r="D59" s="113">
        <v>19014905</v>
      </c>
      <c r="E59" s="113">
        <f t="shared" si="7"/>
        <v>2556616</v>
      </c>
      <c r="F59" s="114">
        <f t="shared" si="8"/>
        <v>0.15533911210332982</v>
      </c>
    </row>
    <row r="60" spans="1:6" x14ac:dyDescent="0.2">
      <c r="A60" s="115">
        <v>4</v>
      </c>
      <c r="B60" s="116" t="s">
        <v>116</v>
      </c>
      <c r="C60" s="113">
        <v>891172</v>
      </c>
      <c r="D60" s="113">
        <v>0</v>
      </c>
      <c r="E60" s="113">
        <f t="shared" si="7"/>
        <v>-891172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163645</v>
      </c>
      <c r="D61" s="113">
        <v>30170</v>
      </c>
      <c r="E61" s="113">
        <f t="shared" si="7"/>
        <v>-133475</v>
      </c>
      <c r="F61" s="114">
        <f t="shared" si="8"/>
        <v>-0.81563750802041002</v>
      </c>
    </row>
    <row r="62" spans="1:6" x14ac:dyDescent="0.2">
      <c r="A62" s="115">
        <v>6</v>
      </c>
      <c r="B62" s="116" t="s">
        <v>118</v>
      </c>
      <c r="C62" s="113">
        <v>18317896</v>
      </c>
      <c r="D62" s="113">
        <v>20849725</v>
      </c>
      <c r="E62" s="113">
        <f t="shared" si="7"/>
        <v>2531829</v>
      </c>
      <c r="F62" s="114">
        <f t="shared" si="8"/>
        <v>0.13821614665789128</v>
      </c>
    </row>
    <row r="63" spans="1:6" x14ac:dyDescent="0.2">
      <c r="A63" s="115">
        <v>7</v>
      </c>
      <c r="B63" s="116" t="s">
        <v>119</v>
      </c>
      <c r="C63" s="113">
        <v>46449848</v>
      </c>
      <c r="D63" s="113">
        <v>50250177</v>
      </c>
      <c r="E63" s="113">
        <f t="shared" si="7"/>
        <v>3800329</v>
      </c>
      <c r="F63" s="114">
        <f t="shared" si="8"/>
        <v>8.1815746738288578E-2</v>
      </c>
    </row>
    <row r="64" spans="1:6" x14ac:dyDescent="0.2">
      <c r="A64" s="115">
        <v>8</v>
      </c>
      <c r="B64" s="116" t="s">
        <v>120</v>
      </c>
      <c r="C64" s="113">
        <v>3327953</v>
      </c>
      <c r="D64" s="113">
        <v>1714897</v>
      </c>
      <c r="E64" s="113">
        <f t="shared" si="7"/>
        <v>-1613056</v>
      </c>
      <c r="F64" s="114">
        <f t="shared" si="8"/>
        <v>-0.48469915290270027</v>
      </c>
    </row>
    <row r="65" spans="1:6" x14ac:dyDescent="0.2">
      <c r="A65" s="115">
        <v>9</v>
      </c>
      <c r="B65" s="116" t="s">
        <v>121</v>
      </c>
      <c r="C65" s="113">
        <v>284223</v>
      </c>
      <c r="D65" s="113">
        <v>421988</v>
      </c>
      <c r="E65" s="113">
        <f t="shared" si="7"/>
        <v>137765</v>
      </c>
      <c r="F65" s="114">
        <f t="shared" si="8"/>
        <v>0.48470743043314579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353408</v>
      </c>
      <c r="D67" s="113">
        <v>317098</v>
      </c>
      <c r="E67" s="113">
        <f t="shared" si="7"/>
        <v>-36310</v>
      </c>
      <c r="F67" s="114">
        <f t="shared" si="8"/>
        <v>-0.1027424393335748</v>
      </c>
    </row>
    <row r="68" spans="1:6" ht="15.75" x14ac:dyDescent="0.25">
      <c r="A68" s="117"/>
      <c r="B68" s="118" t="s">
        <v>131</v>
      </c>
      <c r="C68" s="119">
        <f>SUM(C57:C67)</f>
        <v>152619524</v>
      </c>
      <c r="D68" s="119">
        <f>SUM(D57:D67)</f>
        <v>161728697</v>
      </c>
      <c r="E68" s="119">
        <f t="shared" si="7"/>
        <v>9109173</v>
      </c>
      <c r="F68" s="120">
        <f t="shared" si="8"/>
        <v>5.9685502622849225E-2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37924429</v>
      </c>
      <c r="D70" s="113">
        <v>38796229</v>
      </c>
      <c r="E70" s="113">
        <f t="shared" ref="E70:E81" si="9">D70-C70</f>
        <v>871800</v>
      </c>
      <c r="F70" s="114">
        <f t="shared" ref="F70:F81" si="10">IF(C70=0,0,E70/C70)</f>
        <v>2.2987821385524354E-2</v>
      </c>
    </row>
    <row r="71" spans="1:6" x14ac:dyDescent="0.2">
      <c r="A71" s="115">
        <v>2</v>
      </c>
      <c r="B71" s="116" t="s">
        <v>114</v>
      </c>
      <c r="C71" s="113">
        <v>7772699</v>
      </c>
      <c r="D71" s="113">
        <v>6613067</v>
      </c>
      <c r="E71" s="113">
        <f t="shared" si="9"/>
        <v>-1159632</v>
      </c>
      <c r="F71" s="114">
        <f t="shared" si="10"/>
        <v>-0.14919296373113122</v>
      </c>
    </row>
    <row r="72" spans="1:6" x14ac:dyDescent="0.2">
      <c r="A72" s="115">
        <v>3</v>
      </c>
      <c r="B72" s="116" t="s">
        <v>115</v>
      </c>
      <c r="C72" s="113">
        <v>17497761</v>
      </c>
      <c r="D72" s="113">
        <v>19151626</v>
      </c>
      <c r="E72" s="113">
        <f t="shared" si="9"/>
        <v>1653865</v>
      </c>
      <c r="F72" s="114">
        <f t="shared" si="10"/>
        <v>9.4518664416550213E-2</v>
      </c>
    </row>
    <row r="73" spans="1:6" x14ac:dyDescent="0.2">
      <c r="A73" s="115">
        <v>4</v>
      </c>
      <c r="B73" s="116" t="s">
        <v>116</v>
      </c>
      <c r="C73" s="113">
        <v>1972687</v>
      </c>
      <c r="D73" s="113">
        <v>0</v>
      </c>
      <c r="E73" s="113">
        <f t="shared" si="9"/>
        <v>-1972687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195119</v>
      </c>
      <c r="D74" s="113">
        <v>171337</v>
      </c>
      <c r="E74" s="113">
        <f t="shared" si="9"/>
        <v>-23782</v>
      </c>
      <c r="F74" s="114">
        <f t="shared" si="10"/>
        <v>-0.12188459350447675</v>
      </c>
    </row>
    <row r="75" spans="1:6" x14ac:dyDescent="0.2">
      <c r="A75" s="115">
        <v>6</v>
      </c>
      <c r="B75" s="116" t="s">
        <v>118</v>
      </c>
      <c r="C75" s="113">
        <v>65890055</v>
      </c>
      <c r="D75" s="113">
        <v>67209465</v>
      </c>
      <c r="E75" s="113">
        <f t="shared" si="9"/>
        <v>1319410</v>
      </c>
      <c r="F75" s="114">
        <f t="shared" si="10"/>
        <v>2.0024417948960583E-2</v>
      </c>
    </row>
    <row r="76" spans="1:6" x14ac:dyDescent="0.2">
      <c r="A76" s="115">
        <v>7</v>
      </c>
      <c r="B76" s="116" t="s">
        <v>119</v>
      </c>
      <c r="C76" s="113">
        <v>171815442</v>
      </c>
      <c r="D76" s="113">
        <v>175908988</v>
      </c>
      <c r="E76" s="113">
        <f t="shared" si="9"/>
        <v>4093546</v>
      </c>
      <c r="F76" s="114">
        <f t="shared" si="10"/>
        <v>2.3825250817676797E-2</v>
      </c>
    </row>
    <row r="77" spans="1:6" x14ac:dyDescent="0.2">
      <c r="A77" s="115">
        <v>8</v>
      </c>
      <c r="B77" s="116" t="s">
        <v>120</v>
      </c>
      <c r="C77" s="113">
        <v>6144198</v>
      </c>
      <c r="D77" s="113">
        <v>6478293</v>
      </c>
      <c r="E77" s="113">
        <f t="shared" si="9"/>
        <v>334095</v>
      </c>
      <c r="F77" s="114">
        <f t="shared" si="10"/>
        <v>5.4375689064707876E-2</v>
      </c>
    </row>
    <row r="78" spans="1:6" x14ac:dyDescent="0.2">
      <c r="A78" s="115">
        <v>9</v>
      </c>
      <c r="B78" s="116" t="s">
        <v>121</v>
      </c>
      <c r="C78" s="113">
        <v>1726343</v>
      </c>
      <c r="D78" s="113">
        <v>1669285</v>
      </c>
      <c r="E78" s="113">
        <f t="shared" si="9"/>
        <v>-57058</v>
      </c>
      <c r="F78" s="114">
        <f t="shared" si="10"/>
        <v>-3.305136928177077E-2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230800</v>
      </c>
      <c r="D80" s="113">
        <v>238917</v>
      </c>
      <c r="E80" s="113">
        <f t="shared" si="9"/>
        <v>8117</v>
      </c>
      <c r="F80" s="114">
        <f t="shared" si="10"/>
        <v>3.5168977469670709E-2</v>
      </c>
    </row>
    <row r="81" spans="1:6" ht="15.75" x14ac:dyDescent="0.25">
      <c r="A81" s="117"/>
      <c r="B81" s="118" t="s">
        <v>133</v>
      </c>
      <c r="C81" s="119">
        <f>SUM(C70:C80)</f>
        <v>311169533</v>
      </c>
      <c r="D81" s="119">
        <f>SUM(D70:D80)</f>
        <v>316237207</v>
      </c>
      <c r="E81" s="119">
        <f t="shared" si="9"/>
        <v>5067674</v>
      </c>
      <c r="F81" s="120">
        <f t="shared" si="10"/>
        <v>1.628589390208713E-2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95324214</v>
      </c>
      <c r="D84" s="119">
        <f t="shared" si="11"/>
        <v>98044544</v>
      </c>
      <c r="E84" s="119">
        <f t="shared" ref="E84:E95" si="12">D84-C84</f>
        <v>2720330</v>
      </c>
      <c r="F84" s="120">
        <f t="shared" ref="F84:F95" si="13">IF(C84=0,0,E84/C84)</f>
        <v>2.85376599066424E-2</v>
      </c>
    </row>
    <row r="85" spans="1:6" ht="15.75" x14ac:dyDescent="0.25">
      <c r="A85" s="130">
        <v>2</v>
      </c>
      <c r="B85" s="122" t="s">
        <v>114</v>
      </c>
      <c r="C85" s="119">
        <f t="shared" si="11"/>
        <v>16746004</v>
      </c>
      <c r="D85" s="119">
        <f t="shared" si="11"/>
        <v>16494489</v>
      </c>
      <c r="E85" s="119">
        <f t="shared" si="12"/>
        <v>-251515</v>
      </c>
      <c r="F85" s="120">
        <f t="shared" si="13"/>
        <v>-1.5019404032149998E-2</v>
      </c>
    </row>
    <row r="86" spans="1:6" ht="15.75" x14ac:dyDescent="0.25">
      <c r="A86" s="130">
        <v>3</v>
      </c>
      <c r="B86" s="122" t="s">
        <v>115</v>
      </c>
      <c r="C86" s="119">
        <f t="shared" si="11"/>
        <v>33956050</v>
      </c>
      <c r="D86" s="119">
        <f t="shared" si="11"/>
        <v>38166531</v>
      </c>
      <c r="E86" s="119">
        <f t="shared" si="12"/>
        <v>4210481</v>
      </c>
      <c r="F86" s="120">
        <f t="shared" si="13"/>
        <v>0.12399796207156015</v>
      </c>
    </row>
    <row r="87" spans="1:6" ht="15.75" x14ac:dyDescent="0.25">
      <c r="A87" s="130">
        <v>4</v>
      </c>
      <c r="B87" s="122" t="s">
        <v>116</v>
      </c>
      <c r="C87" s="119">
        <f t="shared" si="11"/>
        <v>2863859</v>
      </c>
      <c r="D87" s="119">
        <f t="shared" si="11"/>
        <v>0</v>
      </c>
      <c r="E87" s="119">
        <f t="shared" si="12"/>
        <v>-2863859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358764</v>
      </c>
      <c r="D88" s="119">
        <f t="shared" si="11"/>
        <v>201507</v>
      </c>
      <c r="E88" s="119">
        <f t="shared" si="12"/>
        <v>-157257</v>
      </c>
      <c r="F88" s="120">
        <f t="shared" si="13"/>
        <v>-0.43832993276917415</v>
      </c>
    </row>
    <row r="89" spans="1:6" ht="15.75" x14ac:dyDescent="0.25">
      <c r="A89" s="130">
        <v>6</v>
      </c>
      <c r="B89" s="122" t="s">
        <v>118</v>
      </c>
      <c r="C89" s="119">
        <f t="shared" si="11"/>
        <v>84207951</v>
      </c>
      <c r="D89" s="119">
        <f t="shared" si="11"/>
        <v>88059190</v>
      </c>
      <c r="E89" s="119">
        <f t="shared" si="12"/>
        <v>3851239</v>
      </c>
      <c r="F89" s="120">
        <f t="shared" si="13"/>
        <v>4.5734861782826187E-2</v>
      </c>
    </row>
    <row r="90" spans="1:6" ht="15.75" x14ac:dyDescent="0.25">
      <c r="A90" s="130">
        <v>7</v>
      </c>
      <c r="B90" s="122" t="s">
        <v>119</v>
      </c>
      <c r="C90" s="119">
        <f t="shared" si="11"/>
        <v>218265290</v>
      </c>
      <c r="D90" s="119">
        <f t="shared" si="11"/>
        <v>226159165</v>
      </c>
      <c r="E90" s="119">
        <f t="shared" si="12"/>
        <v>7893875</v>
      </c>
      <c r="F90" s="120">
        <f t="shared" si="13"/>
        <v>3.6166423896351087E-2</v>
      </c>
    </row>
    <row r="91" spans="1:6" ht="15.75" x14ac:dyDescent="0.25">
      <c r="A91" s="130">
        <v>8</v>
      </c>
      <c r="B91" s="122" t="s">
        <v>120</v>
      </c>
      <c r="C91" s="119">
        <f t="shared" si="11"/>
        <v>9472151</v>
      </c>
      <c r="D91" s="119">
        <f t="shared" si="11"/>
        <v>8193190</v>
      </c>
      <c r="E91" s="119">
        <f t="shared" si="12"/>
        <v>-1278961</v>
      </c>
      <c r="F91" s="120">
        <f t="shared" si="13"/>
        <v>-0.13502329090826359</v>
      </c>
    </row>
    <row r="92" spans="1:6" ht="15.75" x14ac:dyDescent="0.25">
      <c r="A92" s="130">
        <v>9</v>
      </c>
      <c r="B92" s="122" t="s">
        <v>121</v>
      </c>
      <c r="C92" s="119">
        <f t="shared" si="11"/>
        <v>2010566</v>
      </c>
      <c r="D92" s="119">
        <f t="shared" si="11"/>
        <v>2091273</v>
      </c>
      <c r="E92" s="119">
        <f t="shared" si="12"/>
        <v>80707</v>
      </c>
      <c r="F92" s="120">
        <f t="shared" si="13"/>
        <v>4.0141432810462327E-2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584208</v>
      </c>
      <c r="D94" s="119">
        <f t="shared" si="11"/>
        <v>556015</v>
      </c>
      <c r="E94" s="119">
        <f t="shared" si="12"/>
        <v>-28193</v>
      </c>
      <c r="F94" s="120">
        <f t="shared" si="13"/>
        <v>-4.8258496973680606E-2</v>
      </c>
    </row>
    <row r="95" spans="1:6" ht="18.75" customHeight="1" thickBot="1" x14ac:dyDescent="0.3">
      <c r="A95" s="131"/>
      <c r="B95" s="132" t="s">
        <v>134</v>
      </c>
      <c r="C95" s="128">
        <f>SUM(C84:C94)</f>
        <v>463789057</v>
      </c>
      <c r="D95" s="128">
        <f>SUM(D84:D94)</f>
        <v>477965904</v>
      </c>
      <c r="E95" s="128">
        <f t="shared" si="12"/>
        <v>14176847</v>
      </c>
      <c r="F95" s="129">
        <f t="shared" si="13"/>
        <v>3.0567446096512796E-2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4387</v>
      </c>
      <c r="D100" s="133">
        <v>4333</v>
      </c>
      <c r="E100" s="133">
        <f t="shared" ref="E100:E111" si="14">D100-C100</f>
        <v>-54</v>
      </c>
      <c r="F100" s="114">
        <f t="shared" ref="F100:F111" si="15">IF(C100=0,0,E100/C100)</f>
        <v>-1.2309095053567358E-2</v>
      </c>
    </row>
    <row r="101" spans="1:6" x14ac:dyDescent="0.2">
      <c r="A101" s="115">
        <v>2</v>
      </c>
      <c r="B101" s="116" t="s">
        <v>114</v>
      </c>
      <c r="C101" s="133">
        <v>757</v>
      </c>
      <c r="D101" s="133">
        <v>785</v>
      </c>
      <c r="E101" s="133">
        <f t="shared" si="14"/>
        <v>28</v>
      </c>
      <c r="F101" s="114">
        <f t="shared" si="15"/>
        <v>3.6988110964332896E-2</v>
      </c>
    </row>
    <row r="102" spans="1:6" x14ac:dyDescent="0.2">
      <c r="A102" s="115">
        <v>3</v>
      </c>
      <c r="B102" s="116" t="s">
        <v>115</v>
      </c>
      <c r="C102" s="133">
        <v>2898</v>
      </c>
      <c r="D102" s="133">
        <v>3552</v>
      </c>
      <c r="E102" s="133">
        <f t="shared" si="14"/>
        <v>654</v>
      </c>
      <c r="F102" s="114">
        <f t="shared" si="15"/>
        <v>0.22567287784679088</v>
      </c>
    </row>
    <row r="103" spans="1:6" x14ac:dyDescent="0.2">
      <c r="A103" s="115">
        <v>4</v>
      </c>
      <c r="B103" s="116" t="s">
        <v>116</v>
      </c>
      <c r="C103" s="133">
        <v>191</v>
      </c>
      <c r="D103" s="133">
        <v>0</v>
      </c>
      <c r="E103" s="133">
        <f t="shared" si="14"/>
        <v>-191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14</v>
      </c>
      <c r="D104" s="133">
        <v>18</v>
      </c>
      <c r="E104" s="133">
        <f t="shared" si="14"/>
        <v>4</v>
      </c>
      <c r="F104" s="114">
        <f t="shared" si="15"/>
        <v>0.2857142857142857</v>
      </c>
    </row>
    <row r="105" spans="1:6" x14ac:dyDescent="0.2">
      <c r="A105" s="115">
        <v>6</v>
      </c>
      <c r="B105" s="116" t="s">
        <v>118</v>
      </c>
      <c r="C105" s="133">
        <v>1538</v>
      </c>
      <c r="D105" s="133">
        <v>1633</v>
      </c>
      <c r="E105" s="133">
        <f t="shared" si="14"/>
        <v>95</v>
      </c>
      <c r="F105" s="114">
        <f t="shared" si="15"/>
        <v>6.1768530559167749E-2</v>
      </c>
    </row>
    <row r="106" spans="1:6" x14ac:dyDescent="0.2">
      <c r="A106" s="115">
        <v>7</v>
      </c>
      <c r="B106" s="116" t="s">
        <v>119</v>
      </c>
      <c r="C106" s="133">
        <v>3964</v>
      </c>
      <c r="D106" s="133">
        <v>4073</v>
      </c>
      <c r="E106" s="133">
        <f t="shared" si="14"/>
        <v>109</v>
      </c>
      <c r="F106" s="114">
        <f t="shared" si="15"/>
        <v>2.749747729566095E-2</v>
      </c>
    </row>
    <row r="107" spans="1:6" x14ac:dyDescent="0.2">
      <c r="A107" s="115">
        <v>8</v>
      </c>
      <c r="B107" s="116" t="s">
        <v>120</v>
      </c>
      <c r="C107" s="133">
        <v>62</v>
      </c>
      <c r="D107" s="133">
        <v>49</v>
      </c>
      <c r="E107" s="133">
        <f t="shared" si="14"/>
        <v>-13</v>
      </c>
      <c r="F107" s="114">
        <f t="shared" si="15"/>
        <v>-0.20967741935483872</v>
      </c>
    </row>
    <row r="108" spans="1:6" x14ac:dyDescent="0.2">
      <c r="A108" s="115">
        <v>9</v>
      </c>
      <c r="B108" s="116" t="s">
        <v>121</v>
      </c>
      <c r="C108" s="133">
        <v>399</v>
      </c>
      <c r="D108" s="133">
        <v>359</v>
      </c>
      <c r="E108" s="133">
        <f t="shared" si="14"/>
        <v>-40</v>
      </c>
      <c r="F108" s="114">
        <f t="shared" si="15"/>
        <v>-0.10025062656641603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84</v>
      </c>
      <c r="D110" s="133">
        <v>69</v>
      </c>
      <c r="E110" s="133">
        <f t="shared" si="14"/>
        <v>-15</v>
      </c>
      <c r="F110" s="114">
        <f t="shared" si="15"/>
        <v>-0.17857142857142858</v>
      </c>
    </row>
    <row r="111" spans="1:6" ht="15.75" x14ac:dyDescent="0.25">
      <c r="A111" s="117"/>
      <c r="B111" s="118" t="s">
        <v>138</v>
      </c>
      <c r="C111" s="134">
        <f>SUM(C100:C110)</f>
        <v>14294</v>
      </c>
      <c r="D111" s="134">
        <f>SUM(D100:D110)</f>
        <v>14871</v>
      </c>
      <c r="E111" s="134">
        <f t="shared" si="14"/>
        <v>577</v>
      </c>
      <c r="F111" s="120">
        <f t="shared" si="15"/>
        <v>4.0366587379319994E-2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27665</v>
      </c>
      <c r="D113" s="133">
        <v>27017</v>
      </c>
      <c r="E113" s="133">
        <f t="shared" ref="E113:E124" si="16">D113-C113</f>
        <v>-648</v>
      </c>
      <c r="F113" s="114">
        <f t="shared" ref="F113:F124" si="17">IF(C113=0,0,E113/C113)</f>
        <v>-2.3423097776974516E-2</v>
      </c>
    </row>
    <row r="114" spans="1:6" x14ac:dyDescent="0.2">
      <c r="A114" s="115">
        <v>2</v>
      </c>
      <c r="B114" s="116" t="s">
        <v>114</v>
      </c>
      <c r="C114" s="133">
        <v>4356</v>
      </c>
      <c r="D114" s="133">
        <v>4529</v>
      </c>
      <c r="E114" s="133">
        <f t="shared" si="16"/>
        <v>173</v>
      </c>
      <c r="F114" s="114">
        <f t="shared" si="17"/>
        <v>3.9715335169880628E-2</v>
      </c>
    </row>
    <row r="115" spans="1:6" x14ac:dyDescent="0.2">
      <c r="A115" s="115">
        <v>3</v>
      </c>
      <c r="B115" s="116" t="s">
        <v>115</v>
      </c>
      <c r="C115" s="133">
        <v>12977</v>
      </c>
      <c r="D115" s="133">
        <v>16068</v>
      </c>
      <c r="E115" s="133">
        <f t="shared" si="16"/>
        <v>3091</v>
      </c>
      <c r="F115" s="114">
        <f t="shared" si="17"/>
        <v>0.2381906449872852</v>
      </c>
    </row>
    <row r="116" spans="1:6" x14ac:dyDescent="0.2">
      <c r="A116" s="115">
        <v>4</v>
      </c>
      <c r="B116" s="116" t="s">
        <v>116</v>
      </c>
      <c r="C116" s="133">
        <v>793</v>
      </c>
      <c r="D116" s="133">
        <v>0</v>
      </c>
      <c r="E116" s="133">
        <f t="shared" si="16"/>
        <v>-793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61</v>
      </c>
      <c r="D117" s="133">
        <v>60</v>
      </c>
      <c r="E117" s="133">
        <f t="shared" si="16"/>
        <v>-1</v>
      </c>
      <c r="F117" s="114">
        <f t="shared" si="17"/>
        <v>-1.6393442622950821E-2</v>
      </c>
    </row>
    <row r="118" spans="1:6" x14ac:dyDescent="0.2">
      <c r="A118" s="115">
        <v>6</v>
      </c>
      <c r="B118" s="116" t="s">
        <v>118</v>
      </c>
      <c r="C118" s="133">
        <v>6249</v>
      </c>
      <c r="D118" s="133">
        <v>6306</v>
      </c>
      <c r="E118" s="133">
        <f t="shared" si="16"/>
        <v>57</v>
      </c>
      <c r="F118" s="114">
        <f t="shared" si="17"/>
        <v>9.1214594335093623E-3</v>
      </c>
    </row>
    <row r="119" spans="1:6" x14ac:dyDescent="0.2">
      <c r="A119" s="115">
        <v>7</v>
      </c>
      <c r="B119" s="116" t="s">
        <v>119</v>
      </c>
      <c r="C119" s="133">
        <v>16221</v>
      </c>
      <c r="D119" s="133">
        <v>15540</v>
      </c>
      <c r="E119" s="133">
        <f t="shared" si="16"/>
        <v>-681</v>
      </c>
      <c r="F119" s="114">
        <f t="shared" si="17"/>
        <v>-4.1982615128537085E-2</v>
      </c>
    </row>
    <row r="120" spans="1:6" x14ac:dyDescent="0.2">
      <c r="A120" s="115">
        <v>8</v>
      </c>
      <c r="B120" s="116" t="s">
        <v>120</v>
      </c>
      <c r="C120" s="133">
        <v>308</v>
      </c>
      <c r="D120" s="133">
        <v>184</v>
      </c>
      <c r="E120" s="133">
        <f t="shared" si="16"/>
        <v>-124</v>
      </c>
      <c r="F120" s="114">
        <f t="shared" si="17"/>
        <v>-0.40259740259740262</v>
      </c>
    </row>
    <row r="121" spans="1:6" x14ac:dyDescent="0.2">
      <c r="A121" s="115">
        <v>9</v>
      </c>
      <c r="B121" s="116" t="s">
        <v>121</v>
      </c>
      <c r="C121" s="133">
        <v>1874</v>
      </c>
      <c r="D121" s="133">
        <v>1614</v>
      </c>
      <c r="E121" s="133">
        <f t="shared" si="16"/>
        <v>-260</v>
      </c>
      <c r="F121" s="114">
        <f t="shared" si="17"/>
        <v>-0.13874066168623267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407</v>
      </c>
      <c r="D123" s="133">
        <v>338</v>
      </c>
      <c r="E123" s="133">
        <f t="shared" si="16"/>
        <v>-69</v>
      </c>
      <c r="F123" s="114">
        <f t="shared" si="17"/>
        <v>-0.16953316953316952</v>
      </c>
    </row>
    <row r="124" spans="1:6" ht="15.75" x14ac:dyDescent="0.25">
      <c r="A124" s="117"/>
      <c r="B124" s="118" t="s">
        <v>140</v>
      </c>
      <c r="C124" s="134">
        <f>SUM(C113:C123)</f>
        <v>70911</v>
      </c>
      <c r="D124" s="134">
        <f>SUM(D113:D123)</f>
        <v>71656</v>
      </c>
      <c r="E124" s="134">
        <f t="shared" si="16"/>
        <v>745</v>
      </c>
      <c r="F124" s="120">
        <f t="shared" si="17"/>
        <v>1.0506127399134126E-2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73851</v>
      </c>
      <c r="D126" s="133">
        <v>80103</v>
      </c>
      <c r="E126" s="133">
        <f t="shared" ref="E126:E137" si="18">D126-C126</f>
        <v>6252</v>
      </c>
      <c r="F126" s="114">
        <f t="shared" ref="F126:F137" si="19">IF(C126=0,0,E126/C126)</f>
        <v>8.4656944388024541E-2</v>
      </c>
    </row>
    <row r="127" spans="1:6" x14ac:dyDescent="0.2">
      <c r="A127" s="115">
        <v>2</v>
      </c>
      <c r="B127" s="116" t="s">
        <v>114</v>
      </c>
      <c r="C127" s="133">
        <v>14976</v>
      </c>
      <c r="D127" s="133">
        <v>17551</v>
      </c>
      <c r="E127" s="133">
        <f t="shared" si="18"/>
        <v>2575</v>
      </c>
      <c r="F127" s="114">
        <f t="shared" si="19"/>
        <v>0.1719417735042735</v>
      </c>
    </row>
    <row r="128" spans="1:6" x14ac:dyDescent="0.2">
      <c r="A128" s="115">
        <v>3</v>
      </c>
      <c r="B128" s="116" t="s">
        <v>115</v>
      </c>
      <c r="C128" s="133">
        <v>42929</v>
      </c>
      <c r="D128" s="133">
        <v>54846</v>
      </c>
      <c r="E128" s="133">
        <f t="shared" si="18"/>
        <v>11917</v>
      </c>
      <c r="F128" s="114">
        <f t="shared" si="19"/>
        <v>0.27759789419739572</v>
      </c>
    </row>
    <row r="129" spans="1:6" x14ac:dyDescent="0.2">
      <c r="A129" s="115">
        <v>4</v>
      </c>
      <c r="B129" s="116" t="s">
        <v>116</v>
      </c>
      <c r="C129" s="133">
        <v>7238</v>
      </c>
      <c r="D129" s="133">
        <v>0</v>
      </c>
      <c r="E129" s="133">
        <f t="shared" si="18"/>
        <v>-7238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285</v>
      </c>
      <c r="D130" s="133">
        <v>286</v>
      </c>
      <c r="E130" s="133">
        <f t="shared" si="18"/>
        <v>1</v>
      </c>
      <c r="F130" s="114">
        <f t="shared" si="19"/>
        <v>3.5087719298245615E-3</v>
      </c>
    </row>
    <row r="131" spans="1:6" x14ac:dyDescent="0.2">
      <c r="A131" s="115">
        <v>6</v>
      </c>
      <c r="B131" s="116" t="s">
        <v>118</v>
      </c>
      <c r="C131" s="133">
        <v>51462</v>
      </c>
      <c r="D131" s="133">
        <v>51935</v>
      </c>
      <c r="E131" s="133">
        <f t="shared" si="18"/>
        <v>473</v>
      </c>
      <c r="F131" s="114">
        <f t="shared" si="19"/>
        <v>9.1912479110800201E-3</v>
      </c>
    </row>
    <row r="132" spans="1:6" x14ac:dyDescent="0.2">
      <c r="A132" s="115">
        <v>7</v>
      </c>
      <c r="B132" s="116" t="s">
        <v>119</v>
      </c>
      <c r="C132" s="133">
        <v>144162</v>
      </c>
      <c r="D132" s="133">
        <v>151899</v>
      </c>
      <c r="E132" s="133">
        <f t="shared" si="18"/>
        <v>7737</v>
      </c>
      <c r="F132" s="114">
        <f t="shared" si="19"/>
        <v>5.3668789278728098E-2</v>
      </c>
    </row>
    <row r="133" spans="1:6" x14ac:dyDescent="0.2">
      <c r="A133" s="115">
        <v>8</v>
      </c>
      <c r="B133" s="116" t="s">
        <v>120</v>
      </c>
      <c r="C133" s="133">
        <v>2320</v>
      </c>
      <c r="D133" s="133">
        <v>2034</v>
      </c>
      <c r="E133" s="133">
        <f t="shared" si="18"/>
        <v>-286</v>
      </c>
      <c r="F133" s="114">
        <f t="shared" si="19"/>
        <v>-0.12327586206896551</v>
      </c>
    </row>
    <row r="134" spans="1:6" x14ac:dyDescent="0.2">
      <c r="A134" s="115">
        <v>9</v>
      </c>
      <c r="B134" s="116" t="s">
        <v>121</v>
      </c>
      <c r="C134" s="133">
        <v>22803</v>
      </c>
      <c r="D134" s="133">
        <v>23192</v>
      </c>
      <c r="E134" s="133">
        <f t="shared" si="18"/>
        <v>389</v>
      </c>
      <c r="F134" s="114">
        <f t="shared" si="19"/>
        <v>1.7059158882603166E-2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397</v>
      </c>
      <c r="D136" s="133">
        <v>506</v>
      </c>
      <c r="E136" s="133">
        <f t="shared" si="18"/>
        <v>109</v>
      </c>
      <c r="F136" s="114">
        <f t="shared" si="19"/>
        <v>0.27455919395465994</v>
      </c>
    </row>
    <row r="137" spans="1:6" ht="15.75" x14ac:dyDescent="0.25">
      <c r="A137" s="117"/>
      <c r="B137" s="118" t="s">
        <v>142</v>
      </c>
      <c r="C137" s="134">
        <f>SUM(C126:C136)</f>
        <v>360423</v>
      </c>
      <c r="D137" s="134">
        <f>SUM(D126:D136)</f>
        <v>382352</v>
      </c>
      <c r="E137" s="134">
        <f t="shared" si="18"/>
        <v>21929</v>
      </c>
      <c r="F137" s="120">
        <f t="shared" si="19"/>
        <v>6.0842399069981658E-2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47620524</v>
      </c>
      <c r="D142" s="113">
        <v>50906810</v>
      </c>
      <c r="E142" s="113">
        <f t="shared" ref="E142:E153" si="20">D142-C142</f>
        <v>3286286</v>
      </c>
      <c r="F142" s="114">
        <f t="shared" ref="F142:F153" si="21">IF(C142=0,0,E142/C142)</f>
        <v>6.900986641810157E-2</v>
      </c>
    </row>
    <row r="143" spans="1:6" x14ac:dyDescent="0.2">
      <c r="A143" s="115">
        <v>2</v>
      </c>
      <c r="B143" s="116" t="s">
        <v>114</v>
      </c>
      <c r="C143" s="113">
        <v>9038166</v>
      </c>
      <c r="D143" s="113">
        <v>10803686</v>
      </c>
      <c r="E143" s="113">
        <f t="shared" si="20"/>
        <v>1765520</v>
      </c>
      <c r="F143" s="114">
        <f t="shared" si="21"/>
        <v>0.19534051487879289</v>
      </c>
    </row>
    <row r="144" spans="1:6" x14ac:dyDescent="0.2">
      <c r="A144" s="115">
        <v>3</v>
      </c>
      <c r="B144" s="116" t="s">
        <v>115</v>
      </c>
      <c r="C144" s="113">
        <v>44126218</v>
      </c>
      <c r="D144" s="113">
        <v>56605614</v>
      </c>
      <c r="E144" s="113">
        <f t="shared" si="20"/>
        <v>12479396</v>
      </c>
      <c r="F144" s="114">
        <f t="shared" si="21"/>
        <v>0.28281136624942566</v>
      </c>
    </row>
    <row r="145" spans="1:6" x14ac:dyDescent="0.2">
      <c r="A145" s="115">
        <v>4</v>
      </c>
      <c r="B145" s="116" t="s">
        <v>116</v>
      </c>
      <c r="C145" s="113">
        <v>5846696</v>
      </c>
      <c r="D145" s="113">
        <v>0</v>
      </c>
      <c r="E145" s="113">
        <f t="shared" si="20"/>
        <v>-5846696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319890</v>
      </c>
      <c r="D146" s="113">
        <v>318939</v>
      </c>
      <c r="E146" s="113">
        <f t="shared" si="20"/>
        <v>-951</v>
      </c>
      <c r="F146" s="114">
        <f t="shared" si="21"/>
        <v>-2.9728969333208291E-3</v>
      </c>
    </row>
    <row r="147" spans="1:6" x14ac:dyDescent="0.2">
      <c r="A147" s="115">
        <v>6</v>
      </c>
      <c r="B147" s="116" t="s">
        <v>118</v>
      </c>
      <c r="C147" s="113">
        <v>28064934</v>
      </c>
      <c r="D147" s="113">
        <v>28958446</v>
      </c>
      <c r="E147" s="113">
        <f t="shared" si="20"/>
        <v>893512</v>
      </c>
      <c r="F147" s="114">
        <f t="shared" si="21"/>
        <v>3.183730986148052E-2</v>
      </c>
    </row>
    <row r="148" spans="1:6" x14ac:dyDescent="0.2">
      <c r="A148" s="115">
        <v>7</v>
      </c>
      <c r="B148" s="116" t="s">
        <v>119</v>
      </c>
      <c r="C148" s="113">
        <v>52151503</v>
      </c>
      <c r="D148" s="113">
        <v>57805986</v>
      </c>
      <c r="E148" s="113">
        <f t="shared" si="20"/>
        <v>5654483</v>
      </c>
      <c r="F148" s="114">
        <f t="shared" si="21"/>
        <v>0.10842416181178902</v>
      </c>
    </row>
    <row r="149" spans="1:6" x14ac:dyDescent="0.2">
      <c r="A149" s="115">
        <v>8</v>
      </c>
      <c r="B149" s="116" t="s">
        <v>120</v>
      </c>
      <c r="C149" s="113">
        <v>3342466</v>
      </c>
      <c r="D149" s="113">
        <v>3003515</v>
      </c>
      <c r="E149" s="113">
        <f t="shared" si="20"/>
        <v>-338951</v>
      </c>
      <c r="F149" s="114">
        <f t="shared" si="21"/>
        <v>-0.10140746383059693</v>
      </c>
    </row>
    <row r="150" spans="1:6" x14ac:dyDescent="0.2">
      <c r="A150" s="115">
        <v>9</v>
      </c>
      <c r="B150" s="116" t="s">
        <v>121</v>
      </c>
      <c r="C150" s="113">
        <v>30587653</v>
      </c>
      <c r="D150" s="113">
        <v>35087365</v>
      </c>
      <c r="E150" s="113">
        <f t="shared" si="20"/>
        <v>4499712</v>
      </c>
      <c r="F150" s="114">
        <f t="shared" si="21"/>
        <v>0.14710876967252112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1384316</v>
      </c>
      <c r="D152" s="113">
        <v>1902699</v>
      </c>
      <c r="E152" s="113">
        <f t="shared" si="20"/>
        <v>518383</v>
      </c>
      <c r="F152" s="114">
        <f t="shared" si="21"/>
        <v>0.37446869067467253</v>
      </c>
    </row>
    <row r="153" spans="1:6" ht="33.75" customHeight="1" x14ac:dyDescent="0.25">
      <c r="A153" s="117"/>
      <c r="B153" s="118" t="s">
        <v>146</v>
      </c>
      <c r="C153" s="119">
        <f>SUM(C142:C152)</f>
        <v>222482366</v>
      </c>
      <c r="D153" s="119">
        <f>SUM(D142:D152)</f>
        <v>245393060</v>
      </c>
      <c r="E153" s="119">
        <f t="shared" si="20"/>
        <v>22910694</v>
      </c>
      <c r="F153" s="120">
        <f t="shared" si="21"/>
        <v>0.10297757261355266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5489219</v>
      </c>
      <c r="D155" s="113">
        <v>4799225</v>
      </c>
      <c r="E155" s="113">
        <f t="shared" ref="E155:E166" si="22">D155-C155</f>
        <v>-689994</v>
      </c>
      <c r="F155" s="114">
        <f t="shared" ref="F155:F166" si="23">IF(C155=0,0,E155/C155)</f>
        <v>-0.12569984910421683</v>
      </c>
    </row>
    <row r="156" spans="1:6" x14ac:dyDescent="0.2">
      <c r="A156" s="115">
        <v>2</v>
      </c>
      <c r="B156" s="116" t="s">
        <v>114</v>
      </c>
      <c r="C156" s="113">
        <v>1375633</v>
      </c>
      <c r="D156" s="113">
        <v>720939</v>
      </c>
      <c r="E156" s="113">
        <f t="shared" si="22"/>
        <v>-654694</v>
      </c>
      <c r="F156" s="114">
        <f t="shared" si="23"/>
        <v>-0.47592199372943217</v>
      </c>
    </row>
    <row r="157" spans="1:6" x14ac:dyDescent="0.2">
      <c r="A157" s="115">
        <v>3</v>
      </c>
      <c r="B157" s="116" t="s">
        <v>115</v>
      </c>
      <c r="C157" s="113">
        <v>4517129</v>
      </c>
      <c r="D157" s="113">
        <v>4667027</v>
      </c>
      <c r="E157" s="113">
        <f t="shared" si="22"/>
        <v>149898</v>
      </c>
      <c r="F157" s="114">
        <f t="shared" si="23"/>
        <v>3.3184352273313428E-2</v>
      </c>
    </row>
    <row r="158" spans="1:6" x14ac:dyDescent="0.2">
      <c r="A158" s="115">
        <v>4</v>
      </c>
      <c r="B158" s="116" t="s">
        <v>116</v>
      </c>
      <c r="C158" s="113">
        <v>219281</v>
      </c>
      <c r="D158" s="113">
        <v>0</v>
      </c>
      <c r="E158" s="113">
        <f t="shared" si="22"/>
        <v>-219281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43534</v>
      </c>
      <c r="D159" s="113">
        <v>45186</v>
      </c>
      <c r="E159" s="113">
        <f t="shared" si="22"/>
        <v>1652</v>
      </c>
      <c r="F159" s="114">
        <f t="shared" si="23"/>
        <v>3.7947351495382919E-2</v>
      </c>
    </row>
    <row r="160" spans="1:6" x14ac:dyDescent="0.2">
      <c r="A160" s="115">
        <v>6</v>
      </c>
      <c r="B160" s="116" t="s">
        <v>118</v>
      </c>
      <c r="C160" s="113">
        <v>15431118</v>
      </c>
      <c r="D160" s="113">
        <v>15881090</v>
      </c>
      <c r="E160" s="113">
        <f t="shared" si="22"/>
        <v>449972</v>
      </c>
      <c r="F160" s="114">
        <f t="shared" si="23"/>
        <v>2.9160038825443498E-2</v>
      </c>
    </row>
    <row r="161" spans="1:6" x14ac:dyDescent="0.2">
      <c r="A161" s="115">
        <v>7</v>
      </c>
      <c r="B161" s="116" t="s">
        <v>119</v>
      </c>
      <c r="C161" s="113">
        <v>27381864</v>
      </c>
      <c r="D161" s="113">
        <v>28929210</v>
      </c>
      <c r="E161" s="113">
        <f t="shared" si="22"/>
        <v>1547346</v>
      </c>
      <c r="F161" s="114">
        <f t="shared" si="23"/>
        <v>5.6509885521307097E-2</v>
      </c>
    </row>
    <row r="162" spans="1:6" x14ac:dyDescent="0.2">
      <c r="A162" s="115">
        <v>8</v>
      </c>
      <c r="B162" s="116" t="s">
        <v>120</v>
      </c>
      <c r="C162" s="113">
        <v>2567818</v>
      </c>
      <c r="D162" s="113">
        <v>2195193</v>
      </c>
      <c r="E162" s="113">
        <f t="shared" si="22"/>
        <v>-372625</v>
      </c>
      <c r="F162" s="114">
        <f t="shared" si="23"/>
        <v>-0.14511347766858868</v>
      </c>
    </row>
    <row r="163" spans="1:6" x14ac:dyDescent="0.2">
      <c r="A163" s="115">
        <v>9</v>
      </c>
      <c r="B163" s="116" t="s">
        <v>121</v>
      </c>
      <c r="C163" s="113">
        <v>305471</v>
      </c>
      <c r="D163" s="113">
        <v>273586</v>
      </c>
      <c r="E163" s="113">
        <f t="shared" si="22"/>
        <v>-31885</v>
      </c>
      <c r="F163" s="114">
        <f t="shared" si="23"/>
        <v>-0.10437979382658255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175867</v>
      </c>
      <c r="D165" s="113">
        <v>116102</v>
      </c>
      <c r="E165" s="113">
        <f t="shared" si="22"/>
        <v>-59765</v>
      </c>
      <c r="F165" s="114">
        <f t="shared" si="23"/>
        <v>-0.33983066749304874</v>
      </c>
    </row>
    <row r="166" spans="1:6" ht="33.75" customHeight="1" x14ac:dyDescent="0.25">
      <c r="A166" s="117"/>
      <c r="B166" s="118" t="s">
        <v>148</v>
      </c>
      <c r="C166" s="119">
        <f>SUM(C155:C165)</f>
        <v>57506934</v>
      </c>
      <c r="D166" s="119">
        <f>SUM(D155:D165)</f>
        <v>57627558</v>
      </c>
      <c r="E166" s="119">
        <f t="shared" si="22"/>
        <v>120624</v>
      </c>
      <c r="F166" s="120">
        <f t="shared" si="23"/>
        <v>2.0975557486684997E-3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6185</v>
      </c>
      <c r="D168" s="133">
        <v>6015</v>
      </c>
      <c r="E168" s="133">
        <f t="shared" ref="E168:E179" si="24">D168-C168</f>
        <v>-170</v>
      </c>
      <c r="F168" s="114">
        <f t="shared" ref="F168:F179" si="25">IF(C168=0,0,E168/C168)</f>
        <v>-2.7485852869846401E-2</v>
      </c>
    </row>
    <row r="169" spans="1:6" x14ac:dyDescent="0.2">
      <c r="A169" s="115">
        <v>2</v>
      </c>
      <c r="B169" s="116" t="s">
        <v>114</v>
      </c>
      <c r="C169" s="133">
        <v>1158</v>
      </c>
      <c r="D169" s="133">
        <v>1261</v>
      </c>
      <c r="E169" s="133">
        <f t="shared" si="24"/>
        <v>103</v>
      </c>
      <c r="F169" s="114">
        <f t="shared" si="25"/>
        <v>8.8946459412780662E-2</v>
      </c>
    </row>
    <row r="170" spans="1:6" x14ac:dyDescent="0.2">
      <c r="A170" s="115">
        <v>3</v>
      </c>
      <c r="B170" s="116" t="s">
        <v>115</v>
      </c>
      <c r="C170" s="133">
        <v>11048</v>
      </c>
      <c r="D170" s="133">
        <v>13415</v>
      </c>
      <c r="E170" s="133">
        <f t="shared" si="24"/>
        <v>2367</v>
      </c>
      <c r="F170" s="114">
        <f t="shared" si="25"/>
        <v>0.21424692251991312</v>
      </c>
    </row>
    <row r="171" spans="1:6" x14ac:dyDescent="0.2">
      <c r="A171" s="115">
        <v>4</v>
      </c>
      <c r="B171" s="116" t="s">
        <v>116</v>
      </c>
      <c r="C171" s="133">
        <v>2117</v>
      </c>
      <c r="D171" s="133">
        <v>0</v>
      </c>
      <c r="E171" s="133">
        <f t="shared" si="24"/>
        <v>-2117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60</v>
      </c>
      <c r="D172" s="133">
        <v>68</v>
      </c>
      <c r="E172" s="133">
        <f t="shared" si="24"/>
        <v>8</v>
      </c>
      <c r="F172" s="114">
        <f t="shared" si="25"/>
        <v>0.13333333333333333</v>
      </c>
    </row>
    <row r="173" spans="1:6" x14ac:dyDescent="0.2">
      <c r="A173" s="115">
        <v>6</v>
      </c>
      <c r="B173" s="116" t="s">
        <v>118</v>
      </c>
      <c r="C173" s="133">
        <v>5029</v>
      </c>
      <c r="D173" s="133">
        <v>4830</v>
      </c>
      <c r="E173" s="133">
        <f t="shared" si="24"/>
        <v>-199</v>
      </c>
      <c r="F173" s="114">
        <f t="shared" si="25"/>
        <v>-3.9570491151322329E-2</v>
      </c>
    </row>
    <row r="174" spans="1:6" x14ac:dyDescent="0.2">
      <c r="A174" s="115">
        <v>7</v>
      </c>
      <c r="B174" s="116" t="s">
        <v>119</v>
      </c>
      <c r="C174" s="133">
        <v>9877</v>
      </c>
      <c r="D174" s="133">
        <v>9478</v>
      </c>
      <c r="E174" s="133">
        <f t="shared" si="24"/>
        <v>-399</v>
      </c>
      <c r="F174" s="114">
        <f t="shared" si="25"/>
        <v>-4.0396881644223954E-2</v>
      </c>
    </row>
    <row r="175" spans="1:6" x14ac:dyDescent="0.2">
      <c r="A175" s="115">
        <v>8</v>
      </c>
      <c r="B175" s="116" t="s">
        <v>120</v>
      </c>
      <c r="C175" s="133">
        <v>891</v>
      </c>
      <c r="D175" s="133">
        <v>697</v>
      </c>
      <c r="E175" s="133">
        <f t="shared" si="24"/>
        <v>-194</v>
      </c>
      <c r="F175" s="114">
        <f t="shared" si="25"/>
        <v>-0.21773288439955107</v>
      </c>
    </row>
    <row r="176" spans="1:6" x14ac:dyDescent="0.2">
      <c r="A176" s="115">
        <v>9</v>
      </c>
      <c r="B176" s="116" t="s">
        <v>121</v>
      </c>
      <c r="C176" s="133">
        <v>6528</v>
      </c>
      <c r="D176" s="133">
        <v>6744</v>
      </c>
      <c r="E176" s="133">
        <f t="shared" si="24"/>
        <v>216</v>
      </c>
      <c r="F176" s="114">
        <f t="shared" si="25"/>
        <v>3.3088235294117647E-2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296</v>
      </c>
      <c r="D178" s="133">
        <v>356</v>
      </c>
      <c r="E178" s="133">
        <f t="shared" si="24"/>
        <v>60</v>
      </c>
      <c r="F178" s="114">
        <f t="shared" si="25"/>
        <v>0.20270270270270271</v>
      </c>
    </row>
    <row r="179" spans="1:6" ht="33.75" customHeight="1" x14ac:dyDescent="0.25">
      <c r="A179" s="117"/>
      <c r="B179" s="118" t="s">
        <v>150</v>
      </c>
      <c r="C179" s="134">
        <f>SUM(C168:C178)</f>
        <v>43189</v>
      </c>
      <c r="D179" s="134">
        <f>SUM(D168:D178)</f>
        <v>42864</v>
      </c>
      <c r="E179" s="134">
        <f t="shared" si="24"/>
        <v>-325</v>
      </c>
      <c r="F179" s="120">
        <f t="shared" si="25"/>
        <v>-7.5250642524716943E-3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55627968</v>
      </c>
      <c r="D15" s="157">
        <v>57236804</v>
      </c>
      <c r="E15" s="157">
        <f>+D15-C15</f>
        <v>1608836</v>
      </c>
      <c r="F15" s="161">
        <f>IF(C15=0,0,E15/C15)</f>
        <v>2.8921351216711709E-2</v>
      </c>
    </row>
    <row r="16" spans="1:6" ht="15" customHeight="1" x14ac:dyDescent="0.2">
      <c r="A16" s="147">
        <v>2</v>
      </c>
      <c r="B16" s="160" t="s">
        <v>157</v>
      </c>
      <c r="C16" s="157">
        <v>22560307</v>
      </c>
      <c r="D16" s="157">
        <v>24150084</v>
      </c>
      <c r="E16" s="157">
        <f>+D16-C16</f>
        <v>1589777</v>
      </c>
      <c r="F16" s="161">
        <f>IF(C16=0,0,E16/C16)</f>
        <v>7.0467879714580128E-2</v>
      </c>
    </row>
    <row r="17" spans="1:6" ht="15" customHeight="1" x14ac:dyDescent="0.2">
      <c r="A17" s="147">
        <v>3</v>
      </c>
      <c r="B17" s="160" t="s">
        <v>158</v>
      </c>
      <c r="C17" s="157">
        <v>98326147</v>
      </c>
      <c r="D17" s="157">
        <v>103195126</v>
      </c>
      <c r="E17" s="157">
        <f>+D17-C17</f>
        <v>4868979</v>
      </c>
      <c r="F17" s="161">
        <f>IF(C17=0,0,E17/C17)</f>
        <v>4.951865956875133E-2</v>
      </c>
    </row>
    <row r="18" spans="1:6" ht="15.75" customHeight="1" x14ac:dyDescent="0.25">
      <c r="A18" s="147"/>
      <c r="B18" s="162" t="s">
        <v>159</v>
      </c>
      <c r="C18" s="158">
        <f>SUM(C15:C17)</f>
        <v>176514422</v>
      </c>
      <c r="D18" s="158">
        <f>SUM(D15:D17)</f>
        <v>184582014</v>
      </c>
      <c r="E18" s="158">
        <f>+D18-C18</f>
        <v>8067592</v>
      </c>
      <c r="F18" s="159">
        <f>IF(C18=0,0,E18/C18)</f>
        <v>4.5705001940294712E-2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15837999</v>
      </c>
      <c r="D21" s="157">
        <v>18519095</v>
      </c>
      <c r="E21" s="157">
        <f>+D21-C21</f>
        <v>2681096</v>
      </c>
      <c r="F21" s="161">
        <f>IF(C21=0,0,E21/C21)</f>
        <v>0.16928249585064375</v>
      </c>
    </row>
    <row r="22" spans="1:6" ht="15" customHeight="1" x14ac:dyDescent="0.2">
      <c r="A22" s="147">
        <v>2</v>
      </c>
      <c r="B22" s="160" t="s">
        <v>162</v>
      </c>
      <c r="C22" s="157">
        <v>6423210</v>
      </c>
      <c r="D22" s="157">
        <v>7811344</v>
      </c>
      <c r="E22" s="157">
        <f>+D22-C22</f>
        <v>1388134</v>
      </c>
      <c r="F22" s="161">
        <f>IF(C22=0,0,E22/C22)</f>
        <v>0.21611219312462149</v>
      </c>
    </row>
    <row r="23" spans="1:6" ht="15" customHeight="1" x14ac:dyDescent="0.2">
      <c r="A23" s="147">
        <v>3</v>
      </c>
      <c r="B23" s="160" t="s">
        <v>163</v>
      </c>
      <c r="C23" s="157">
        <v>27994721</v>
      </c>
      <c r="D23" s="157">
        <v>33389313</v>
      </c>
      <c r="E23" s="157">
        <f>+D23-C23</f>
        <v>5394592</v>
      </c>
      <c r="F23" s="161">
        <f>IF(C23=0,0,E23/C23)</f>
        <v>0.19270033089452829</v>
      </c>
    </row>
    <row r="24" spans="1:6" ht="15.75" customHeight="1" x14ac:dyDescent="0.25">
      <c r="A24" s="147"/>
      <c r="B24" s="162" t="s">
        <v>164</v>
      </c>
      <c r="C24" s="158">
        <f>SUM(C21:C23)</f>
        <v>50255930</v>
      </c>
      <c r="D24" s="158">
        <f>SUM(D21:D23)</f>
        <v>59719752</v>
      </c>
      <c r="E24" s="158">
        <f>+D24-C24</f>
        <v>9463822</v>
      </c>
      <c r="F24" s="159">
        <f>IF(C24=0,0,E24/C24)</f>
        <v>0.18831254341527456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1548455</v>
      </c>
      <c r="D27" s="157">
        <v>2474853</v>
      </c>
      <c r="E27" s="157">
        <f>+D27-C27</f>
        <v>926398</v>
      </c>
      <c r="F27" s="161">
        <f>IF(C27=0,0,E27/C27)</f>
        <v>0.59827247159265207</v>
      </c>
    </row>
    <row r="28" spans="1:6" ht="15" customHeight="1" x14ac:dyDescent="0.2">
      <c r="A28" s="147">
        <v>2</v>
      </c>
      <c r="B28" s="160" t="s">
        <v>167</v>
      </c>
      <c r="C28" s="157">
        <v>10555932</v>
      </c>
      <c r="D28" s="157">
        <v>10441790</v>
      </c>
      <c r="E28" s="157">
        <f>+D28-C28</f>
        <v>-114142</v>
      </c>
      <c r="F28" s="161">
        <f>IF(C28=0,0,E28/C28)</f>
        <v>-1.0813067003463076E-2</v>
      </c>
    </row>
    <row r="29" spans="1:6" ht="15" customHeight="1" x14ac:dyDescent="0.2">
      <c r="A29" s="147">
        <v>3</v>
      </c>
      <c r="B29" s="160" t="s">
        <v>168</v>
      </c>
      <c r="C29" s="157">
        <v>24813394</v>
      </c>
      <c r="D29" s="157">
        <v>28388584</v>
      </c>
      <c r="E29" s="157">
        <f>+D29-C29</f>
        <v>3575190</v>
      </c>
      <c r="F29" s="161">
        <f>IF(C29=0,0,E29/C29)</f>
        <v>0.14408307061903744</v>
      </c>
    </row>
    <row r="30" spans="1:6" ht="15.75" customHeight="1" x14ac:dyDescent="0.25">
      <c r="A30" s="147"/>
      <c r="B30" s="162" t="s">
        <v>169</v>
      </c>
      <c r="C30" s="158">
        <f>SUM(C27:C29)</f>
        <v>36917781</v>
      </c>
      <c r="D30" s="158">
        <f>SUM(D27:D29)</f>
        <v>41305227</v>
      </c>
      <c r="E30" s="158">
        <f>+D30-C30</f>
        <v>4387446</v>
      </c>
      <c r="F30" s="159">
        <f>IF(C30=0,0,E30/C30)</f>
        <v>0.11884370840165069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36197616</v>
      </c>
      <c r="D33" s="157">
        <v>37084790</v>
      </c>
      <c r="E33" s="157">
        <f>+D33-C33</f>
        <v>887174</v>
      </c>
      <c r="F33" s="161">
        <f>IF(C33=0,0,E33/C33)</f>
        <v>2.4509183146204986E-2</v>
      </c>
    </row>
    <row r="34" spans="1:6" ht="15" customHeight="1" x14ac:dyDescent="0.2">
      <c r="A34" s="147">
        <v>2</v>
      </c>
      <c r="B34" s="160" t="s">
        <v>173</v>
      </c>
      <c r="C34" s="157">
        <v>23900426</v>
      </c>
      <c r="D34" s="157">
        <v>21191835</v>
      </c>
      <c r="E34" s="157">
        <f>+D34-C34</f>
        <v>-2708591</v>
      </c>
      <c r="F34" s="161">
        <f>IF(C34=0,0,E34/C34)</f>
        <v>-0.11332814737277068</v>
      </c>
    </row>
    <row r="35" spans="1:6" ht="15.75" customHeight="1" x14ac:dyDescent="0.25">
      <c r="A35" s="147"/>
      <c r="B35" s="162" t="s">
        <v>174</v>
      </c>
      <c r="C35" s="158">
        <f>SUM(C33:C34)</f>
        <v>60098042</v>
      </c>
      <c r="D35" s="158">
        <f>SUM(D33:D34)</f>
        <v>58276625</v>
      </c>
      <c r="E35" s="158">
        <f>+D35-C35</f>
        <v>-1821417</v>
      </c>
      <c r="F35" s="159">
        <f>IF(C35=0,0,E35/C35)</f>
        <v>-3.0307426654598832E-2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21410376</v>
      </c>
      <c r="D38" s="157">
        <v>20295461</v>
      </c>
      <c r="E38" s="157">
        <f>+D38-C38</f>
        <v>-1114915</v>
      </c>
      <c r="F38" s="161">
        <f>IF(C38=0,0,E38/C38)</f>
        <v>-5.2073583387792909E-2</v>
      </c>
    </row>
    <row r="39" spans="1:6" ht="15" customHeight="1" x14ac:dyDescent="0.2">
      <c r="A39" s="147">
        <v>2</v>
      </c>
      <c r="B39" s="160" t="s">
        <v>178</v>
      </c>
      <c r="C39" s="157">
        <v>4825793</v>
      </c>
      <c r="D39" s="157">
        <v>4543543</v>
      </c>
      <c r="E39" s="157">
        <f>+D39-C39</f>
        <v>-282250</v>
      </c>
      <c r="F39" s="161">
        <f>IF(C39=0,0,E39/C39)</f>
        <v>-5.8487796720663322E-2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26236169</v>
      </c>
      <c r="D41" s="158">
        <f>SUM(D38:D40)</f>
        <v>24839004</v>
      </c>
      <c r="E41" s="158">
        <f>+D41-C41</f>
        <v>-1397165</v>
      </c>
      <c r="F41" s="159">
        <f>IF(C41=0,0,E41/C41)</f>
        <v>-5.3253392292144479E-2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51939073</v>
      </c>
      <c r="D44" s="157">
        <v>0</v>
      </c>
      <c r="E44" s="157">
        <f>+D44-C44</f>
        <v>-51939073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5640878</v>
      </c>
      <c r="D47" s="157">
        <v>6274383</v>
      </c>
      <c r="E47" s="157">
        <f>+D47-C47</f>
        <v>633505</v>
      </c>
      <c r="F47" s="161">
        <f>IF(C47=0,0,E47/C47)</f>
        <v>0.11230609844779484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6493306</v>
      </c>
      <c r="D50" s="157">
        <v>9388014</v>
      </c>
      <c r="E50" s="157">
        <f>+D50-C50</f>
        <v>2894708</v>
      </c>
      <c r="F50" s="161">
        <f>IF(C50=0,0,E50/C50)</f>
        <v>0.44579879648364024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159797</v>
      </c>
      <c r="D53" s="157">
        <v>153904</v>
      </c>
      <c r="E53" s="157">
        <f t="shared" ref="E53:E59" si="0">+D53-C53</f>
        <v>-5893</v>
      </c>
      <c r="F53" s="161">
        <f t="shared" ref="F53:F59" si="1">IF(C53=0,0,E53/C53)</f>
        <v>-3.6878039011996468E-2</v>
      </c>
    </row>
    <row r="54" spans="1:6" ht="15" customHeight="1" x14ac:dyDescent="0.2">
      <c r="A54" s="147">
        <v>2</v>
      </c>
      <c r="B54" s="160" t="s">
        <v>189</v>
      </c>
      <c r="C54" s="157">
        <v>1210863</v>
      </c>
      <c r="D54" s="157">
        <v>1503745</v>
      </c>
      <c r="E54" s="157">
        <f t="shared" si="0"/>
        <v>292882</v>
      </c>
      <c r="F54" s="161">
        <f t="shared" si="1"/>
        <v>0.24187872616472714</v>
      </c>
    </row>
    <row r="55" spans="1:6" ht="15" customHeight="1" x14ac:dyDescent="0.2">
      <c r="A55" s="147">
        <v>3</v>
      </c>
      <c r="B55" s="160" t="s">
        <v>190</v>
      </c>
      <c r="C55" s="157">
        <v>4851</v>
      </c>
      <c r="D55" s="157">
        <v>66124</v>
      </c>
      <c r="E55" s="157">
        <f t="shared" si="0"/>
        <v>61273</v>
      </c>
      <c r="F55" s="161">
        <f t="shared" si="1"/>
        <v>12.631003916718202</v>
      </c>
    </row>
    <row r="56" spans="1:6" ht="15" customHeight="1" x14ac:dyDescent="0.2">
      <c r="A56" s="147">
        <v>4</v>
      </c>
      <c r="B56" s="160" t="s">
        <v>191</v>
      </c>
      <c r="C56" s="157">
        <v>3289209</v>
      </c>
      <c r="D56" s="157">
        <v>2970521</v>
      </c>
      <c r="E56" s="157">
        <f t="shared" si="0"/>
        <v>-318688</v>
      </c>
      <c r="F56" s="161">
        <f t="shared" si="1"/>
        <v>-9.6888948072317696E-2</v>
      </c>
    </row>
    <row r="57" spans="1:6" ht="15" customHeight="1" x14ac:dyDescent="0.2">
      <c r="A57" s="147">
        <v>5</v>
      </c>
      <c r="B57" s="160" t="s">
        <v>192</v>
      </c>
      <c r="C57" s="157">
        <v>1387462</v>
      </c>
      <c r="D57" s="157">
        <v>1347880</v>
      </c>
      <c r="E57" s="157">
        <f t="shared" si="0"/>
        <v>-39582</v>
      </c>
      <c r="F57" s="161">
        <f t="shared" si="1"/>
        <v>-2.8528348884509992E-2</v>
      </c>
    </row>
    <row r="58" spans="1:6" ht="15" customHeight="1" x14ac:dyDescent="0.2">
      <c r="A58" s="147">
        <v>6</v>
      </c>
      <c r="B58" s="160" t="s">
        <v>193</v>
      </c>
      <c r="C58" s="157">
        <v>264413</v>
      </c>
      <c r="D58" s="157">
        <v>273853</v>
      </c>
      <c r="E58" s="157">
        <f t="shared" si="0"/>
        <v>9440</v>
      </c>
      <c r="F58" s="161">
        <f t="shared" si="1"/>
        <v>3.5701724196616658E-2</v>
      </c>
    </row>
    <row r="59" spans="1:6" ht="15.75" customHeight="1" x14ac:dyDescent="0.25">
      <c r="A59" s="147"/>
      <c r="B59" s="162" t="s">
        <v>194</v>
      </c>
      <c r="C59" s="158">
        <f>SUM(C53:C58)</f>
        <v>6316595</v>
      </c>
      <c r="D59" s="158">
        <f>SUM(D53:D58)</f>
        <v>6316027</v>
      </c>
      <c r="E59" s="158">
        <f t="shared" si="0"/>
        <v>-568</v>
      </c>
      <c r="F59" s="159">
        <f t="shared" si="1"/>
        <v>-8.9921864548858998E-5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368933</v>
      </c>
      <c r="D62" s="157">
        <v>455101</v>
      </c>
      <c r="E62" s="157">
        <f t="shared" ref="E62:E90" si="2">+D62-C62</f>
        <v>86168</v>
      </c>
      <c r="F62" s="161">
        <f t="shared" ref="F62:F90" si="3">IF(C62=0,0,E62/C62)</f>
        <v>0.23356002309362406</v>
      </c>
    </row>
    <row r="63" spans="1:6" ht="15" customHeight="1" x14ac:dyDescent="0.2">
      <c r="A63" s="147">
        <v>2</v>
      </c>
      <c r="B63" s="160" t="s">
        <v>198</v>
      </c>
      <c r="C63" s="157">
        <v>1577839</v>
      </c>
      <c r="D63" s="157">
        <v>2130359</v>
      </c>
      <c r="E63" s="157">
        <f t="shared" si="2"/>
        <v>552520</v>
      </c>
      <c r="F63" s="161">
        <f t="shared" si="3"/>
        <v>0.35017514461234639</v>
      </c>
    </row>
    <row r="64" spans="1:6" ht="15" customHeight="1" x14ac:dyDescent="0.2">
      <c r="A64" s="147">
        <v>3</v>
      </c>
      <c r="B64" s="160" t="s">
        <v>199</v>
      </c>
      <c r="C64" s="157">
        <v>6761255</v>
      </c>
      <c r="D64" s="157">
        <v>6443015</v>
      </c>
      <c r="E64" s="157">
        <f t="shared" si="2"/>
        <v>-318240</v>
      </c>
      <c r="F64" s="161">
        <f t="shared" si="3"/>
        <v>-4.7068184826633518E-2</v>
      </c>
    </row>
    <row r="65" spans="1:6" ht="15" customHeight="1" x14ac:dyDescent="0.2">
      <c r="A65" s="147">
        <v>4</v>
      </c>
      <c r="B65" s="160" t="s">
        <v>200</v>
      </c>
      <c r="C65" s="157">
        <v>1461420</v>
      </c>
      <c r="D65" s="157">
        <v>1826485</v>
      </c>
      <c r="E65" s="157">
        <f t="shared" si="2"/>
        <v>365065</v>
      </c>
      <c r="F65" s="161">
        <f t="shared" si="3"/>
        <v>0.24980156286351632</v>
      </c>
    </row>
    <row r="66" spans="1:6" ht="15" customHeight="1" x14ac:dyDescent="0.2">
      <c r="A66" s="147">
        <v>5</v>
      </c>
      <c r="B66" s="160" t="s">
        <v>201</v>
      </c>
      <c r="C66" s="157">
        <v>1489657</v>
      </c>
      <c r="D66" s="157">
        <v>2007133</v>
      </c>
      <c r="E66" s="157">
        <f t="shared" si="2"/>
        <v>517476</v>
      </c>
      <c r="F66" s="161">
        <f t="shared" si="3"/>
        <v>0.34737929603928958</v>
      </c>
    </row>
    <row r="67" spans="1:6" ht="15" customHeight="1" x14ac:dyDescent="0.2">
      <c r="A67" s="147">
        <v>6</v>
      </c>
      <c r="B67" s="160" t="s">
        <v>202</v>
      </c>
      <c r="C67" s="157">
        <v>5872584</v>
      </c>
      <c r="D67" s="157">
        <v>5092754</v>
      </c>
      <c r="E67" s="157">
        <f t="shared" si="2"/>
        <v>-779830</v>
      </c>
      <c r="F67" s="161">
        <f t="shared" si="3"/>
        <v>-0.13279162971530079</v>
      </c>
    </row>
    <row r="68" spans="1:6" ht="15" customHeight="1" x14ac:dyDescent="0.2">
      <c r="A68" s="147">
        <v>7</v>
      </c>
      <c r="B68" s="160" t="s">
        <v>203</v>
      </c>
      <c r="C68" s="157">
        <v>13409320</v>
      </c>
      <c r="D68" s="157">
        <v>13230565</v>
      </c>
      <c r="E68" s="157">
        <f t="shared" si="2"/>
        <v>-178755</v>
      </c>
      <c r="F68" s="161">
        <f t="shared" si="3"/>
        <v>-1.333065360510451E-2</v>
      </c>
    </row>
    <row r="69" spans="1:6" ht="15" customHeight="1" x14ac:dyDescent="0.2">
      <c r="A69" s="147">
        <v>8</v>
      </c>
      <c r="B69" s="160" t="s">
        <v>204</v>
      </c>
      <c r="C69" s="157">
        <v>778250</v>
      </c>
      <c r="D69" s="157">
        <v>817022</v>
      </c>
      <c r="E69" s="157">
        <f t="shared" si="2"/>
        <v>38772</v>
      </c>
      <c r="F69" s="161">
        <f t="shared" si="3"/>
        <v>4.9819466752328942E-2</v>
      </c>
    </row>
    <row r="70" spans="1:6" ht="15" customHeight="1" x14ac:dyDescent="0.2">
      <c r="A70" s="147">
        <v>9</v>
      </c>
      <c r="B70" s="160" t="s">
        <v>205</v>
      </c>
      <c r="C70" s="157">
        <v>761458</v>
      </c>
      <c r="D70" s="157">
        <v>780151</v>
      </c>
      <c r="E70" s="157">
        <f t="shared" si="2"/>
        <v>18693</v>
      </c>
      <c r="F70" s="161">
        <f t="shared" si="3"/>
        <v>2.4548957394892431E-2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3962078</v>
      </c>
      <c r="D73" s="157">
        <v>3951669</v>
      </c>
      <c r="E73" s="157">
        <f t="shared" si="2"/>
        <v>-10409</v>
      </c>
      <c r="F73" s="161">
        <f t="shared" si="3"/>
        <v>-2.6271567596599563E-3</v>
      </c>
    </row>
    <row r="74" spans="1:6" ht="15" customHeight="1" x14ac:dyDescent="0.2">
      <c r="A74" s="147">
        <v>13</v>
      </c>
      <c r="B74" s="160" t="s">
        <v>209</v>
      </c>
      <c r="C74" s="157">
        <v>138955</v>
      </c>
      <c r="D74" s="157">
        <v>133797</v>
      </c>
      <c r="E74" s="157">
        <f t="shared" si="2"/>
        <v>-5158</v>
      </c>
      <c r="F74" s="161">
        <f t="shared" si="3"/>
        <v>-3.7119930912885464E-2</v>
      </c>
    </row>
    <row r="75" spans="1:6" ht="15" customHeight="1" x14ac:dyDescent="0.2">
      <c r="A75" s="147">
        <v>14</v>
      </c>
      <c r="B75" s="160" t="s">
        <v>210</v>
      </c>
      <c r="C75" s="157">
        <v>211416</v>
      </c>
      <c r="D75" s="157">
        <v>252328</v>
      </c>
      <c r="E75" s="157">
        <f t="shared" si="2"/>
        <v>40912</v>
      </c>
      <c r="F75" s="161">
        <f t="shared" si="3"/>
        <v>0.19351420895296478</v>
      </c>
    </row>
    <row r="76" spans="1:6" ht="15" customHeight="1" x14ac:dyDescent="0.2">
      <c r="A76" s="147">
        <v>15</v>
      </c>
      <c r="B76" s="160" t="s">
        <v>211</v>
      </c>
      <c r="C76" s="157">
        <v>1978743</v>
      </c>
      <c r="D76" s="157">
        <v>2424842</v>
      </c>
      <c r="E76" s="157">
        <f t="shared" si="2"/>
        <v>446099</v>
      </c>
      <c r="F76" s="161">
        <f t="shared" si="3"/>
        <v>0.22544564908126016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13222</v>
      </c>
      <c r="D78" s="157">
        <v>23563</v>
      </c>
      <c r="E78" s="157">
        <f t="shared" si="2"/>
        <v>10341</v>
      </c>
      <c r="F78" s="161">
        <f t="shared" si="3"/>
        <v>0.78210558160641352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3081875</v>
      </c>
      <c r="D80" s="157">
        <v>2942738</v>
      </c>
      <c r="E80" s="157">
        <f t="shared" si="2"/>
        <v>-139137</v>
      </c>
      <c r="F80" s="161">
        <f t="shared" si="3"/>
        <v>-4.5146866761306026E-2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5876941</v>
      </c>
      <c r="D82" s="157">
        <v>5240436</v>
      </c>
      <c r="E82" s="157">
        <f t="shared" si="2"/>
        <v>-636505</v>
      </c>
      <c r="F82" s="161">
        <f t="shared" si="3"/>
        <v>-0.10830549430392444</v>
      </c>
    </row>
    <row r="83" spans="1:6" ht="15" customHeight="1" x14ac:dyDescent="0.2">
      <c r="A83" s="147">
        <v>22</v>
      </c>
      <c r="B83" s="160" t="s">
        <v>218</v>
      </c>
      <c r="C83" s="157">
        <v>1929544</v>
      </c>
      <c r="D83" s="157">
        <v>2380091</v>
      </c>
      <c r="E83" s="157">
        <f t="shared" si="2"/>
        <v>450547</v>
      </c>
      <c r="F83" s="161">
        <f t="shared" si="3"/>
        <v>0.23349921017608305</v>
      </c>
    </row>
    <row r="84" spans="1:6" ht="15" customHeight="1" x14ac:dyDescent="0.2">
      <c r="A84" s="147">
        <v>23</v>
      </c>
      <c r="B84" s="160" t="s">
        <v>219</v>
      </c>
      <c r="C84" s="157">
        <v>1310858</v>
      </c>
      <c r="D84" s="157">
        <v>1549776</v>
      </c>
      <c r="E84" s="157">
        <f t="shared" si="2"/>
        <v>238918</v>
      </c>
      <c r="F84" s="161">
        <f t="shared" si="3"/>
        <v>0.18226077881814812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276111</v>
      </c>
      <c r="D86" s="157">
        <v>309091</v>
      </c>
      <c r="E86" s="157">
        <f t="shared" si="2"/>
        <v>32980</v>
      </c>
      <c r="F86" s="161">
        <f t="shared" si="3"/>
        <v>0.11944471607433242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3005401</v>
      </c>
      <c r="D88" s="157">
        <v>2775347</v>
      </c>
      <c r="E88" s="157">
        <f t="shared" si="2"/>
        <v>-230054</v>
      </c>
      <c r="F88" s="161">
        <f t="shared" si="3"/>
        <v>-7.6546856808791905E-2</v>
      </c>
    </row>
    <row r="89" spans="1:6" ht="15" customHeight="1" x14ac:dyDescent="0.2">
      <c r="A89" s="147">
        <v>28</v>
      </c>
      <c r="B89" s="160" t="s">
        <v>224</v>
      </c>
      <c r="C89" s="157">
        <v>6520809</v>
      </c>
      <c r="D89" s="157">
        <v>6888450</v>
      </c>
      <c r="E89" s="157">
        <f t="shared" si="2"/>
        <v>367641</v>
      </c>
      <c r="F89" s="161">
        <f t="shared" si="3"/>
        <v>5.6379660867232888E-2</v>
      </c>
    </row>
    <row r="90" spans="1:6" ht="15.75" customHeight="1" x14ac:dyDescent="0.25">
      <c r="A90" s="147"/>
      <c r="B90" s="162" t="s">
        <v>225</v>
      </c>
      <c r="C90" s="158">
        <f>SUM(C62:C89)</f>
        <v>60786669</v>
      </c>
      <c r="D90" s="158">
        <f>SUM(D62:D89)</f>
        <v>61654713</v>
      </c>
      <c r="E90" s="158">
        <f t="shared" si="2"/>
        <v>868044</v>
      </c>
      <c r="F90" s="159">
        <f t="shared" si="3"/>
        <v>1.428017054199828E-2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925736</v>
      </c>
      <c r="D93" s="157">
        <v>1309146</v>
      </c>
      <c r="E93" s="157">
        <f>+D93-C93</f>
        <v>383410</v>
      </c>
      <c r="F93" s="161">
        <f>IF(C93=0,0,E93/C93)</f>
        <v>0.4141677540897189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482124601</v>
      </c>
      <c r="D95" s="158">
        <f>+D93+D90+D59+D50+D47+D44+D41+D35+D30+D24+D18</f>
        <v>453664905</v>
      </c>
      <c r="E95" s="158">
        <f>+D95-C95</f>
        <v>-28459696</v>
      </c>
      <c r="F95" s="159">
        <f>IF(C95=0,0,E95/C95)</f>
        <v>-5.9029752767169E-2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118249332</v>
      </c>
      <c r="D103" s="157">
        <v>72994246</v>
      </c>
      <c r="E103" s="157">
        <f t="shared" ref="E103:E121" si="4">D103-C103</f>
        <v>-45255086</v>
      </c>
      <c r="F103" s="161">
        <f t="shared" ref="F103:F121" si="5">IF(C103=0,0,E103/C103)</f>
        <v>-0.38270902029281656</v>
      </c>
    </row>
    <row r="104" spans="1:6" ht="15" customHeight="1" x14ac:dyDescent="0.2">
      <c r="A104" s="147">
        <v>2</v>
      </c>
      <c r="B104" s="169" t="s">
        <v>234</v>
      </c>
      <c r="C104" s="157">
        <v>3742114</v>
      </c>
      <c r="D104" s="157">
        <v>4492438</v>
      </c>
      <c r="E104" s="157">
        <f t="shared" si="4"/>
        <v>750324</v>
      </c>
      <c r="F104" s="161">
        <f t="shared" si="5"/>
        <v>0.20050805507261404</v>
      </c>
    </row>
    <row r="105" spans="1:6" ht="15" customHeight="1" x14ac:dyDescent="0.2">
      <c r="A105" s="147">
        <v>3</v>
      </c>
      <c r="B105" s="169" t="s">
        <v>235</v>
      </c>
      <c r="C105" s="157">
        <v>9435983</v>
      </c>
      <c r="D105" s="157">
        <v>9009781</v>
      </c>
      <c r="E105" s="157">
        <f t="shared" si="4"/>
        <v>-426202</v>
      </c>
      <c r="F105" s="161">
        <f t="shared" si="5"/>
        <v>-4.516773716103558E-2</v>
      </c>
    </row>
    <row r="106" spans="1:6" ht="15" customHeight="1" x14ac:dyDescent="0.2">
      <c r="A106" s="147">
        <v>4</v>
      </c>
      <c r="B106" s="169" t="s">
        <v>236</v>
      </c>
      <c r="C106" s="157">
        <v>3513924</v>
      </c>
      <c r="D106" s="157">
        <v>3397227</v>
      </c>
      <c r="E106" s="157">
        <f t="shared" si="4"/>
        <v>-116697</v>
      </c>
      <c r="F106" s="161">
        <f t="shared" si="5"/>
        <v>-3.3209881602447859E-2</v>
      </c>
    </row>
    <row r="107" spans="1:6" ht="15" customHeight="1" x14ac:dyDescent="0.2">
      <c r="A107" s="147">
        <v>5</v>
      </c>
      <c r="B107" s="169" t="s">
        <v>237</v>
      </c>
      <c r="C107" s="157">
        <v>16521269</v>
      </c>
      <c r="D107" s="157">
        <v>16656076</v>
      </c>
      <c r="E107" s="157">
        <f t="shared" si="4"/>
        <v>134807</v>
      </c>
      <c r="F107" s="161">
        <f t="shared" si="5"/>
        <v>8.1596032362889308E-3</v>
      </c>
    </row>
    <row r="108" spans="1:6" ht="15" customHeight="1" x14ac:dyDescent="0.2">
      <c r="A108" s="147">
        <v>6</v>
      </c>
      <c r="B108" s="169" t="s">
        <v>238</v>
      </c>
      <c r="C108" s="157">
        <v>512</v>
      </c>
      <c r="D108" s="157">
        <v>563</v>
      </c>
      <c r="E108" s="157">
        <f t="shared" si="4"/>
        <v>51</v>
      </c>
      <c r="F108" s="161">
        <f t="shared" si="5"/>
        <v>9.9609375E-2</v>
      </c>
    </row>
    <row r="109" spans="1:6" ht="15" customHeight="1" x14ac:dyDescent="0.2">
      <c r="A109" s="147">
        <v>7</v>
      </c>
      <c r="B109" s="169" t="s">
        <v>239</v>
      </c>
      <c r="C109" s="157">
        <v>5059989</v>
      </c>
      <c r="D109" s="157">
        <v>6240423</v>
      </c>
      <c r="E109" s="157">
        <f t="shared" si="4"/>
        <v>1180434</v>
      </c>
      <c r="F109" s="161">
        <f t="shared" si="5"/>
        <v>0.23328785892617554</v>
      </c>
    </row>
    <row r="110" spans="1:6" ht="15" customHeight="1" x14ac:dyDescent="0.2">
      <c r="A110" s="147">
        <v>8</v>
      </c>
      <c r="B110" s="169" t="s">
        <v>240</v>
      </c>
      <c r="C110" s="157">
        <v>1096889</v>
      </c>
      <c r="D110" s="157">
        <v>1239838</v>
      </c>
      <c r="E110" s="157">
        <f t="shared" si="4"/>
        <v>142949</v>
      </c>
      <c r="F110" s="161">
        <f t="shared" si="5"/>
        <v>0.13032221127206126</v>
      </c>
    </row>
    <row r="111" spans="1:6" ht="15" customHeight="1" x14ac:dyDescent="0.2">
      <c r="A111" s="147">
        <v>9</v>
      </c>
      <c r="B111" s="169" t="s">
        <v>241</v>
      </c>
      <c r="C111" s="157">
        <v>3744786</v>
      </c>
      <c r="D111" s="157">
        <v>4115068</v>
      </c>
      <c r="E111" s="157">
        <f t="shared" si="4"/>
        <v>370282</v>
      </c>
      <c r="F111" s="161">
        <f t="shared" si="5"/>
        <v>9.8879348512838916E-2</v>
      </c>
    </row>
    <row r="112" spans="1:6" ht="15" customHeight="1" x14ac:dyDescent="0.2">
      <c r="A112" s="147">
        <v>10</v>
      </c>
      <c r="B112" s="169" t="s">
        <v>242</v>
      </c>
      <c r="C112" s="157">
        <v>7100836</v>
      </c>
      <c r="D112" s="157">
        <v>7220745</v>
      </c>
      <c r="E112" s="157">
        <f t="shared" si="4"/>
        <v>119909</v>
      </c>
      <c r="F112" s="161">
        <f t="shared" si="5"/>
        <v>1.6886603211227522E-2</v>
      </c>
    </row>
    <row r="113" spans="1:6" ht="15" customHeight="1" x14ac:dyDescent="0.2">
      <c r="A113" s="147">
        <v>11</v>
      </c>
      <c r="B113" s="169" t="s">
        <v>243</v>
      </c>
      <c r="C113" s="157">
        <v>5715386</v>
      </c>
      <c r="D113" s="157">
        <v>6246842</v>
      </c>
      <c r="E113" s="157">
        <f t="shared" si="4"/>
        <v>531456</v>
      </c>
      <c r="F113" s="161">
        <f t="shared" si="5"/>
        <v>9.2986895373295866E-2</v>
      </c>
    </row>
    <row r="114" spans="1:6" ht="15" customHeight="1" x14ac:dyDescent="0.2">
      <c r="A114" s="147">
        <v>12</v>
      </c>
      <c r="B114" s="169" t="s">
        <v>244</v>
      </c>
      <c r="C114" s="157">
        <v>1866109</v>
      </c>
      <c r="D114" s="157">
        <v>1872431</v>
      </c>
      <c r="E114" s="157">
        <f t="shared" si="4"/>
        <v>6322</v>
      </c>
      <c r="F114" s="161">
        <f t="shared" si="5"/>
        <v>3.387797818884106E-3</v>
      </c>
    </row>
    <row r="115" spans="1:6" ht="15" customHeight="1" x14ac:dyDescent="0.2">
      <c r="A115" s="147">
        <v>13</v>
      </c>
      <c r="B115" s="169" t="s">
        <v>245</v>
      </c>
      <c r="C115" s="157">
        <v>721477</v>
      </c>
      <c r="D115" s="157">
        <v>818105</v>
      </c>
      <c r="E115" s="157">
        <f t="shared" si="4"/>
        <v>96628</v>
      </c>
      <c r="F115" s="161">
        <f t="shared" si="5"/>
        <v>0.13393081137721646</v>
      </c>
    </row>
    <row r="116" spans="1:6" ht="15" customHeight="1" x14ac:dyDescent="0.2">
      <c r="A116" s="147">
        <v>14</v>
      </c>
      <c r="B116" s="169" t="s">
        <v>246</v>
      </c>
      <c r="C116" s="157">
        <v>1589909</v>
      </c>
      <c r="D116" s="157">
        <v>1749486</v>
      </c>
      <c r="E116" s="157">
        <f t="shared" si="4"/>
        <v>159577</v>
      </c>
      <c r="F116" s="161">
        <f t="shared" si="5"/>
        <v>0.10036863745031949</v>
      </c>
    </row>
    <row r="117" spans="1:6" ht="15" customHeight="1" x14ac:dyDescent="0.2">
      <c r="A117" s="147">
        <v>15</v>
      </c>
      <c r="B117" s="169" t="s">
        <v>203</v>
      </c>
      <c r="C117" s="157">
        <v>14017958</v>
      </c>
      <c r="D117" s="157">
        <v>13839440</v>
      </c>
      <c r="E117" s="157">
        <f t="shared" si="4"/>
        <v>-178518</v>
      </c>
      <c r="F117" s="161">
        <f t="shared" si="5"/>
        <v>-1.2734950411465065E-2</v>
      </c>
    </row>
    <row r="118" spans="1:6" ht="15" customHeight="1" x14ac:dyDescent="0.2">
      <c r="A118" s="147">
        <v>16</v>
      </c>
      <c r="B118" s="169" t="s">
        <v>247</v>
      </c>
      <c r="C118" s="157">
        <v>2008824</v>
      </c>
      <c r="D118" s="157">
        <v>2231498</v>
      </c>
      <c r="E118" s="157">
        <f t="shared" si="4"/>
        <v>222674</v>
      </c>
      <c r="F118" s="161">
        <f t="shared" si="5"/>
        <v>0.11084793889360144</v>
      </c>
    </row>
    <row r="119" spans="1:6" ht="15" customHeight="1" x14ac:dyDescent="0.2">
      <c r="A119" s="147">
        <v>17</v>
      </c>
      <c r="B119" s="169" t="s">
        <v>248</v>
      </c>
      <c r="C119" s="157">
        <v>11585799</v>
      </c>
      <c r="D119" s="157">
        <v>11427303</v>
      </c>
      <c r="E119" s="157">
        <f t="shared" si="4"/>
        <v>-158496</v>
      </c>
      <c r="F119" s="161">
        <f t="shared" si="5"/>
        <v>-1.3680195901896796E-2</v>
      </c>
    </row>
    <row r="120" spans="1:6" ht="15" customHeight="1" x14ac:dyDescent="0.2">
      <c r="A120" s="147">
        <v>18</v>
      </c>
      <c r="B120" s="169" t="s">
        <v>249</v>
      </c>
      <c r="C120" s="157">
        <v>241</v>
      </c>
      <c r="D120" s="157">
        <v>262</v>
      </c>
      <c r="E120" s="157">
        <f t="shared" si="4"/>
        <v>21</v>
      </c>
      <c r="F120" s="161">
        <f t="shared" si="5"/>
        <v>8.7136929460580909E-2</v>
      </c>
    </row>
    <row r="121" spans="1:6" ht="15.75" customHeight="1" x14ac:dyDescent="0.25">
      <c r="A121" s="147"/>
      <c r="B121" s="165" t="s">
        <v>250</v>
      </c>
      <c r="C121" s="158">
        <f>SUM(C103:C120)</f>
        <v>205971337</v>
      </c>
      <c r="D121" s="158">
        <f>SUM(D103:D120)</f>
        <v>163551772</v>
      </c>
      <c r="E121" s="158">
        <f t="shared" si="4"/>
        <v>-42419565</v>
      </c>
      <c r="F121" s="159">
        <f t="shared" si="5"/>
        <v>-0.2059488743329369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3571822</v>
      </c>
      <c r="D124" s="157">
        <v>5129784</v>
      </c>
      <c r="E124" s="157">
        <f t="shared" ref="E124:E130" si="6">D124-C124</f>
        <v>1557962</v>
      </c>
      <c r="F124" s="161">
        <f t="shared" ref="F124:F130" si="7">IF(C124=0,0,E124/C124)</f>
        <v>0.43618131026686102</v>
      </c>
    </row>
    <row r="125" spans="1:6" ht="15" customHeight="1" x14ac:dyDescent="0.2">
      <c r="A125" s="147">
        <v>2</v>
      </c>
      <c r="B125" s="169" t="s">
        <v>253</v>
      </c>
      <c r="C125" s="157">
        <v>6145500</v>
      </c>
      <c r="D125" s="157">
        <v>6417974</v>
      </c>
      <c r="E125" s="157">
        <f t="shared" si="6"/>
        <v>272474</v>
      </c>
      <c r="F125" s="161">
        <f t="shared" si="7"/>
        <v>4.4337157269546824E-2</v>
      </c>
    </row>
    <row r="126" spans="1:6" ht="15" customHeight="1" x14ac:dyDescent="0.2">
      <c r="A126" s="147">
        <v>3</v>
      </c>
      <c r="B126" s="169" t="s">
        <v>254</v>
      </c>
      <c r="C126" s="157">
        <v>3323244</v>
      </c>
      <c r="D126" s="157">
        <v>2438319</v>
      </c>
      <c r="E126" s="157">
        <f t="shared" si="6"/>
        <v>-884925</v>
      </c>
      <c r="F126" s="161">
        <f t="shared" si="7"/>
        <v>-0.26628348685802183</v>
      </c>
    </row>
    <row r="127" spans="1:6" ht="15" customHeight="1" x14ac:dyDescent="0.2">
      <c r="A127" s="147">
        <v>4</v>
      </c>
      <c r="B127" s="169" t="s">
        <v>255</v>
      </c>
      <c r="C127" s="157">
        <v>3193341</v>
      </c>
      <c r="D127" s="157">
        <v>3275972</v>
      </c>
      <c r="E127" s="157">
        <f t="shared" si="6"/>
        <v>82631</v>
      </c>
      <c r="F127" s="161">
        <f t="shared" si="7"/>
        <v>2.5876033909313163E-2</v>
      </c>
    </row>
    <row r="128" spans="1:6" ht="15" customHeight="1" x14ac:dyDescent="0.2">
      <c r="A128" s="147">
        <v>5</v>
      </c>
      <c r="B128" s="169" t="s">
        <v>256</v>
      </c>
      <c r="C128" s="157">
        <v>834549</v>
      </c>
      <c r="D128" s="157">
        <v>957758</v>
      </c>
      <c r="E128" s="157">
        <f t="shared" si="6"/>
        <v>123209</v>
      </c>
      <c r="F128" s="161">
        <f t="shared" si="7"/>
        <v>0.14763542943553942</v>
      </c>
    </row>
    <row r="129" spans="1:6" ht="15" customHeight="1" x14ac:dyDescent="0.2">
      <c r="A129" s="147">
        <v>6</v>
      </c>
      <c r="B129" s="169" t="s">
        <v>257</v>
      </c>
      <c r="C129" s="157">
        <v>2821275</v>
      </c>
      <c r="D129" s="157">
        <v>3729902</v>
      </c>
      <c r="E129" s="157">
        <f t="shared" si="6"/>
        <v>908627</v>
      </c>
      <c r="F129" s="161">
        <f t="shared" si="7"/>
        <v>0.32206254264472622</v>
      </c>
    </row>
    <row r="130" spans="1:6" ht="15.75" customHeight="1" x14ac:dyDescent="0.25">
      <c r="A130" s="147"/>
      <c r="B130" s="165" t="s">
        <v>258</v>
      </c>
      <c r="C130" s="158">
        <f>SUM(C124:C129)</f>
        <v>19889731</v>
      </c>
      <c r="D130" s="158">
        <f>SUM(D124:D129)</f>
        <v>21949709</v>
      </c>
      <c r="E130" s="158">
        <f t="shared" si="6"/>
        <v>2059978</v>
      </c>
      <c r="F130" s="159">
        <f t="shared" si="7"/>
        <v>0.10356992761742227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44952839</v>
      </c>
      <c r="D133" s="157">
        <v>46104481</v>
      </c>
      <c r="E133" s="157">
        <f t="shared" ref="E133:E167" si="8">D133-C133</f>
        <v>1151642</v>
      </c>
      <c r="F133" s="161">
        <f t="shared" ref="F133:F167" si="9">IF(C133=0,0,E133/C133)</f>
        <v>2.5618893614260937E-2</v>
      </c>
    </row>
    <row r="134" spans="1:6" ht="15" customHeight="1" x14ac:dyDescent="0.2">
      <c r="A134" s="147">
        <v>2</v>
      </c>
      <c r="B134" s="169" t="s">
        <v>261</v>
      </c>
      <c r="C134" s="157">
        <v>3958895</v>
      </c>
      <c r="D134" s="157">
        <v>4234212</v>
      </c>
      <c r="E134" s="157">
        <f t="shared" si="8"/>
        <v>275317</v>
      </c>
      <c r="F134" s="161">
        <f t="shared" si="9"/>
        <v>6.9543900507591128E-2</v>
      </c>
    </row>
    <row r="135" spans="1:6" ht="15" customHeight="1" x14ac:dyDescent="0.2">
      <c r="A135" s="147">
        <v>3</v>
      </c>
      <c r="B135" s="169" t="s">
        <v>262</v>
      </c>
      <c r="C135" s="157">
        <v>550743</v>
      </c>
      <c r="D135" s="157">
        <v>581100</v>
      </c>
      <c r="E135" s="157">
        <f t="shared" si="8"/>
        <v>30357</v>
      </c>
      <c r="F135" s="161">
        <f t="shared" si="9"/>
        <v>5.512008323301431E-2</v>
      </c>
    </row>
    <row r="136" spans="1:6" ht="15" customHeight="1" x14ac:dyDescent="0.2">
      <c r="A136" s="147">
        <v>4</v>
      </c>
      <c r="B136" s="169" t="s">
        <v>263</v>
      </c>
      <c r="C136" s="157">
        <v>6636756</v>
      </c>
      <c r="D136" s="157">
        <v>6986299</v>
      </c>
      <c r="E136" s="157">
        <f t="shared" si="8"/>
        <v>349543</v>
      </c>
      <c r="F136" s="161">
        <f t="shared" si="9"/>
        <v>5.2667749123216222E-2</v>
      </c>
    </row>
    <row r="137" spans="1:6" ht="15" customHeight="1" x14ac:dyDescent="0.2">
      <c r="A137" s="147">
        <v>5</v>
      </c>
      <c r="B137" s="169" t="s">
        <v>264</v>
      </c>
      <c r="C137" s="157">
        <v>9674502</v>
      </c>
      <c r="D137" s="157">
        <v>10216226</v>
      </c>
      <c r="E137" s="157">
        <f t="shared" si="8"/>
        <v>541724</v>
      </c>
      <c r="F137" s="161">
        <f t="shared" si="9"/>
        <v>5.5995026927484225E-2</v>
      </c>
    </row>
    <row r="138" spans="1:6" ht="15" customHeight="1" x14ac:dyDescent="0.2">
      <c r="A138" s="147">
        <v>6</v>
      </c>
      <c r="B138" s="169" t="s">
        <v>265</v>
      </c>
      <c r="C138" s="157">
        <v>2519992</v>
      </c>
      <c r="D138" s="157">
        <v>2719444</v>
      </c>
      <c r="E138" s="157">
        <f t="shared" si="8"/>
        <v>199452</v>
      </c>
      <c r="F138" s="161">
        <f t="shared" si="9"/>
        <v>7.9147870310699406E-2</v>
      </c>
    </row>
    <row r="139" spans="1:6" ht="15" customHeight="1" x14ac:dyDescent="0.2">
      <c r="A139" s="147">
        <v>7</v>
      </c>
      <c r="B139" s="169" t="s">
        <v>266</v>
      </c>
      <c r="C139" s="157">
        <v>4030883</v>
      </c>
      <c r="D139" s="157">
        <v>4090500</v>
      </c>
      <c r="E139" s="157">
        <f t="shared" si="8"/>
        <v>59617</v>
      </c>
      <c r="F139" s="161">
        <f t="shared" si="9"/>
        <v>1.4790059646980575E-2</v>
      </c>
    </row>
    <row r="140" spans="1:6" ht="15" customHeight="1" x14ac:dyDescent="0.2">
      <c r="A140" s="147">
        <v>8</v>
      </c>
      <c r="B140" s="169" t="s">
        <v>267</v>
      </c>
      <c r="C140" s="157">
        <v>1178595</v>
      </c>
      <c r="D140" s="157">
        <v>1238561</v>
      </c>
      <c r="E140" s="157">
        <f t="shared" si="8"/>
        <v>59966</v>
      </c>
      <c r="F140" s="161">
        <f t="shared" si="9"/>
        <v>5.0879224839745628E-2</v>
      </c>
    </row>
    <row r="141" spans="1:6" ht="15" customHeight="1" x14ac:dyDescent="0.2">
      <c r="A141" s="147">
        <v>9</v>
      </c>
      <c r="B141" s="169" t="s">
        <v>268</v>
      </c>
      <c r="C141" s="157">
        <v>1747031</v>
      </c>
      <c r="D141" s="157">
        <v>1905737</v>
      </c>
      <c r="E141" s="157">
        <f t="shared" si="8"/>
        <v>158706</v>
      </c>
      <c r="F141" s="161">
        <f t="shared" si="9"/>
        <v>9.0843264944926561E-2</v>
      </c>
    </row>
    <row r="142" spans="1:6" ht="15" customHeight="1" x14ac:dyDescent="0.2">
      <c r="A142" s="147">
        <v>10</v>
      </c>
      <c r="B142" s="169" t="s">
        <v>269</v>
      </c>
      <c r="C142" s="157">
        <v>20400680</v>
      </c>
      <c r="D142" s="157">
        <v>22158691</v>
      </c>
      <c r="E142" s="157">
        <f t="shared" si="8"/>
        <v>1758011</v>
      </c>
      <c r="F142" s="161">
        <f t="shared" si="9"/>
        <v>8.6174137332677148E-2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7790859</v>
      </c>
      <c r="D144" s="157">
        <v>8072219</v>
      </c>
      <c r="E144" s="157">
        <f t="shared" si="8"/>
        <v>281360</v>
      </c>
      <c r="F144" s="161">
        <f t="shared" si="9"/>
        <v>3.6114117839894162E-2</v>
      </c>
    </row>
    <row r="145" spans="1:6" ht="15" customHeight="1" x14ac:dyDescent="0.2">
      <c r="A145" s="147">
        <v>13</v>
      </c>
      <c r="B145" s="169" t="s">
        <v>272</v>
      </c>
      <c r="C145" s="157">
        <v>6759408</v>
      </c>
      <c r="D145" s="157">
        <v>6925237</v>
      </c>
      <c r="E145" s="157">
        <f t="shared" si="8"/>
        <v>165829</v>
      </c>
      <c r="F145" s="161">
        <f t="shared" si="9"/>
        <v>2.4533065617580712E-2</v>
      </c>
    </row>
    <row r="146" spans="1:6" ht="15" customHeight="1" x14ac:dyDescent="0.2">
      <c r="A146" s="147">
        <v>14</v>
      </c>
      <c r="B146" s="169" t="s">
        <v>273</v>
      </c>
      <c r="C146" s="157">
        <v>300163</v>
      </c>
      <c r="D146" s="157">
        <v>302937</v>
      </c>
      <c r="E146" s="157">
        <f t="shared" si="8"/>
        <v>2774</v>
      </c>
      <c r="F146" s="161">
        <f t="shared" si="9"/>
        <v>9.2416453726808442E-3</v>
      </c>
    </row>
    <row r="147" spans="1:6" ht="15" customHeight="1" x14ac:dyDescent="0.2">
      <c r="A147" s="147">
        <v>15</v>
      </c>
      <c r="B147" s="169" t="s">
        <v>274</v>
      </c>
      <c r="C147" s="157">
        <v>256324</v>
      </c>
      <c r="D147" s="157">
        <v>347661</v>
      </c>
      <c r="E147" s="157">
        <f t="shared" si="8"/>
        <v>91337</v>
      </c>
      <c r="F147" s="161">
        <f t="shared" si="9"/>
        <v>0.35633417081506219</v>
      </c>
    </row>
    <row r="148" spans="1:6" ht="15" customHeight="1" x14ac:dyDescent="0.2">
      <c r="A148" s="147">
        <v>16</v>
      </c>
      <c r="B148" s="169" t="s">
        <v>275</v>
      </c>
      <c r="C148" s="157">
        <v>64631</v>
      </c>
      <c r="D148" s="157">
        <v>60955</v>
      </c>
      <c r="E148" s="157">
        <f t="shared" si="8"/>
        <v>-3676</v>
      </c>
      <c r="F148" s="161">
        <f t="shared" si="9"/>
        <v>-5.6876730980489239E-2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3716797</v>
      </c>
      <c r="D150" s="157">
        <v>3935606</v>
      </c>
      <c r="E150" s="157">
        <f t="shared" si="8"/>
        <v>218809</v>
      </c>
      <c r="F150" s="161">
        <f t="shared" si="9"/>
        <v>5.8870312260798745E-2</v>
      </c>
    </row>
    <row r="151" spans="1:6" ht="15" customHeight="1" x14ac:dyDescent="0.2">
      <c r="A151" s="147">
        <v>19</v>
      </c>
      <c r="B151" s="169" t="s">
        <v>278</v>
      </c>
      <c r="C151" s="157">
        <v>813417</v>
      </c>
      <c r="D151" s="157">
        <v>894606</v>
      </c>
      <c r="E151" s="157">
        <f t="shared" si="8"/>
        <v>81189</v>
      </c>
      <c r="F151" s="161">
        <f t="shared" si="9"/>
        <v>9.9812273409579585E-2</v>
      </c>
    </row>
    <row r="152" spans="1:6" ht="15" customHeight="1" x14ac:dyDescent="0.2">
      <c r="A152" s="147">
        <v>20</v>
      </c>
      <c r="B152" s="169" t="s">
        <v>279</v>
      </c>
      <c r="C152" s="157">
        <v>907429</v>
      </c>
      <c r="D152" s="157">
        <v>923448</v>
      </c>
      <c r="E152" s="157">
        <f t="shared" si="8"/>
        <v>16019</v>
      </c>
      <c r="F152" s="161">
        <f t="shared" si="9"/>
        <v>1.7653171763300491E-2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422643</v>
      </c>
      <c r="D155" s="157">
        <v>325380</v>
      </c>
      <c r="E155" s="157">
        <f t="shared" si="8"/>
        <v>-97263</v>
      </c>
      <c r="F155" s="161">
        <f t="shared" si="9"/>
        <v>-0.2301303937365578</v>
      </c>
    </row>
    <row r="156" spans="1:6" ht="15" customHeight="1" x14ac:dyDescent="0.2">
      <c r="A156" s="147">
        <v>24</v>
      </c>
      <c r="B156" s="169" t="s">
        <v>283</v>
      </c>
      <c r="C156" s="157">
        <v>9324432</v>
      </c>
      <c r="D156" s="157">
        <v>9271306</v>
      </c>
      <c r="E156" s="157">
        <f t="shared" si="8"/>
        <v>-53126</v>
      </c>
      <c r="F156" s="161">
        <f t="shared" si="9"/>
        <v>-5.6975052206933354E-3</v>
      </c>
    </row>
    <row r="157" spans="1:6" ht="15" customHeight="1" x14ac:dyDescent="0.2">
      <c r="A157" s="147">
        <v>25</v>
      </c>
      <c r="B157" s="169" t="s">
        <v>284</v>
      </c>
      <c r="C157" s="157">
        <v>2052469</v>
      </c>
      <c r="D157" s="157">
        <v>2366540</v>
      </c>
      <c r="E157" s="157">
        <f t="shared" si="8"/>
        <v>314071</v>
      </c>
      <c r="F157" s="161">
        <f t="shared" si="9"/>
        <v>0.15302106877131882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478450</v>
      </c>
      <c r="D159" s="157">
        <v>444800</v>
      </c>
      <c r="E159" s="157">
        <f t="shared" si="8"/>
        <v>-33650</v>
      </c>
      <c r="F159" s="161">
        <f t="shared" si="9"/>
        <v>-7.0331278085484381E-2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4453056</v>
      </c>
      <c r="D164" s="157">
        <v>5146705</v>
      </c>
      <c r="E164" s="157">
        <f t="shared" si="8"/>
        <v>693649</v>
      </c>
      <c r="F164" s="161">
        <f t="shared" si="9"/>
        <v>0.15576920658532029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222</v>
      </c>
      <c r="D166" s="157">
        <v>0</v>
      </c>
      <c r="E166" s="157">
        <f t="shared" si="8"/>
        <v>-222</v>
      </c>
      <c r="F166" s="161">
        <f t="shared" si="9"/>
        <v>-1</v>
      </c>
    </row>
    <row r="167" spans="1:6" ht="15.75" customHeight="1" x14ac:dyDescent="0.25">
      <c r="A167" s="147"/>
      <c r="B167" s="165" t="s">
        <v>294</v>
      </c>
      <c r="C167" s="158">
        <f>SUM(C133:C166)</f>
        <v>132991216</v>
      </c>
      <c r="D167" s="158">
        <f>SUM(D133:D166)</f>
        <v>139252651</v>
      </c>
      <c r="E167" s="158">
        <f t="shared" si="8"/>
        <v>6261435</v>
      </c>
      <c r="F167" s="159">
        <f t="shared" si="9"/>
        <v>4.7081568154095227E-2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63555996</v>
      </c>
      <c r="D170" s="157">
        <v>66801552</v>
      </c>
      <c r="E170" s="157">
        <f t="shared" ref="E170:E183" si="10">D170-C170</f>
        <v>3245556</v>
      </c>
      <c r="F170" s="161">
        <f t="shared" ref="F170:F183" si="11">IF(C170=0,0,E170/C170)</f>
        <v>5.1066086667888894E-2</v>
      </c>
    </row>
    <row r="171" spans="1:6" ht="15" customHeight="1" x14ac:dyDescent="0.2">
      <c r="A171" s="147">
        <v>2</v>
      </c>
      <c r="B171" s="169" t="s">
        <v>297</v>
      </c>
      <c r="C171" s="157">
        <v>8901117</v>
      </c>
      <c r="D171" s="157">
        <v>8790134</v>
      </c>
      <c r="E171" s="157">
        <f t="shared" si="10"/>
        <v>-110983</v>
      </c>
      <c r="F171" s="161">
        <f t="shared" si="11"/>
        <v>-1.2468435141342374E-2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4011262</v>
      </c>
      <c r="D173" s="157">
        <v>4637646</v>
      </c>
      <c r="E173" s="157">
        <f t="shared" si="10"/>
        <v>626384</v>
      </c>
      <c r="F173" s="161">
        <f t="shared" si="11"/>
        <v>0.15615634181960689</v>
      </c>
    </row>
    <row r="174" spans="1:6" ht="15" customHeight="1" x14ac:dyDescent="0.2">
      <c r="A174" s="147">
        <v>5</v>
      </c>
      <c r="B174" s="169" t="s">
        <v>300</v>
      </c>
      <c r="C174" s="157">
        <v>4754434</v>
      </c>
      <c r="D174" s="157">
        <v>5011779</v>
      </c>
      <c r="E174" s="157">
        <f t="shared" si="10"/>
        <v>257345</v>
      </c>
      <c r="F174" s="161">
        <f t="shared" si="11"/>
        <v>5.4127368262973048E-2</v>
      </c>
    </row>
    <row r="175" spans="1:6" ht="15" customHeight="1" x14ac:dyDescent="0.2">
      <c r="A175" s="147">
        <v>6</v>
      </c>
      <c r="B175" s="169" t="s">
        <v>301</v>
      </c>
      <c r="C175" s="157">
        <v>5587699</v>
      </c>
      <c r="D175" s="157">
        <v>6168266</v>
      </c>
      <c r="E175" s="157">
        <f t="shared" si="10"/>
        <v>580567</v>
      </c>
      <c r="F175" s="161">
        <f t="shared" si="11"/>
        <v>0.10390090804819659</v>
      </c>
    </row>
    <row r="176" spans="1:6" ht="15" customHeight="1" x14ac:dyDescent="0.2">
      <c r="A176" s="147">
        <v>7</v>
      </c>
      <c r="B176" s="169" t="s">
        <v>302</v>
      </c>
      <c r="C176" s="157">
        <v>1982011</v>
      </c>
      <c r="D176" s="157">
        <v>2333225</v>
      </c>
      <c r="E176" s="157">
        <f t="shared" si="10"/>
        <v>351214</v>
      </c>
      <c r="F176" s="161">
        <f t="shared" si="11"/>
        <v>0.17720083289144209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2265354</v>
      </c>
      <c r="D178" s="157">
        <v>2220797</v>
      </c>
      <c r="E178" s="157">
        <f t="shared" si="10"/>
        <v>-44557</v>
      </c>
      <c r="F178" s="161">
        <f t="shared" si="11"/>
        <v>-1.9668890601645481E-2</v>
      </c>
    </row>
    <row r="179" spans="1:6" ht="15" customHeight="1" x14ac:dyDescent="0.2">
      <c r="A179" s="147">
        <v>10</v>
      </c>
      <c r="B179" s="169" t="s">
        <v>305</v>
      </c>
      <c r="C179" s="157">
        <v>3825164</v>
      </c>
      <c r="D179" s="157">
        <v>3913824</v>
      </c>
      <c r="E179" s="157">
        <f t="shared" si="10"/>
        <v>88660</v>
      </c>
      <c r="F179" s="161">
        <f t="shared" si="11"/>
        <v>2.317809118772424E-2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8119058</v>
      </c>
      <c r="D181" s="157">
        <v>8022637</v>
      </c>
      <c r="E181" s="157">
        <f t="shared" si="10"/>
        <v>-96421</v>
      </c>
      <c r="F181" s="161">
        <f t="shared" si="11"/>
        <v>-1.187588510883898E-2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103002095</v>
      </c>
      <c r="D183" s="158">
        <f>SUM(D170:D182)</f>
        <v>107899860</v>
      </c>
      <c r="E183" s="158">
        <f t="shared" si="10"/>
        <v>4897765</v>
      </c>
      <c r="F183" s="159">
        <f t="shared" si="11"/>
        <v>4.7550149344049747E-2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20270222</v>
      </c>
      <c r="D186" s="157">
        <v>21010913</v>
      </c>
      <c r="E186" s="157">
        <f>D186-C186</f>
        <v>740691</v>
      </c>
      <c r="F186" s="161">
        <f>IF(C186=0,0,E186/C186)</f>
        <v>3.6540843015927499E-2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482124601</v>
      </c>
      <c r="D188" s="158">
        <f>+D186+D183+D167+D130+D121</f>
        <v>453664905</v>
      </c>
      <c r="E188" s="158">
        <f>D188-C188</f>
        <v>-28459696</v>
      </c>
      <c r="F188" s="159">
        <f>IF(C188=0,0,E188/C188)</f>
        <v>-5.9029752767169E-2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475258979</v>
      </c>
      <c r="D11" s="183">
        <v>504856844</v>
      </c>
      <c r="E11" s="76">
        <v>465884745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22722727</v>
      </c>
      <c r="D12" s="185">
        <v>24382136</v>
      </c>
      <c r="E12" s="185">
        <v>19191199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497981706</v>
      </c>
      <c r="D13" s="76">
        <f>+D11+D12</f>
        <v>529238980</v>
      </c>
      <c r="E13" s="76">
        <f>+E11+E12</f>
        <v>485075944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461480665</v>
      </c>
      <c r="D14" s="185">
        <v>482124601</v>
      </c>
      <c r="E14" s="185">
        <v>453664905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36501041</v>
      </c>
      <c r="D15" s="76">
        <f>+D13-D14</f>
        <v>47114379</v>
      </c>
      <c r="E15" s="76">
        <f>+E13-E14</f>
        <v>31411039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221386</v>
      </c>
      <c r="D16" s="185">
        <v>-10097527</v>
      </c>
      <c r="E16" s="185">
        <v>1087375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36722427</v>
      </c>
      <c r="D17" s="76">
        <f>D15+D16</f>
        <v>37016852</v>
      </c>
      <c r="E17" s="76">
        <f>E15+E16</f>
        <v>32498414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7.3265384310380793E-2</v>
      </c>
      <c r="D20" s="189">
        <f>IF(+D27=0,0,+D24/+D27)</f>
        <v>9.0754415251829257E-2</v>
      </c>
      <c r="E20" s="189">
        <f>IF(+E27=0,0,+E24/+E27)</f>
        <v>6.4610055453402065E-2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4.4436898035149085E-4</v>
      </c>
      <c r="D21" s="189">
        <f>IF(D27=0,0,+D26/D27)</f>
        <v>-1.9450434831679683E-2</v>
      </c>
      <c r="E21" s="189">
        <f>IF(E27=0,0,+E26/E27)</f>
        <v>2.2366455006038823E-3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7.3709753290732288E-2</v>
      </c>
      <c r="D22" s="189">
        <f>IF(D27=0,0,+D28/D27)</f>
        <v>7.1303980420149571E-2</v>
      </c>
      <c r="E22" s="189">
        <f>IF(E27=0,0,+E28/E27)</f>
        <v>6.6846700954005953E-2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36501041</v>
      </c>
      <c r="D24" s="76">
        <f>+D15</f>
        <v>47114379</v>
      </c>
      <c r="E24" s="76">
        <f>+E15</f>
        <v>31411039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497981706</v>
      </c>
      <c r="D25" s="76">
        <f>+D13</f>
        <v>529238980</v>
      </c>
      <c r="E25" s="76">
        <f>+E13</f>
        <v>485075944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221386</v>
      </c>
      <c r="D26" s="76">
        <f>+D16</f>
        <v>-10097527</v>
      </c>
      <c r="E26" s="76">
        <f>+E16</f>
        <v>1087375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498203092</v>
      </c>
      <c r="D27" s="76">
        <f>+D25+D26</f>
        <v>519141453</v>
      </c>
      <c r="E27" s="76">
        <f>+E25+E26</f>
        <v>486163319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36722427</v>
      </c>
      <c r="D28" s="76">
        <f>+D17</f>
        <v>37016852</v>
      </c>
      <c r="E28" s="76">
        <f>+E17</f>
        <v>32498414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108504000</v>
      </c>
      <c r="D31" s="76">
        <v>120895000</v>
      </c>
      <c r="E31" s="76">
        <v>160467000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135199000</v>
      </c>
      <c r="D32" s="76">
        <v>161014000</v>
      </c>
      <c r="E32" s="76">
        <v>208376000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25616000</v>
      </c>
      <c r="D33" s="76">
        <f>+D32-C32</f>
        <v>25815000</v>
      </c>
      <c r="E33" s="76">
        <f>+E32-D32</f>
        <v>47362000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1.2337</v>
      </c>
      <c r="D34" s="193">
        <f>IF(C32=0,0,+D33/C32)</f>
        <v>0.19094076139616417</v>
      </c>
      <c r="E34" s="193">
        <f>IF(D32=0,0,+E33/D32)</f>
        <v>0.29414833492739761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0.3109874061670746</v>
      </c>
      <c r="D38" s="195">
        <f>IF((D40+D41)=0,0,+D39/(D40+D41))</f>
        <v>0.28944168022766725</v>
      </c>
      <c r="E38" s="195">
        <f>IF((E40+E41)=0,0,+E39/(E40+E41))</f>
        <v>0.26094502865700037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461480665</v>
      </c>
      <c r="D39" s="76">
        <v>482124601</v>
      </c>
      <c r="E39" s="196">
        <v>453664905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1459332524</v>
      </c>
      <c r="D40" s="76">
        <v>1642590508</v>
      </c>
      <c r="E40" s="196">
        <v>1720809095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24588226</v>
      </c>
      <c r="D41" s="76">
        <v>23115000</v>
      </c>
      <c r="E41" s="196">
        <v>17736787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1.4273417792279655</v>
      </c>
      <c r="D43" s="197">
        <f>IF(D38=0,0,IF((D46-D47)=0,0,((+D44-D45)/(D46-D47)/D38)))</f>
        <v>1.4934091262043196</v>
      </c>
      <c r="E43" s="197">
        <f>IF(E38=0,0,IF((E46-E47)=0,0,((+E44-E45)/(E46-E47)/E38)))</f>
        <v>1.6397542632566127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297292692</v>
      </c>
      <c r="D44" s="76">
        <v>313955958</v>
      </c>
      <c r="E44" s="196">
        <v>324502818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2038295</v>
      </c>
      <c r="D45" s="76">
        <v>2010566</v>
      </c>
      <c r="E45" s="196">
        <v>2091273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738397382</v>
      </c>
      <c r="D46" s="76">
        <v>809729102</v>
      </c>
      <c r="E46" s="196">
        <v>833020079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73238195</v>
      </c>
      <c r="D47" s="76">
        <v>88059017</v>
      </c>
      <c r="E47" s="76">
        <v>79520891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0.61071862436673041</v>
      </c>
      <c r="D49" s="198">
        <f>IF(D38=0,0,IF(D51=0,0,(D50/D51)/D38))</f>
        <v>0.63612077447481108</v>
      </c>
      <c r="E49" s="198">
        <f>IF(E38=0,0,IF(E51=0,0,(E50/E51)/E38))</f>
        <v>0.69899979975238946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101191530</v>
      </c>
      <c r="D50" s="199">
        <v>112070218</v>
      </c>
      <c r="E50" s="199">
        <v>114539033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532795068</v>
      </c>
      <c r="D51" s="199">
        <v>608680750</v>
      </c>
      <c r="E51" s="199">
        <v>627953425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0.49580287915977311</v>
      </c>
      <c r="D53" s="198">
        <f>IF(D38=0,0,IF(D55=0,0,(D54/D55)/D38))</f>
        <v>0.58420697988360659</v>
      </c>
      <c r="E53" s="198">
        <f>IF(E38=0,0,IF(E55=0,0,(E54/E55)/E38))</f>
        <v>0.57534813067674262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28079037</v>
      </c>
      <c r="D54" s="199">
        <v>36819909</v>
      </c>
      <c r="E54" s="199">
        <v>38166531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182108561</v>
      </c>
      <c r="D55" s="199">
        <v>217748363</v>
      </c>
      <c r="E55" s="199">
        <v>254216043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23111558.389871445</v>
      </c>
      <c r="D57" s="88">
        <f>+D60*D38</f>
        <v>25108167.332774706</v>
      </c>
      <c r="E57" s="88">
        <f>+E60*E38</f>
        <v>20268313.016662482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27344589</v>
      </c>
      <c r="D58" s="199">
        <v>34807823</v>
      </c>
      <c r="E58" s="199">
        <v>28856190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46972113</v>
      </c>
      <c r="D59" s="199">
        <v>51939073</v>
      </c>
      <c r="E59" s="199">
        <v>48816541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74316702</v>
      </c>
      <c r="D60" s="76">
        <v>86746896</v>
      </c>
      <c r="E60" s="201">
        <v>77672731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5.0081314652416574E-2</v>
      </c>
      <c r="D62" s="202">
        <f>IF(D63=0,0,+D57/D63)</f>
        <v>5.2078170831143099E-2</v>
      </c>
      <c r="E62" s="202">
        <f>IF(E63=0,0,+E57/E63)</f>
        <v>4.4676837007399731E-2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461480665</v>
      </c>
      <c r="D63" s="199">
        <v>482124601</v>
      </c>
      <c r="E63" s="199">
        <v>453664905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1.9144197662576985</v>
      </c>
      <c r="D67" s="203">
        <f>IF(D69=0,0,D68/D69)</f>
        <v>1.79809199318569</v>
      </c>
      <c r="E67" s="203">
        <f>IF(E69=0,0,E68/E69)</f>
        <v>1.7765027421310793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157909000</v>
      </c>
      <c r="D68" s="204">
        <v>184709000</v>
      </c>
      <c r="E68" s="204">
        <v>196300000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82484000</v>
      </c>
      <c r="D69" s="204">
        <v>102725000</v>
      </c>
      <c r="E69" s="204">
        <v>110498000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68.070059269836236</v>
      </c>
      <c r="D71" s="203">
        <f>IF((D77/365)=0,0,+D74/(D77/365))</f>
        <v>78.659936253877135</v>
      </c>
      <c r="E71" s="203">
        <f>IF((E77/365)=0,0,+E74/(E77/365))</f>
        <v>90.04264879979813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80693000</v>
      </c>
      <c r="D72" s="183">
        <v>68128000</v>
      </c>
      <c r="E72" s="183">
        <v>105744000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276000</v>
      </c>
      <c r="D73" s="206">
        <v>30119000</v>
      </c>
      <c r="E73" s="206">
        <v>44000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80969000</v>
      </c>
      <c r="D74" s="204">
        <f>+D72+D73</f>
        <v>98247000</v>
      </c>
      <c r="E74" s="204">
        <f>+E72+E73</f>
        <v>105788000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461480665</v>
      </c>
      <c r="D75" s="204">
        <f>+D14</f>
        <v>482124601</v>
      </c>
      <c r="E75" s="204">
        <f>+E14</f>
        <v>453664905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27314964</v>
      </c>
      <c r="D76" s="204">
        <v>26236169</v>
      </c>
      <c r="E76" s="204">
        <v>24839004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434165701</v>
      </c>
      <c r="D77" s="204">
        <f>+D75-D76</f>
        <v>455888432</v>
      </c>
      <c r="E77" s="204">
        <f>+E75-E76</f>
        <v>428825901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43.773060413867533</v>
      </c>
      <c r="D79" s="203">
        <f>IF((D84/365)=0,0,+D83/(D84/365))</f>
        <v>43.194997273326059</v>
      </c>
      <c r="E79" s="203">
        <f>IF((E84/365)=0,0,+E83/(E84/365))</f>
        <v>51.052315524948128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59828000</v>
      </c>
      <c r="D80" s="212">
        <v>64792000</v>
      </c>
      <c r="E80" s="212">
        <v>68026000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2592000</v>
      </c>
      <c r="D81" s="212">
        <v>2554000</v>
      </c>
      <c r="E81" s="212">
        <v>3366000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5424000</v>
      </c>
      <c r="D82" s="212">
        <v>7600000</v>
      </c>
      <c r="E82" s="212">
        <v>6229000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56996000</v>
      </c>
      <c r="D83" s="212">
        <f>+D80+D81-D82</f>
        <v>59746000</v>
      </c>
      <c r="E83" s="212">
        <f>+E80+E81-E82</f>
        <v>65163000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475258979</v>
      </c>
      <c r="D84" s="204">
        <f>+D11</f>
        <v>504856844</v>
      </c>
      <c r="E84" s="204">
        <f>+E11</f>
        <v>465884745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69.343708935681221</v>
      </c>
      <c r="D86" s="203">
        <f>IF((D90/365)=0,0,+D87/(D90/365))</f>
        <v>82.245177477984356</v>
      </c>
      <c r="E86" s="203">
        <f>IF((E90/365)=0,0,+E87/(E90/365))</f>
        <v>94.05161839792882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82484000</v>
      </c>
      <c r="D87" s="76">
        <f>+D69</f>
        <v>102725000</v>
      </c>
      <c r="E87" s="76">
        <f>+E69</f>
        <v>110498000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461480665</v>
      </c>
      <c r="D88" s="76">
        <f t="shared" si="0"/>
        <v>482124601</v>
      </c>
      <c r="E88" s="76">
        <f t="shared" si="0"/>
        <v>453664905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27314964</v>
      </c>
      <c r="D89" s="201">
        <f t="shared" si="0"/>
        <v>26236169</v>
      </c>
      <c r="E89" s="201">
        <f t="shared" si="0"/>
        <v>24839004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434165701</v>
      </c>
      <c r="D90" s="76">
        <f>+D88-D89</f>
        <v>455888432</v>
      </c>
      <c r="E90" s="76">
        <f>+E88-E89</f>
        <v>428825901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28.257057524019725</v>
      </c>
      <c r="D94" s="214">
        <f>IF(D96=0,0,(D95/D96)*100)</f>
        <v>20.174791221596429</v>
      </c>
      <c r="E94" s="214">
        <f>IF(E96=0,0,(E95/E96)*100)</f>
        <v>26.119154163376329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135199000</v>
      </c>
      <c r="D95" s="76">
        <f>+D32</f>
        <v>161014000</v>
      </c>
      <c r="E95" s="76">
        <f>+E32</f>
        <v>208376000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478461000</v>
      </c>
      <c r="D96" s="76">
        <v>798095000</v>
      </c>
      <c r="E96" s="76">
        <v>797790000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30.133966561416219</v>
      </c>
      <c r="D98" s="214">
        <f>IF(D104=0,0,(D101/D104)*100)</f>
        <v>13.125620402361463</v>
      </c>
      <c r="E98" s="214">
        <f>IF(E104=0,0,(E101/E104)*100)</f>
        <v>11.846182357608013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36722427</v>
      </c>
      <c r="D99" s="76">
        <f>+D28</f>
        <v>37016852</v>
      </c>
      <c r="E99" s="76">
        <f>+E28</f>
        <v>32498414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27314964</v>
      </c>
      <c r="D100" s="201">
        <f>+D76</f>
        <v>26236169</v>
      </c>
      <c r="E100" s="201">
        <f>+E76</f>
        <v>24839004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64037391</v>
      </c>
      <c r="D101" s="76">
        <f>+D99+D100</f>
        <v>63253021</v>
      </c>
      <c r="E101" s="76">
        <f>+E99+E100</f>
        <v>57337418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82484000</v>
      </c>
      <c r="D102" s="204">
        <f>+D69</f>
        <v>102725000</v>
      </c>
      <c r="E102" s="204">
        <f>+E69</f>
        <v>110498000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130025000</v>
      </c>
      <c r="D103" s="216">
        <v>379180000</v>
      </c>
      <c r="E103" s="216">
        <v>373518000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212509000</v>
      </c>
      <c r="D104" s="204">
        <f>+D102+D103</f>
        <v>481905000</v>
      </c>
      <c r="E104" s="204">
        <f>+E102+E103</f>
        <v>484016000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49.024598075588941</v>
      </c>
      <c r="D106" s="214">
        <f>IF(D109=0,0,(D107/D109)*100)</f>
        <v>70.193300925223156</v>
      </c>
      <c r="E106" s="214">
        <f>IF(E109=0,0,(E107/E109)*100)</f>
        <v>64.190041485218956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130025000</v>
      </c>
      <c r="D107" s="204">
        <f>+D103</f>
        <v>379180000</v>
      </c>
      <c r="E107" s="204">
        <f>+E103</f>
        <v>373518000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135199000</v>
      </c>
      <c r="D108" s="204">
        <f>+D32</f>
        <v>161014000</v>
      </c>
      <c r="E108" s="204">
        <f>+E32</f>
        <v>208376000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265224000</v>
      </c>
      <c r="D109" s="204">
        <f>+D107+D108</f>
        <v>540194000</v>
      </c>
      <c r="E109" s="204">
        <f>+E107+E108</f>
        <v>581894000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6.8750039644974681</v>
      </c>
      <c r="D111" s="214">
        <f>IF((+D113+D115)=0,0,((+D112+D113+D114)/(+D113+D115)))</f>
        <v>6.511785769174276</v>
      </c>
      <c r="E111" s="214">
        <f>IF((+E113+E115)=0,0,((+E112+E113+E114)/(+E113+E115)))</f>
        <v>5.5729513369228982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36722427</v>
      </c>
      <c r="D112" s="76">
        <f>+D17</f>
        <v>37016852</v>
      </c>
      <c r="E112" s="76">
        <f>+E17</f>
        <v>32498414</v>
      </c>
    </row>
    <row r="113" spans="1:8" ht="24" customHeight="1" x14ac:dyDescent="0.2">
      <c r="A113" s="85">
        <v>17</v>
      </c>
      <c r="B113" s="75" t="s">
        <v>88</v>
      </c>
      <c r="C113" s="218">
        <v>5545081</v>
      </c>
      <c r="D113" s="76">
        <v>5640878</v>
      </c>
      <c r="E113" s="76">
        <v>6274383</v>
      </c>
    </row>
    <row r="114" spans="1:8" ht="24" customHeight="1" x14ac:dyDescent="0.2">
      <c r="A114" s="85">
        <v>18</v>
      </c>
      <c r="B114" s="75" t="s">
        <v>374</v>
      </c>
      <c r="C114" s="218">
        <v>27314964</v>
      </c>
      <c r="D114" s="76">
        <v>26236169</v>
      </c>
      <c r="E114" s="76">
        <v>24839004</v>
      </c>
    </row>
    <row r="115" spans="1:8" ht="24" customHeight="1" x14ac:dyDescent="0.2">
      <c r="A115" s="85">
        <v>19</v>
      </c>
      <c r="B115" s="75" t="s">
        <v>104</v>
      </c>
      <c r="C115" s="218">
        <v>4576000</v>
      </c>
      <c r="D115" s="76">
        <v>4939000</v>
      </c>
      <c r="E115" s="76">
        <v>5140000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11.482643725981115</v>
      </c>
      <c r="D119" s="214">
        <f>IF(+D121=0,0,(+D120)/(+D121))</f>
        <v>12.946592926734082</v>
      </c>
      <c r="E119" s="214">
        <f>IF(+E121=0,0,(+E120)/(+E121))</f>
        <v>14.637301882152762</v>
      </c>
    </row>
    <row r="120" spans="1:8" ht="24" customHeight="1" x14ac:dyDescent="0.2">
      <c r="A120" s="85">
        <v>21</v>
      </c>
      <c r="B120" s="75" t="s">
        <v>378</v>
      </c>
      <c r="C120" s="218">
        <v>313648000</v>
      </c>
      <c r="D120" s="218">
        <v>339669000</v>
      </c>
      <c r="E120" s="218">
        <v>363576000</v>
      </c>
    </row>
    <row r="121" spans="1:8" ht="24" customHeight="1" x14ac:dyDescent="0.2">
      <c r="A121" s="85">
        <v>22</v>
      </c>
      <c r="B121" s="75" t="s">
        <v>374</v>
      </c>
      <c r="C121" s="218">
        <v>27314964</v>
      </c>
      <c r="D121" s="218">
        <v>26236169</v>
      </c>
      <c r="E121" s="218">
        <v>24839004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74442</v>
      </c>
      <c r="D124" s="218">
        <v>70911</v>
      </c>
      <c r="E124" s="218">
        <v>71656</v>
      </c>
    </row>
    <row r="125" spans="1:8" ht="24" customHeight="1" x14ac:dyDescent="0.2">
      <c r="A125" s="85">
        <v>2</v>
      </c>
      <c r="B125" s="75" t="s">
        <v>381</v>
      </c>
      <c r="C125" s="218">
        <v>14940</v>
      </c>
      <c r="D125" s="218">
        <v>14294</v>
      </c>
      <c r="E125" s="218">
        <v>14871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4.9827309236947794</v>
      </c>
      <c r="D126" s="219">
        <f>IF(D125=0,0,D124/D125)</f>
        <v>4.9608926822442987</v>
      </c>
      <c r="E126" s="219">
        <f>IF(E125=0,0,E124/E125)</f>
        <v>4.8185058166902026</v>
      </c>
    </row>
    <row r="127" spans="1:8" ht="24" customHeight="1" x14ac:dyDescent="0.2">
      <c r="A127" s="85">
        <v>4</v>
      </c>
      <c r="B127" s="75" t="s">
        <v>383</v>
      </c>
      <c r="C127" s="218">
        <v>271</v>
      </c>
      <c r="D127" s="218">
        <v>267</v>
      </c>
      <c r="E127" s="218">
        <v>267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325</v>
      </c>
      <c r="E128" s="218">
        <v>325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322</v>
      </c>
      <c r="D129" s="218">
        <v>330</v>
      </c>
      <c r="E129" s="218">
        <v>330</v>
      </c>
    </row>
    <row r="130" spans="1:7" ht="24" customHeight="1" x14ac:dyDescent="0.2">
      <c r="A130" s="85">
        <v>7</v>
      </c>
      <c r="B130" s="75" t="s">
        <v>386</v>
      </c>
      <c r="C130" s="193">
        <v>0.75249999999999995</v>
      </c>
      <c r="D130" s="193">
        <v>0.72760000000000002</v>
      </c>
      <c r="E130" s="193">
        <v>0.73519999999999996</v>
      </c>
    </row>
    <row r="131" spans="1:7" ht="24" customHeight="1" x14ac:dyDescent="0.2">
      <c r="A131" s="85">
        <v>8</v>
      </c>
      <c r="B131" s="75" t="s">
        <v>387</v>
      </c>
      <c r="C131" s="193">
        <v>0.63329999999999997</v>
      </c>
      <c r="D131" s="193">
        <v>0.59770000000000001</v>
      </c>
      <c r="E131" s="193">
        <v>0.60399999999999998</v>
      </c>
    </row>
    <row r="132" spans="1:7" ht="24" customHeight="1" x14ac:dyDescent="0.2">
      <c r="A132" s="85">
        <v>9</v>
      </c>
      <c r="B132" s="75" t="s">
        <v>388</v>
      </c>
      <c r="C132" s="219">
        <v>2089.4</v>
      </c>
      <c r="D132" s="219">
        <v>2034.6</v>
      </c>
      <c r="E132" s="219">
        <v>2084.4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0.4557968633336647</v>
      </c>
      <c r="D135" s="227">
        <f>IF(D149=0,0,D143/D149)</f>
        <v>0.43934874911623439</v>
      </c>
      <c r="E135" s="227">
        <f>IF(E149=0,0,E143/E149)</f>
        <v>0.43787494509958991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0.36509504121762448</v>
      </c>
      <c r="D136" s="227">
        <f>IF(D149=0,0,D144/D149)</f>
        <v>0.37056146801987971</v>
      </c>
      <c r="E136" s="227">
        <f>IF(E149=0,0,E144/E149)</f>
        <v>0.36491754188456332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0.12478894152296711</v>
      </c>
      <c r="D137" s="227">
        <f>IF(D149=0,0,D145/D149)</f>
        <v>0.13256399689361897</v>
      </c>
      <c r="E137" s="227">
        <f>IF(E149=0,0,E145/E149)</f>
        <v>0.14773053195653874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2.997550543182439E-3</v>
      </c>
      <c r="D138" s="227">
        <f>IF(D149=0,0,D146/D149)</f>
        <v>2.8706734740244827E-3</v>
      </c>
      <c r="E138" s="227">
        <f>IF(E149=0,0,E146/E149)</f>
        <v>2.6019057041304166E-3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5.0186091103661304E-2</v>
      </c>
      <c r="D139" s="227">
        <f>IF(D149=0,0,D147/D149)</f>
        <v>5.3609841631935204E-2</v>
      </c>
      <c r="E139" s="227">
        <f>IF(E149=0,0,E147/E149)</f>
        <v>4.6211338161250247E-2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1.1355122788999116E-3</v>
      </c>
      <c r="D140" s="227">
        <f>IF(D149=0,0,D148/D149)</f>
        <v>1.0452708643072226E-3</v>
      </c>
      <c r="E140" s="227">
        <f>IF(E149=0,0,E148/E149)</f>
        <v>6.6373719392737174E-4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665159187</v>
      </c>
      <c r="D143" s="229">
        <f>+D46-D147</f>
        <v>721670085</v>
      </c>
      <c r="E143" s="229">
        <f>+E46-E147</f>
        <v>753499188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532795068</v>
      </c>
      <c r="D144" s="229">
        <f>+D51</f>
        <v>608680750</v>
      </c>
      <c r="E144" s="229">
        <f>+E51</f>
        <v>627953425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182108561</v>
      </c>
      <c r="D145" s="229">
        <f>+D55</f>
        <v>217748363</v>
      </c>
      <c r="E145" s="229">
        <f>+E55</f>
        <v>254216043</v>
      </c>
    </row>
    <row r="146" spans="1:7" ht="20.100000000000001" customHeight="1" x14ac:dyDescent="0.2">
      <c r="A146" s="226">
        <v>11</v>
      </c>
      <c r="B146" s="224" t="s">
        <v>400</v>
      </c>
      <c r="C146" s="228">
        <v>4374423</v>
      </c>
      <c r="D146" s="229">
        <v>4715341</v>
      </c>
      <c r="E146" s="229">
        <v>4477383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73238195</v>
      </c>
      <c r="D147" s="229">
        <f>+D47</f>
        <v>88059017</v>
      </c>
      <c r="E147" s="229">
        <f>+E47</f>
        <v>79520891</v>
      </c>
    </row>
    <row r="148" spans="1:7" ht="20.100000000000001" customHeight="1" x14ac:dyDescent="0.2">
      <c r="A148" s="226">
        <v>13</v>
      </c>
      <c r="B148" s="224" t="s">
        <v>402</v>
      </c>
      <c r="C148" s="230">
        <v>1657090</v>
      </c>
      <c r="D148" s="229">
        <v>1716952</v>
      </c>
      <c r="E148" s="229">
        <v>1142165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1459332524</v>
      </c>
      <c r="D149" s="229">
        <f>SUM(D143:D148)</f>
        <v>1642590508</v>
      </c>
      <c r="E149" s="229">
        <f>SUM(E143:E148)</f>
        <v>1720809095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0.69101916028691124</v>
      </c>
      <c r="D152" s="227">
        <f>IF(D166=0,0,D160/D166)</f>
        <v>0.67260188072958349</v>
      </c>
      <c r="E152" s="227">
        <f>IF(E166=0,0,E160/E166)</f>
        <v>0.67454925613271355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0.23683063418949787</v>
      </c>
      <c r="D153" s="227">
        <f>IF(D166=0,0,D161/D166)</f>
        <v>0.24164049648976518</v>
      </c>
      <c r="E153" s="227">
        <f>IF(E166=0,0,E161/E166)</f>
        <v>0.23963850149444971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6.5716726885544433E-2</v>
      </c>
      <c r="D154" s="227">
        <f>IF(D166=0,0,D162/D166)</f>
        <v>7.9389344022405425E-2</v>
      </c>
      <c r="E154" s="227">
        <f>IF(E166=0,0,E162/E166)</f>
        <v>7.9851995049420935E-2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7.9130052763050048E-4</v>
      </c>
      <c r="D155" s="227">
        <f>IF(D166=0,0,D163/D166)</f>
        <v>1.2596416219453836E-3</v>
      </c>
      <c r="E155" s="227">
        <f>IF(E166=0,0,E163/E166)</f>
        <v>1.1632942754845543E-3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4.7704654481979135E-3</v>
      </c>
      <c r="D156" s="227">
        <f>IF(D166=0,0,D164/D166)</f>
        <v>4.3350871902956521E-3</v>
      </c>
      <c r="E156" s="227">
        <f>IF(E166=0,0,E164/E166)</f>
        <v>4.3753602139787783E-3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8.7171266221807678E-4</v>
      </c>
      <c r="D157" s="227">
        <f>IF(D166=0,0,D165/D166)</f>
        <v>7.735499460048709E-4</v>
      </c>
      <c r="E157" s="227">
        <f>IF(E166=0,0,E165/E166)</f>
        <v>4.2159283395244024E-4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295254397</v>
      </c>
      <c r="D160" s="229">
        <f>+D44-D164</f>
        <v>311945392</v>
      </c>
      <c r="E160" s="229">
        <f>+E44-E164</f>
        <v>322411545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101191530</v>
      </c>
      <c r="D161" s="229">
        <f>+D50</f>
        <v>112070218</v>
      </c>
      <c r="E161" s="229">
        <f>+E50</f>
        <v>114539033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28079037</v>
      </c>
      <c r="D162" s="229">
        <f>+D54</f>
        <v>36819909</v>
      </c>
      <c r="E162" s="229">
        <f>+E54</f>
        <v>38166531</v>
      </c>
    </row>
    <row r="163" spans="1:6" ht="20.100000000000001" customHeight="1" x14ac:dyDescent="0.2">
      <c r="A163" s="226">
        <v>11</v>
      </c>
      <c r="B163" s="224" t="s">
        <v>415</v>
      </c>
      <c r="C163" s="228">
        <v>338102</v>
      </c>
      <c r="D163" s="229">
        <v>584208</v>
      </c>
      <c r="E163" s="229">
        <v>556015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2038295</v>
      </c>
      <c r="D164" s="229">
        <f>+D45</f>
        <v>2010566</v>
      </c>
      <c r="E164" s="229">
        <f>+E45</f>
        <v>2091273</v>
      </c>
    </row>
    <row r="165" spans="1:6" ht="20.100000000000001" customHeight="1" x14ac:dyDescent="0.2">
      <c r="A165" s="226">
        <v>13</v>
      </c>
      <c r="B165" s="224" t="s">
        <v>417</v>
      </c>
      <c r="C165" s="230">
        <v>372460</v>
      </c>
      <c r="D165" s="229">
        <v>358764</v>
      </c>
      <c r="E165" s="229">
        <v>201507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427273821</v>
      </c>
      <c r="D166" s="229">
        <f>SUM(D160:D165)</f>
        <v>463789057</v>
      </c>
      <c r="E166" s="229">
        <f>SUM(E160:E165)</f>
        <v>477965904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6526</v>
      </c>
      <c r="D169" s="218">
        <v>5963</v>
      </c>
      <c r="E169" s="218">
        <v>6114</v>
      </c>
    </row>
    <row r="170" spans="1:6" ht="20.100000000000001" customHeight="1" x14ac:dyDescent="0.2">
      <c r="A170" s="226">
        <v>2</v>
      </c>
      <c r="B170" s="224" t="s">
        <v>420</v>
      </c>
      <c r="C170" s="218">
        <v>5251</v>
      </c>
      <c r="D170" s="218">
        <v>5144</v>
      </c>
      <c r="E170" s="218">
        <v>5118</v>
      </c>
    </row>
    <row r="171" spans="1:6" ht="20.100000000000001" customHeight="1" x14ac:dyDescent="0.2">
      <c r="A171" s="226">
        <v>3</v>
      </c>
      <c r="B171" s="224" t="s">
        <v>421</v>
      </c>
      <c r="C171" s="218">
        <v>3147</v>
      </c>
      <c r="D171" s="218">
        <v>3173</v>
      </c>
      <c r="E171" s="218">
        <v>3621</v>
      </c>
    </row>
    <row r="172" spans="1:6" ht="20.100000000000001" customHeight="1" x14ac:dyDescent="0.2">
      <c r="A172" s="226">
        <v>4</v>
      </c>
      <c r="B172" s="224" t="s">
        <v>422</v>
      </c>
      <c r="C172" s="218">
        <v>3039</v>
      </c>
      <c r="D172" s="218">
        <v>3089</v>
      </c>
      <c r="E172" s="218">
        <v>3552</v>
      </c>
    </row>
    <row r="173" spans="1:6" ht="20.100000000000001" customHeight="1" x14ac:dyDescent="0.2">
      <c r="A173" s="226">
        <v>5</v>
      </c>
      <c r="B173" s="224" t="s">
        <v>423</v>
      </c>
      <c r="C173" s="218">
        <v>108</v>
      </c>
      <c r="D173" s="218">
        <v>84</v>
      </c>
      <c r="E173" s="218">
        <v>69</v>
      </c>
    </row>
    <row r="174" spans="1:6" ht="20.100000000000001" customHeight="1" x14ac:dyDescent="0.2">
      <c r="A174" s="226">
        <v>6</v>
      </c>
      <c r="B174" s="224" t="s">
        <v>424</v>
      </c>
      <c r="C174" s="218">
        <v>16</v>
      </c>
      <c r="D174" s="218">
        <v>14</v>
      </c>
      <c r="E174" s="218">
        <v>18</v>
      </c>
    </row>
    <row r="175" spans="1:6" ht="20.100000000000001" customHeight="1" x14ac:dyDescent="0.2">
      <c r="A175" s="226">
        <v>7</v>
      </c>
      <c r="B175" s="224" t="s">
        <v>425</v>
      </c>
      <c r="C175" s="218">
        <v>479</v>
      </c>
      <c r="D175" s="218">
        <v>399</v>
      </c>
      <c r="E175" s="218">
        <v>359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14940</v>
      </c>
      <c r="D176" s="218">
        <f>+D169+D170+D171+D174</f>
        <v>14294</v>
      </c>
      <c r="E176" s="218">
        <f>+E169+E170+E171+E174</f>
        <v>14871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1.1175999999999999</v>
      </c>
      <c r="D179" s="231">
        <v>1.1242300000000001</v>
      </c>
      <c r="E179" s="231">
        <v>1.10625</v>
      </c>
    </row>
    <row r="180" spans="1:6" ht="20.100000000000001" customHeight="1" x14ac:dyDescent="0.2">
      <c r="A180" s="226">
        <v>2</v>
      </c>
      <c r="B180" s="224" t="s">
        <v>420</v>
      </c>
      <c r="C180" s="231">
        <v>1.5151699999999999</v>
      </c>
      <c r="D180" s="231">
        <v>1.62365</v>
      </c>
      <c r="E180" s="231">
        <v>1.6009199999999999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0.969055</v>
      </c>
      <c r="D181" s="231">
        <v>1.0385789999999999</v>
      </c>
      <c r="E181" s="231">
        <v>1.035925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0.97350000000000003</v>
      </c>
      <c r="D182" s="231">
        <v>1.0414699999999999</v>
      </c>
      <c r="E182" s="231">
        <v>1.0368200000000001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0.84397999999999995</v>
      </c>
      <c r="D183" s="231">
        <v>0.93227000000000004</v>
      </c>
      <c r="E183" s="231">
        <v>0.98987000000000003</v>
      </c>
    </row>
    <row r="184" spans="1:6" ht="20.100000000000001" customHeight="1" x14ac:dyDescent="0.2">
      <c r="A184" s="226">
        <v>6</v>
      </c>
      <c r="B184" s="224" t="s">
        <v>424</v>
      </c>
      <c r="C184" s="231">
        <v>1.3145</v>
      </c>
      <c r="D184" s="231">
        <v>0.77651999999999999</v>
      </c>
      <c r="E184" s="231">
        <v>0.75302999999999998</v>
      </c>
    </row>
    <row r="185" spans="1:6" ht="20.100000000000001" customHeight="1" x14ac:dyDescent="0.2">
      <c r="A185" s="226">
        <v>7</v>
      </c>
      <c r="B185" s="224" t="s">
        <v>425</v>
      </c>
      <c r="C185" s="231">
        <v>1.1226700000000001</v>
      </c>
      <c r="D185" s="231">
        <v>1.15985</v>
      </c>
      <c r="E185" s="231">
        <v>1.2106600000000001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1.2262550000000001</v>
      </c>
      <c r="D186" s="231">
        <v>1.2846029999999999</v>
      </c>
      <c r="E186" s="231">
        <v>1.2589440000000001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8175</v>
      </c>
      <c r="D189" s="218">
        <v>7642</v>
      </c>
      <c r="E189" s="218">
        <v>8094</v>
      </c>
    </row>
    <row r="190" spans="1:6" ht="20.100000000000001" customHeight="1" x14ac:dyDescent="0.2">
      <c r="A190" s="226">
        <v>2</v>
      </c>
      <c r="B190" s="224" t="s">
        <v>433</v>
      </c>
      <c r="C190" s="218">
        <v>40316</v>
      </c>
      <c r="D190" s="218">
        <v>43189</v>
      </c>
      <c r="E190" s="218">
        <v>42864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48491</v>
      </c>
      <c r="D191" s="218">
        <f>+D190+D189</f>
        <v>50831</v>
      </c>
      <c r="E191" s="218">
        <f>+E190+E189</f>
        <v>50958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1748609</v>
      </c>
      <c r="D14" s="258">
        <v>1560422</v>
      </c>
      <c r="E14" s="258">
        <f t="shared" ref="E14:E24" si="0">D14-C14</f>
        <v>-188187</v>
      </c>
      <c r="F14" s="259">
        <f t="shared" ref="F14:F24" si="1">IF(C14=0,0,E14/C14)</f>
        <v>-0.10762097186964038</v>
      </c>
    </row>
    <row r="15" spans="1:7" ht="20.25" customHeight="1" x14ac:dyDescent="0.3">
      <c r="A15" s="256">
        <v>2</v>
      </c>
      <c r="B15" s="257" t="s">
        <v>442</v>
      </c>
      <c r="C15" s="258">
        <v>405921</v>
      </c>
      <c r="D15" s="258">
        <v>347540</v>
      </c>
      <c r="E15" s="258">
        <f t="shared" si="0"/>
        <v>-58381</v>
      </c>
      <c r="F15" s="259">
        <f t="shared" si="1"/>
        <v>-0.14382355187339407</v>
      </c>
    </row>
    <row r="16" spans="1:7" ht="20.25" customHeight="1" x14ac:dyDescent="0.3">
      <c r="A16" s="256">
        <v>3</v>
      </c>
      <c r="B16" s="257" t="s">
        <v>443</v>
      </c>
      <c r="C16" s="258">
        <v>3376336</v>
      </c>
      <c r="D16" s="258">
        <v>2464302</v>
      </c>
      <c r="E16" s="258">
        <f t="shared" si="0"/>
        <v>-912034</v>
      </c>
      <c r="F16" s="259">
        <f t="shared" si="1"/>
        <v>-0.27012536666966797</v>
      </c>
    </row>
    <row r="17" spans="1:6" ht="20.25" customHeight="1" x14ac:dyDescent="0.3">
      <c r="A17" s="256">
        <v>4</v>
      </c>
      <c r="B17" s="257" t="s">
        <v>444</v>
      </c>
      <c r="C17" s="258">
        <v>573948</v>
      </c>
      <c r="D17" s="258">
        <v>332136</v>
      </c>
      <c r="E17" s="258">
        <f t="shared" si="0"/>
        <v>-241812</v>
      </c>
      <c r="F17" s="259">
        <f t="shared" si="1"/>
        <v>-0.42131342909113717</v>
      </c>
    </row>
    <row r="18" spans="1:6" ht="20.25" customHeight="1" x14ac:dyDescent="0.3">
      <c r="A18" s="256">
        <v>5</v>
      </c>
      <c r="B18" s="257" t="s">
        <v>381</v>
      </c>
      <c r="C18" s="260">
        <v>30</v>
      </c>
      <c r="D18" s="260">
        <v>29</v>
      </c>
      <c r="E18" s="260">
        <f t="shared" si="0"/>
        <v>-1</v>
      </c>
      <c r="F18" s="259">
        <f t="shared" si="1"/>
        <v>-3.3333333333333333E-2</v>
      </c>
    </row>
    <row r="19" spans="1:6" ht="20.25" customHeight="1" x14ac:dyDescent="0.3">
      <c r="A19" s="256">
        <v>6</v>
      </c>
      <c r="B19" s="257" t="s">
        <v>380</v>
      </c>
      <c r="C19" s="260">
        <v>166</v>
      </c>
      <c r="D19" s="260">
        <v>147</v>
      </c>
      <c r="E19" s="260">
        <f t="shared" si="0"/>
        <v>-19</v>
      </c>
      <c r="F19" s="259">
        <f t="shared" si="1"/>
        <v>-0.1144578313253012</v>
      </c>
    </row>
    <row r="20" spans="1:6" ht="20.25" customHeight="1" x14ac:dyDescent="0.3">
      <c r="A20" s="256">
        <v>7</v>
      </c>
      <c r="B20" s="257" t="s">
        <v>445</v>
      </c>
      <c r="C20" s="260">
        <v>927</v>
      </c>
      <c r="D20" s="260">
        <v>652</v>
      </c>
      <c r="E20" s="260">
        <f t="shared" si="0"/>
        <v>-275</v>
      </c>
      <c r="F20" s="259">
        <f t="shared" si="1"/>
        <v>-0.29665587918015102</v>
      </c>
    </row>
    <row r="21" spans="1:6" ht="20.25" customHeight="1" x14ac:dyDescent="0.3">
      <c r="A21" s="256">
        <v>8</v>
      </c>
      <c r="B21" s="257" t="s">
        <v>446</v>
      </c>
      <c r="C21" s="260">
        <v>82</v>
      </c>
      <c r="D21" s="260">
        <v>40</v>
      </c>
      <c r="E21" s="260">
        <f t="shared" si="0"/>
        <v>-42</v>
      </c>
      <c r="F21" s="259">
        <f t="shared" si="1"/>
        <v>-0.51219512195121952</v>
      </c>
    </row>
    <row r="22" spans="1:6" ht="20.25" customHeight="1" x14ac:dyDescent="0.3">
      <c r="A22" s="256">
        <v>9</v>
      </c>
      <c r="B22" s="257" t="s">
        <v>447</v>
      </c>
      <c r="C22" s="260">
        <v>25</v>
      </c>
      <c r="D22" s="260">
        <v>19</v>
      </c>
      <c r="E22" s="260">
        <f t="shared" si="0"/>
        <v>-6</v>
      </c>
      <c r="F22" s="259">
        <f t="shared" si="1"/>
        <v>-0.24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5124945</v>
      </c>
      <c r="D23" s="263">
        <f>+D14+D16</f>
        <v>4024724</v>
      </c>
      <c r="E23" s="263">
        <f t="shared" si="0"/>
        <v>-1100221</v>
      </c>
      <c r="F23" s="264">
        <f t="shared" si="1"/>
        <v>-0.21467957217101841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979869</v>
      </c>
      <c r="D24" s="263">
        <f>+D15+D17</f>
        <v>679676</v>
      </c>
      <c r="E24" s="263">
        <f t="shared" si="0"/>
        <v>-300193</v>
      </c>
      <c r="F24" s="264">
        <f t="shared" si="1"/>
        <v>-0.30636034000463325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463</v>
      </c>
      <c r="D29" s="258">
        <v>5969</v>
      </c>
      <c r="E29" s="258">
        <f t="shared" si="2"/>
        <v>5506</v>
      </c>
      <c r="F29" s="259">
        <f t="shared" si="3"/>
        <v>11.892008639308855</v>
      </c>
    </row>
    <row r="30" spans="1:6" ht="20.25" customHeight="1" x14ac:dyDescent="0.3">
      <c r="A30" s="256">
        <v>4</v>
      </c>
      <c r="B30" s="257" t="s">
        <v>444</v>
      </c>
      <c r="C30" s="258">
        <v>30</v>
      </c>
      <c r="D30" s="258">
        <v>802</v>
      </c>
      <c r="E30" s="258">
        <f t="shared" si="2"/>
        <v>772</v>
      </c>
      <c r="F30" s="259">
        <f t="shared" si="3"/>
        <v>25.733333333333334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1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463</v>
      </c>
      <c r="D36" s="263">
        <f>+D27+D29</f>
        <v>5969</v>
      </c>
      <c r="E36" s="263">
        <f t="shared" si="2"/>
        <v>5506</v>
      </c>
      <c r="F36" s="264">
        <f t="shared" si="3"/>
        <v>11.892008639308855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30</v>
      </c>
      <c r="D37" s="263">
        <f>+D28+D30</f>
        <v>802</v>
      </c>
      <c r="E37" s="263">
        <f t="shared" si="2"/>
        <v>772</v>
      </c>
      <c r="F37" s="264">
        <f t="shared" si="3"/>
        <v>25.733333333333334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2827123</v>
      </c>
      <c r="D40" s="258">
        <v>3654729</v>
      </c>
      <c r="E40" s="258">
        <f t="shared" ref="E40:E50" si="4">D40-C40</f>
        <v>827606</v>
      </c>
      <c r="F40" s="259">
        <f t="shared" ref="F40:F50" si="5">IF(C40=0,0,E40/C40)</f>
        <v>0.29273788229235165</v>
      </c>
    </row>
    <row r="41" spans="1:6" ht="20.25" customHeight="1" x14ac:dyDescent="0.3">
      <c r="A41" s="256">
        <v>2</v>
      </c>
      <c r="B41" s="257" t="s">
        <v>442</v>
      </c>
      <c r="C41" s="258">
        <v>594261</v>
      </c>
      <c r="D41" s="258">
        <v>752126</v>
      </c>
      <c r="E41" s="258">
        <f t="shared" si="4"/>
        <v>157865</v>
      </c>
      <c r="F41" s="259">
        <f t="shared" si="5"/>
        <v>0.26564926858737153</v>
      </c>
    </row>
    <row r="42" spans="1:6" ht="20.25" customHeight="1" x14ac:dyDescent="0.3">
      <c r="A42" s="256">
        <v>3</v>
      </c>
      <c r="B42" s="257" t="s">
        <v>443</v>
      </c>
      <c r="C42" s="258">
        <v>4952622</v>
      </c>
      <c r="D42" s="258">
        <v>5983571</v>
      </c>
      <c r="E42" s="258">
        <f t="shared" si="4"/>
        <v>1030949</v>
      </c>
      <c r="F42" s="259">
        <f t="shared" si="5"/>
        <v>0.20816226233296223</v>
      </c>
    </row>
    <row r="43" spans="1:6" ht="20.25" customHeight="1" x14ac:dyDescent="0.3">
      <c r="A43" s="256">
        <v>4</v>
      </c>
      <c r="B43" s="257" t="s">
        <v>444</v>
      </c>
      <c r="C43" s="258">
        <v>634970</v>
      </c>
      <c r="D43" s="258">
        <v>603489</v>
      </c>
      <c r="E43" s="258">
        <f t="shared" si="4"/>
        <v>-31481</v>
      </c>
      <c r="F43" s="259">
        <f t="shared" si="5"/>
        <v>-4.9578720254500212E-2</v>
      </c>
    </row>
    <row r="44" spans="1:6" ht="20.25" customHeight="1" x14ac:dyDescent="0.3">
      <c r="A44" s="256">
        <v>5</v>
      </c>
      <c r="B44" s="257" t="s">
        <v>381</v>
      </c>
      <c r="C44" s="260">
        <v>44</v>
      </c>
      <c r="D44" s="260">
        <v>58</v>
      </c>
      <c r="E44" s="260">
        <f t="shared" si="4"/>
        <v>14</v>
      </c>
      <c r="F44" s="259">
        <f t="shared" si="5"/>
        <v>0.31818181818181818</v>
      </c>
    </row>
    <row r="45" spans="1:6" ht="20.25" customHeight="1" x14ac:dyDescent="0.3">
      <c r="A45" s="256">
        <v>6</v>
      </c>
      <c r="B45" s="257" t="s">
        <v>380</v>
      </c>
      <c r="C45" s="260">
        <v>286</v>
      </c>
      <c r="D45" s="260">
        <v>304</v>
      </c>
      <c r="E45" s="260">
        <f t="shared" si="4"/>
        <v>18</v>
      </c>
      <c r="F45" s="259">
        <f t="shared" si="5"/>
        <v>6.2937062937062943E-2</v>
      </c>
    </row>
    <row r="46" spans="1:6" ht="20.25" customHeight="1" x14ac:dyDescent="0.3">
      <c r="A46" s="256">
        <v>7</v>
      </c>
      <c r="B46" s="257" t="s">
        <v>445</v>
      </c>
      <c r="C46" s="260">
        <v>1233</v>
      </c>
      <c r="D46" s="260">
        <v>1646</v>
      </c>
      <c r="E46" s="260">
        <f t="shared" si="4"/>
        <v>413</v>
      </c>
      <c r="F46" s="259">
        <f t="shared" si="5"/>
        <v>0.33495539334955393</v>
      </c>
    </row>
    <row r="47" spans="1:6" ht="20.25" customHeight="1" x14ac:dyDescent="0.3">
      <c r="A47" s="256">
        <v>8</v>
      </c>
      <c r="B47" s="257" t="s">
        <v>446</v>
      </c>
      <c r="C47" s="260">
        <v>84</v>
      </c>
      <c r="D47" s="260">
        <v>77</v>
      </c>
      <c r="E47" s="260">
        <f t="shared" si="4"/>
        <v>-7</v>
      </c>
      <c r="F47" s="259">
        <f t="shared" si="5"/>
        <v>-8.3333333333333329E-2</v>
      </c>
    </row>
    <row r="48" spans="1:6" ht="20.25" customHeight="1" x14ac:dyDescent="0.3">
      <c r="A48" s="256">
        <v>9</v>
      </c>
      <c r="B48" s="257" t="s">
        <v>447</v>
      </c>
      <c r="C48" s="260">
        <v>34</v>
      </c>
      <c r="D48" s="260">
        <v>41</v>
      </c>
      <c r="E48" s="260">
        <f t="shared" si="4"/>
        <v>7</v>
      </c>
      <c r="F48" s="259">
        <f t="shared" si="5"/>
        <v>0.20588235294117646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7779745</v>
      </c>
      <c r="D49" s="263">
        <f>+D40+D42</f>
        <v>9638300</v>
      </c>
      <c r="E49" s="263">
        <f t="shared" si="4"/>
        <v>1858555</v>
      </c>
      <c r="F49" s="264">
        <f t="shared" si="5"/>
        <v>0.23889664764076457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1229231</v>
      </c>
      <c r="D50" s="263">
        <f>+D41+D43</f>
        <v>1355615</v>
      </c>
      <c r="E50" s="263">
        <f t="shared" si="4"/>
        <v>126384</v>
      </c>
      <c r="F50" s="264">
        <f t="shared" si="5"/>
        <v>0.10281550009721525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1595439</v>
      </c>
      <c r="D66" s="258">
        <v>850324</v>
      </c>
      <c r="E66" s="258">
        <f t="shared" ref="E66:E76" si="8">D66-C66</f>
        <v>-745115</v>
      </c>
      <c r="F66" s="259">
        <f t="shared" ref="F66:F76" si="9">IF(C66=0,0,E66/C66)</f>
        <v>-0.46702819725479944</v>
      </c>
    </row>
    <row r="67" spans="1:6" ht="20.25" customHeight="1" x14ac:dyDescent="0.3">
      <c r="A67" s="256">
        <v>2</v>
      </c>
      <c r="B67" s="257" t="s">
        <v>442</v>
      </c>
      <c r="C67" s="258">
        <v>214933</v>
      </c>
      <c r="D67" s="258">
        <v>103967</v>
      </c>
      <c r="E67" s="258">
        <f t="shared" si="8"/>
        <v>-110966</v>
      </c>
      <c r="F67" s="259">
        <f t="shared" si="9"/>
        <v>-0.51628181805492879</v>
      </c>
    </row>
    <row r="68" spans="1:6" ht="20.25" customHeight="1" x14ac:dyDescent="0.3">
      <c r="A68" s="256">
        <v>3</v>
      </c>
      <c r="B68" s="257" t="s">
        <v>443</v>
      </c>
      <c r="C68" s="258">
        <v>1450946</v>
      </c>
      <c r="D68" s="258">
        <v>898793</v>
      </c>
      <c r="E68" s="258">
        <f t="shared" si="8"/>
        <v>-552153</v>
      </c>
      <c r="F68" s="259">
        <f t="shared" si="9"/>
        <v>-0.38054689836837485</v>
      </c>
    </row>
    <row r="69" spans="1:6" ht="20.25" customHeight="1" x14ac:dyDescent="0.3">
      <c r="A69" s="256">
        <v>4</v>
      </c>
      <c r="B69" s="257" t="s">
        <v>444</v>
      </c>
      <c r="C69" s="258">
        <v>117246</v>
      </c>
      <c r="D69" s="258">
        <v>66129</v>
      </c>
      <c r="E69" s="258">
        <f t="shared" si="8"/>
        <v>-51117</v>
      </c>
      <c r="F69" s="259">
        <f t="shared" si="9"/>
        <v>-0.43598075840540401</v>
      </c>
    </row>
    <row r="70" spans="1:6" ht="20.25" customHeight="1" x14ac:dyDescent="0.3">
      <c r="A70" s="256">
        <v>5</v>
      </c>
      <c r="B70" s="257" t="s">
        <v>381</v>
      </c>
      <c r="C70" s="260">
        <v>20</v>
      </c>
      <c r="D70" s="260">
        <v>16</v>
      </c>
      <c r="E70" s="260">
        <f t="shared" si="8"/>
        <v>-4</v>
      </c>
      <c r="F70" s="259">
        <f t="shared" si="9"/>
        <v>-0.2</v>
      </c>
    </row>
    <row r="71" spans="1:6" ht="20.25" customHeight="1" x14ac:dyDescent="0.3">
      <c r="A71" s="256">
        <v>6</v>
      </c>
      <c r="B71" s="257" t="s">
        <v>380</v>
      </c>
      <c r="C71" s="260">
        <v>131</v>
      </c>
      <c r="D71" s="260">
        <v>86</v>
      </c>
      <c r="E71" s="260">
        <f t="shared" si="8"/>
        <v>-45</v>
      </c>
      <c r="F71" s="259">
        <f t="shared" si="9"/>
        <v>-0.34351145038167941</v>
      </c>
    </row>
    <row r="72" spans="1:6" ht="20.25" customHeight="1" x14ac:dyDescent="0.3">
      <c r="A72" s="256">
        <v>7</v>
      </c>
      <c r="B72" s="257" t="s">
        <v>445</v>
      </c>
      <c r="C72" s="260">
        <v>105</v>
      </c>
      <c r="D72" s="260">
        <v>107</v>
      </c>
      <c r="E72" s="260">
        <f t="shared" si="8"/>
        <v>2</v>
      </c>
      <c r="F72" s="259">
        <f t="shared" si="9"/>
        <v>1.9047619047619049E-2</v>
      </c>
    </row>
    <row r="73" spans="1:6" ht="20.25" customHeight="1" x14ac:dyDescent="0.3">
      <c r="A73" s="256">
        <v>8</v>
      </c>
      <c r="B73" s="257" t="s">
        <v>446</v>
      </c>
      <c r="C73" s="260">
        <v>40</v>
      </c>
      <c r="D73" s="260">
        <v>41</v>
      </c>
      <c r="E73" s="260">
        <f t="shared" si="8"/>
        <v>1</v>
      </c>
      <c r="F73" s="259">
        <f t="shared" si="9"/>
        <v>2.5000000000000001E-2</v>
      </c>
    </row>
    <row r="74" spans="1:6" ht="20.25" customHeight="1" x14ac:dyDescent="0.3">
      <c r="A74" s="256">
        <v>9</v>
      </c>
      <c r="B74" s="257" t="s">
        <v>447</v>
      </c>
      <c r="C74" s="260">
        <v>16</v>
      </c>
      <c r="D74" s="260">
        <v>12</v>
      </c>
      <c r="E74" s="260">
        <f t="shared" si="8"/>
        <v>-4</v>
      </c>
      <c r="F74" s="259">
        <f t="shared" si="9"/>
        <v>-0.25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3046385</v>
      </c>
      <c r="D75" s="263">
        <f>+D66+D68</f>
        <v>1749117</v>
      </c>
      <c r="E75" s="263">
        <f t="shared" si="8"/>
        <v>-1297268</v>
      </c>
      <c r="F75" s="264">
        <f t="shared" si="9"/>
        <v>-0.42583849382136535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332179</v>
      </c>
      <c r="D76" s="263">
        <f>+D67+D69</f>
        <v>170096</v>
      </c>
      <c r="E76" s="263">
        <f t="shared" si="8"/>
        <v>-162083</v>
      </c>
      <c r="F76" s="264">
        <f t="shared" si="9"/>
        <v>-0.48793873182832148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95631</v>
      </c>
      <c r="D81" s="258">
        <v>13325</v>
      </c>
      <c r="E81" s="258">
        <f t="shared" si="10"/>
        <v>-82306</v>
      </c>
      <c r="F81" s="259">
        <f t="shared" si="11"/>
        <v>-0.86066233752653432</v>
      </c>
    </row>
    <row r="82" spans="1:6" ht="20.25" customHeight="1" x14ac:dyDescent="0.3">
      <c r="A82" s="256">
        <v>4</v>
      </c>
      <c r="B82" s="257" t="s">
        <v>444</v>
      </c>
      <c r="C82" s="258">
        <v>15093</v>
      </c>
      <c r="D82" s="258">
        <v>1951</v>
      </c>
      <c r="E82" s="258">
        <f t="shared" si="10"/>
        <v>-13142</v>
      </c>
      <c r="F82" s="259">
        <f t="shared" si="11"/>
        <v>-0.87073477771152186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16</v>
      </c>
      <c r="D85" s="260">
        <v>2</v>
      </c>
      <c r="E85" s="260">
        <f t="shared" si="10"/>
        <v>-14</v>
      </c>
      <c r="F85" s="259">
        <f t="shared" si="11"/>
        <v>-0.875</v>
      </c>
    </row>
    <row r="86" spans="1:6" ht="20.25" customHeight="1" x14ac:dyDescent="0.3">
      <c r="A86" s="256">
        <v>8</v>
      </c>
      <c r="B86" s="257" t="s">
        <v>446</v>
      </c>
      <c r="C86" s="260">
        <v>2</v>
      </c>
      <c r="D86" s="260">
        <v>0</v>
      </c>
      <c r="E86" s="260">
        <f t="shared" si="10"/>
        <v>-2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95631</v>
      </c>
      <c r="D88" s="263">
        <f>+D79+D81</f>
        <v>13325</v>
      </c>
      <c r="E88" s="263">
        <f t="shared" si="10"/>
        <v>-82306</v>
      </c>
      <c r="F88" s="264">
        <f t="shared" si="11"/>
        <v>-0.86066233752653432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15093</v>
      </c>
      <c r="D89" s="263">
        <f>+D80+D82</f>
        <v>1951</v>
      </c>
      <c r="E89" s="263">
        <f t="shared" si="10"/>
        <v>-13142</v>
      </c>
      <c r="F89" s="264">
        <f t="shared" si="11"/>
        <v>-0.87073477771152186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31483881</v>
      </c>
      <c r="D92" s="258">
        <v>33389075</v>
      </c>
      <c r="E92" s="258">
        <f t="shared" ref="E92:E102" si="12">D92-C92</f>
        <v>1905194</v>
      </c>
      <c r="F92" s="259">
        <f t="shared" ref="F92:F102" si="13">IF(C92=0,0,E92/C92)</f>
        <v>6.0513314733974505E-2</v>
      </c>
    </row>
    <row r="93" spans="1:6" ht="20.25" customHeight="1" x14ac:dyDescent="0.3">
      <c r="A93" s="256">
        <v>2</v>
      </c>
      <c r="B93" s="257" t="s">
        <v>442</v>
      </c>
      <c r="C93" s="258">
        <v>6886179</v>
      </c>
      <c r="D93" s="258">
        <v>7235933</v>
      </c>
      <c r="E93" s="258">
        <f t="shared" si="12"/>
        <v>349754</v>
      </c>
      <c r="F93" s="259">
        <f t="shared" si="13"/>
        <v>5.0790721530764742E-2</v>
      </c>
    </row>
    <row r="94" spans="1:6" ht="20.25" customHeight="1" x14ac:dyDescent="0.3">
      <c r="A94" s="256">
        <v>3</v>
      </c>
      <c r="B94" s="257" t="s">
        <v>443</v>
      </c>
      <c r="C94" s="258">
        <v>38048923</v>
      </c>
      <c r="D94" s="258">
        <v>39473834</v>
      </c>
      <c r="E94" s="258">
        <f t="shared" si="12"/>
        <v>1424911</v>
      </c>
      <c r="F94" s="259">
        <f t="shared" si="13"/>
        <v>3.7449443706987447E-2</v>
      </c>
    </row>
    <row r="95" spans="1:6" ht="20.25" customHeight="1" x14ac:dyDescent="0.3">
      <c r="A95" s="256">
        <v>4</v>
      </c>
      <c r="B95" s="257" t="s">
        <v>444</v>
      </c>
      <c r="C95" s="258">
        <v>5669316</v>
      </c>
      <c r="D95" s="258">
        <v>4145327</v>
      </c>
      <c r="E95" s="258">
        <f t="shared" si="12"/>
        <v>-1523989</v>
      </c>
      <c r="F95" s="259">
        <f t="shared" si="13"/>
        <v>-0.26881355704991572</v>
      </c>
    </row>
    <row r="96" spans="1:6" ht="20.25" customHeight="1" x14ac:dyDescent="0.3">
      <c r="A96" s="256">
        <v>5</v>
      </c>
      <c r="B96" s="257" t="s">
        <v>381</v>
      </c>
      <c r="C96" s="260">
        <v>587</v>
      </c>
      <c r="D96" s="260">
        <v>538</v>
      </c>
      <c r="E96" s="260">
        <f t="shared" si="12"/>
        <v>-49</v>
      </c>
      <c r="F96" s="259">
        <f t="shared" si="13"/>
        <v>-8.3475298126064731E-2</v>
      </c>
    </row>
    <row r="97" spans="1:6" ht="20.25" customHeight="1" x14ac:dyDescent="0.3">
      <c r="A97" s="256">
        <v>6</v>
      </c>
      <c r="B97" s="257" t="s">
        <v>380</v>
      </c>
      <c r="C97" s="260">
        <v>3288</v>
      </c>
      <c r="D97" s="260">
        <v>3358</v>
      </c>
      <c r="E97" s="260">
        <f t="shared" si="12"/>
        <v>70</v>
      </c>
      <c r="F97" s="259">
        <f t="shared" si="13"/>
        <v>2.1289537712895375E-2</v>
      </c>
    </row>
    <row r="98" spans="1:6" ht="20.25" customHeight="1" x14ac:dyDescent="0.3">
      <c r="A98" s="256">
        <v>7</v>
      </c>
      <c r="B98" s="257" t="s">
        <v>445</v>
      </c>
      <c r="C98" s="260">
        <v>10102</v>
      </c>
      <c r="D98" s="260">
        <v>10759</v>
      </c>
      <c r="E98" s="260">
        <f t="shared" si="12"/>
        <v>657</v>
      </c>
      <c r="F98" s="259">
        <f t="shared" si="13"/>
        <v>6.5036626410611767E-2</v>
      </c>
    </row>
    <row r="99" spans="1:6" ht="20.25" customHeight="1" x14ac:dyDescent="0.3">
      <c r="A99" s="256">
        <v>8</v>
      </c>
      <c r="B99" s="257" t="s">
        <v>446</v>
      </c>
      <c r="C99" s="260">
        <v>828</v>
      </c>
      <c r="D99" s="260">
        <v>834</v>
      </c>
      <c r="E99" s="260">
        <f t="shared" si="12"/>
        <v>6</v>
      </c>
      <c r="F99" s="259">
        <f t="shared" si="13"/>
        <v>7.246376811594203E-3</v>
      </c>
    </row>
    <row r="100" spans="1:6" ht="20.25" customHeight="1" x14ac:dyDescent="0.3">
      <c r="A100" s="256">
        <v>9</v>
      </c>
      <c r="B100" s="257" t="s">
        <v>447</v>
      </c>
      <c r="C100" s="260">
        <v>465</v>
      </c>
      <c r="D100" s="260">
        <v>446</v>
      </c>
      <c r="E100" s="260">
        <f t="shared" si="12"/>
        <v>-19</v>
      </c>
      <c r="F100" s="259">
        <f t="shared" si="13"/>
        <v>-4.0860215053763443E-2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69532804</v>
      </c>
      <c r="D101" s="263">
        <f>+D92+D94</f>
        <v>72862909</v>
      </c>
      <c r="E101" s="263">
        <f t="shared" si="12"/>
        <v>3330105</v>
      </c>
      <c r="F101" s="264">
        <f t="shared" si="13"/>
        <v>4.789257456092235E-2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12555495</v>
      </c>
      <c r="D102" s="263">
        <f>+D93+D95</f>
        <v>11381260</v>
      </c>
      <c r="E102" s="263">
        <f t="shared" si="12"/>
        <v>-1174235</v>
      </c>
      <c r="F102" s="264">
        <f t="shared" si="13"/>
        <v>-9.3523592658035393E-2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1328440</v>
      </c>
      <c r="D105" s="258">
        <v>903007</v>
      </c>
      <c r="E105" s="258">
        <f t="shared" ref="E105:E115" si="14">D105-C105</f>
        <v>-425433</v>
      </c>
      <c r="F105" s="259">
        <f t="shared" ref="F105:F115" si="15">IF(C105=0,0,E105/C105)</f>
        <v>-0.32025006774863751</v>
      </c>
    </row>
    <row r="106" spans="1:6" ht="20.25" customHeight="1" x14ac:dyDescent="0.3">
      <c r="A106" s="256">
        <v>2</v>
      </c>
      <c r="B106" s="257" t="s">
        <v>442</v>
      </c>
      <c r="C106" s="258">
        <v>301890</v>
      </c>
      <c r="D106" s="258">
        <v>168177</v>
      </c>
      <c r="E106" s="258">
        <f t="shared" si="14"/>
        <v>-133713</v>
      </c>
      <c r="F106" s="259">
        <f t="shared" si="15"/>
        <v>-0.44291960647918116</v>
      </c>
    </row>
    <row r="107" spans="1:6" ht="20.25" customHeight="1" x14ac:dyDescent="0.3">
      <c r="A107" s="256">
        <v>3</v>
      </c>
      <c r="B107" s="257" t="s">
        <v>443</v>
      </c>
      <c r="C107" s="258">
        <v>877869</v>
      </c>
      <c r="D107" s="258">
        <v>1668216</v>
      </c>
      <c r="E107" s="258">
        <f t="shared" si="14"/>
        <v>790347</v>
      </c>
      <c r="F107" s="259">
        <f t="shared" si="15"/>
        <v>0.90030175345068575</v>
      </c>
    </row>
    <row r="108" spans="1:6" ht="20.25" customHeight="1" x14ac:dyDescent="0.3">
      <c r="A108" s="256">
        <v>4</v>
      </c>
      <c r="B108" s="257" t="s">
        <v>444</v>
      </c>
      <c r="C108" s="258">
        <v>117029</v>
      </c>
      <c r="D108" s="258">
        <v>163006</v>
      </c>
      <c r="E108" s="258">
        <f t="shared" si="14"/>
        <v>45977</v>
      </c>
      <c r="F108" s="259">
        <f t="shared" si="15"/>
        <v>0.39286843431969853</v>
      </c>
    </row>
    <row r="109" spans="1:6" ht="20.25" customHeight="1" x14ac:dyDescent="0.3">
      <c r="A109" s="256">
        <v>5</v>
      </c>
      <c r="B109" s="257" t="s">
        <v>381</v>
      </c>
      <c r="C109" s="260">
        <v>21</v>
      </c>
      <c r="D109" s="260">
        <v>20</v>
      </c>
      <c r="E109" s="260">
        <f t="shared" si="14"/>
        <v>-1</v>
      </c>
      <c r="F109" s="259">
        <f t="shared" si="15"/>
        <v>-4.7619047619047616E-2</v>
      </c>
    </row>
    <row r="110" spans="1:6" ht="20.25" customHeight="1" x14ac:dyDescent="0.3">
      <c r="A110" s="256">
        <v>6</v>
      </c>
      <c r="B110" s="257" t="s">
        <v>380</v>
      </c>
      <c r="C110" s="260">
        <v>178</v>
      </c>
      <c r="D110" s="260">
        <v>63</v>
      </c>
      <c r="E110" s="260">
        <f t="shared" si="14"/>
        <v>-115</v>
      </c>
      <c r="F110" s="259">
        <f t="shared" si="15"/>
        <v>-0.6460674157303371</v>
      </c>
    </row>
    <row r="111" spans="1:6" ht="20.25" customHeight="1" x14ac:dyDescent="0.3">
      <c r="A111" s="256">
        <v>7</v>
      </c>
      <c r="B111" s="257" t="s">
        <v>445</v>
      </c>
      <c r="C111" s="260">
        <v>271</v>
      </c>
      <c r="D111" s="260">
        <v>481</v>
      </c>
      <c r="E111" s="260">
        <f t="shared" si="14"/>
        <v>210</v>
      </c>
      <c r="F111" s="259">
        <f t="shared" si="15"/>
        <v>0.77490774907749083</v>
      </c>
    </row>
    <row r="112" spans="1:6" ht="20.25" customHeight="1" x14ac:dyDescent="0.3">
      <c r="A112" s="256">
        <v>8</v>
      </c>
      <c r="B112" s="257" t="s">
        <v>446</v>
      </c>
      <c r="C112" s="260">
        <v>46</v>
      </c>
      <c r="D112" s="260">
        <v>71</v>
      </c>
      <c r="E112" s="260">
        <f t="shared" si="14"/>
        <v>25</v>
      </c>
      <c r="F112" s="259">
        <f t="shared" si="15"/>
        <v>0.54347826086956519</v>
      </c>
    </row>
    <row r="113" spans="1:6" ht="20.25" customHeight="1" x14ac:dyDescent="0.3">
      <c r="A113" s="256">
        <v>9</v>
      </c>
      <c r="B113" s="257" t="s">
        <v>447</v>
      </c>
      <c r="C113" s="260">
        <v>16</v>
      </c>
      <c r="D113" s="260">
        <v>17</v>
      </c>
      <c r="E113" s="260">
        <f t="shared" si="14"/>
        <v>1</v>
      </c>
      <c r="F113" s="259">
        <f t="shared" si="15"/>
        <v>6.25E-2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2206309</v>
      </c>
      <c r="D114" s="263">
        <f>+D105+D107</f>
        <v>2571223</v>
      </c>
      <c r="E114" s="263">
        <f t="shared" si="14"/>
        <v>364914</v>
      </c>
      <c r="F114" s="264">
        <f t="shared" si="15"/>
        <v>0.16539569026822626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418919</v>
      </c>
      <c r="D115" s="263">
        <f>+D106+D108</f>
        <v>331183</v>
      </c>
      <c r="E115" s="263">
        <f t="shared" si="14"/>
        <v>-87736</v>
      </c>
      <c r="F115" s="264">
        <f t="shared" si="15"/>
        <v>-0.20943428204497766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2323392</v>
      </c>
      <c r="D118" s="258">
        <v>5646576</v>
      </c>
      <c r="E118" s="258">
        <f t="shared" ref="E118:E128" si="16">D118-C118</f>
        <v>3323184</v>
      </c>
      <c r="F118" s="259">
        <f t="shared" ref="F118:F128" si="17">IF(C118=0,0,E118/C118)</f>
        <v>1.430315676390381</v>
      </c>
    </row>
    <row r="119" spans="1:6" ht="20.25" customHeight="1" x14ac:dyDescent="0.3">
      <c r="A119" s="256">
        <v>2</v>
      </c>
      <c r="B119" s="257" t="s">
        <v>442</v>
      </c>
      <c r="C119" s="258">
        <v>492870</v>
      </c>
      <c r="D119" s="258">
        <v>1215680</v>
      </c>
      <c r="E119" s="258">
        <f t="shared" si="16"/>
        <v>722810</v>
      </c>
      <c r="F119" s="259">
        <f t="shared" si="17"/>
        <v>1.466532757116481</v>
      </c>
    </row>
    <row r="120" spans="1:6" ht="20.25" customHeight="1" x14ac:dyDescent="0.3">
      <c r="A120" s="256">
        <v>3</v>
      </c>
      <c r="B120" s="257" t="s">
        <v>443</v>
      </c>
      <c r="C120" s="258">
        <v>3329580</v>
      </c>
      <c r="D120" s="258">
        <v>9726847</v>
      </c>
      <c r="E120" s="258">
        <f t="shared" si="16"/>
        <v>6397267</v>
      </c>
      <c r="F120" s="259">
        <f t="shared" si="17"/>
        <v>1.9213435328179531</v>
      </c>
    </row>
    <row r="121" spans="1:6" ht="20.25" customHeight="1" x14ac:dyDescent="0.3">
      <c r="A121" s="256">
        <v>4</v>
      </c>
      <c r="B121" s="257" t="s">
        <v>444</v>
      </c>
      <c r="C121" s="258">
        <v>609397</v>
      </c>
      <c r="D121" s="258">
        <v>1292393</v>
      </c>
      <c r="E121" s="258">
        <f t="shared" si="16"/>
        <v>682996</v>
      </c>
      <c r="F121" s="259">
        <f t="shared" si="17"/>
        <v>1.1207734859213287</v>
      </c>
    </row>
    <row r="122" spans="1:6" ht="20.25" customHeight="1" x14ac:dyDescent="0.3">
      <c r="A122" s="256">
        <v>5</v>
      </c>
      <c r="B122" s="257" t="s">
        <v>381</v>
      </c>
      <c r="C122" s="260">
        <v>43</v>
      </c>
      <c r="D122" s="260">
        <v>118</v>
      </c>
      <c r="E122" s="260">
        <f t="shared" si="16"/>
        <v>75</v>
      </c>
      <c r="F122" s="259">
        <f t="shared" si="17"/>
        <v>1.7441860465116279</v>
      </c>
    </row>
    <row r="123" spans="1:6" ht="20.25" customHeight="1" x14ac:dyDescent="0.3">
      <c r="A123" s="256">
        <v>6</v>
      </c>
      <c r="B123" s="257" t="s">
        <v>380</v>
      </c>
      <c r="C123" s="260">
        <v>242</v>
      </c>
      <c r="D123" s="260">
        <v>550</v>
      </c>
      <c r="E123" s="260">
        <f t="shared" si="16"/>
        <v>308</v>
      </c>
      <c r="F123" s="259">
        <f t="shared" si="17"/>
        <v>1.2727272727272727</v>
      </c>
    </row>
    <row r="124" spans="1:6" ht="20.25" customHeight="1" x14ac:dyDescent="0.3">
      <c r="A124" s="256">
        <v>7</v>
      </c>
      <c r="B124" s="257" t="s">
        <v>445</v>
      </c>
      <c r="C124" s="260">
        <v>1089</v>
      </c>
      <c r="D124" s="260">
        <v>2575</v>
      </c>
      <c r="E124" s="260">
        <f t="shared" si="16"/>
        <v>1486</v>
      </c>
      <c r="F124" s="259">
        <f t="shared" si="17"/>
        <v>1.36455463728191</v>
      </c>
    </row>
    <row r="125" spans="1:6" ht="20.25" customHeight="1" x14ac:dyDescent="0.3">
      <c r="A125" s="256">
        <v>8</v>
      </c>
      <c r="B125" s="257" t="s">
        <v>446</v>
      </c>
      <c r="C125" s="260">
        <v>62</v>
      </c>
      <c r="D125" s="260">
        <v>184</v>
      </c>
      <c r="E125" s="260">
        <f t="shared" si="16"/>
        <v>122</v>
      </c>
      <c r="F125" s="259">
        <f t="shared" si="17"/>
        <v>1.967741935483871</v>
      </c>
    </row>
    <row r="126" spans="1:6" ht="20.25" customHeight="1" x14ac:dyDescent="0.3">
      <c r="A126" s="256">
        <v>9</v>
      </c>
      <c r="B126" s="257" t="s">
        <v>447</v>
      </c>
      <c r="C126" s="260">
        <v>28</v>
      </c>
      <c r="D126" s="260">
        <v>95</v>
      </c>
      <c r="E126" s="260">
        <f t="shared" si="16"/>
        <v>67</v>
      </c>
      <c r="F126" s="259">
        <f t="shared" si="17"/>
        <v>2.3928571428571428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5652972</v>
      </c>
      <c r="D127" s="263">
        <f>+D118+D120</f>
        <v>15373423</v>
      </c>
      <c r="E127" s="263">
        <f t="shared" si="16"/>
        <v>9720451</v>
      </c>
      <c r="F127" s="264">
        <f t="shared" si="17"/>
        <v>1.7195293024624922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1102267</v>
      </c>
      <c r="D128" s="263">
        <f>+D119+D121</f>
        <v>2508073</v>
      </c>
      <c r="E128" s="263">
        <f t="shared" si="16"/>
        <v>1405806</v>
      </c>
      <c r="F128" s="264">
        <f t="shared" si="17"/>
        <v>1.2753770184537867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191340</v>
      </c>
      <c r="D131" s="258">
        <v>204393</v>
      </c>
      <c r="E131" s="258">
        <f t="shared" ref="E131:E141" si="18">D131-C131</f>
        <v>13053</v>
      </c>
      <c r="F131" s="259">
        <f t="shared" ref="F131:F141" si="19">IF(C131=0,0,E131/C131)</f>
        <v>6.8218877391031676E-2</v>
      </c>
    </row>
    <row r="132" spans="1:6" ht="20.25" customHeight="1" x14ac:dyDescent="0.3">
      <c r="A132" s="256">
        <v>2</v>
      </c>
      <c r="B132" s="257" t="s">
        <v>442</v>
      </c>
      <c r="C132" s="258">
        <v>40750</v>
      </c>
      <c r="D132" s="258">
        <v>57999</v>
      </c>
      <c r="E132" s="258">
        <f t="shared" si="18"/>
        <v>17249</v>
      </c>
      <c r="F132" s="259">
        <f t="shared" si="19"/>
        <v>0.42328834355828221</v>
      </c>
    </row>
    <row r="133" spans="1:6" ht="20.25" customHeight="1" x14ac:dyDescent="0.3">
      <c r="A133" s="256">
        <v>3</v>
      </c>
      <c r="B133" s="257" t="s">
        <v>443</v>
      </c>
      <c r="C133" s="258">
        <v>95715</v>
      </c>
      <c r="D133" s="258">
        <v>145141</v>
      </c>
      <c r="E133" s="258">
        <f t="shared" si="18"/>
        <v>49426</v>
      </c>
      <c r="F133" s="259">
        <f t="shared" si="19"/>
        <v>0.51638719114036458</v>
      </c>
    </row>
    <row r="134" spans="1:6" ht="20.25" customHeight="1" x14ac:dyDescent="0.3">
      <c r="A134" s="256">
        <v>4</v>
      </c>
      <c r="B134" s="257" t="s">
        <v>444</v>
      </c>
      <c r="C134" s="258">
        <v>17972</v>
      </c>
      <c r="D134" s="258">
        <v>5918</v>
      </c>
      <c r="E134" s="258">
        <f t="shared" si="18"/>
        <v>-12054</v>
      </c>
      <c r="F134" s="259">
        <f t="shared" si="19"/>
        <v>-0.67070999332294678</v>
      </c>
    </row>
    <row r="135" spans="1:6" ht="20.25" customHeight="1" x14ac:dyDescent="0.3">
      <c r="A135" s="256">
        <v>5</v>
      </c>
      <c r="B135" s="257" t="s">
        <v>381</v>
      </c>
      <c r="C135" s="260">
        <v>8</v>
      </c>
      <c r="D135" s="260">
        <v>6</v>
      </c>
      <c r="E135" s="260">
        <f t="shared" si="18"/>
        <v>-2</v>
      </c>
      <c r="F135" s="259">
        <f t="shared" si="19"/>
        <v>-0.25</v>
      </c>
    </row>
    <row r="136" spans="1:6" ht="20.25" customHeight="1" x14ac:dyDescent="0.3">
      <c r="A136" s="256">
        <v>6</v>
      </c>
      <c r="B136" s="257" t="s">
        <v>380</v>
      </c>
      <c r="C136" s="260">
        <v>32</v>
      </c>
      <c r="D136" s="260">
        <v>21</v>
      </c>
      <c r="E136" s="260">
        <f t="shared" si="18"/>
        <v>-11</v>
      </c>
      <c r="F136" s="259">
        <f t="shared" si="19"/>
        <v>-0.34375</v>
      </c>
    </row>
    <row r="137" spans="1:6" ht="20.25" customHeight="1" x14ac:dyDescent="0.3">
      <c r="A137" s="256">
        <v>7</v>
      </c>
      <c r="B137" s="257" t="s">
        <v>445</v>
      </c>
      <c r="C137" s="260">
        <v>22</v>
      </c>
      <c r="D137" s="260">
        <v>40</v>
      </c>
      <c r="E137" s="260">
        <f t="shared" si="18"/>
        <v>18</v>
      </c>
      <c r="F137" s="259">
        <f t="shared" si="19"/>
        <v>0.81818181818181823</v>
      </c>
    </row>
    <row r="138" spans="1:6" ht="20.25" customHeight="1" x14ac:dyDescent="0.3">
      <c r="A138" s="256">
        <v>8</v>
      </c>
      <c r="B138" s="257" t="s">
        <v>446</v>
      </c>
      <c r="C138" s="260">
        <v>9</v>
      </c>
      <c r="D138" s="260">
        <v>13</v>
      </c>
      <c r="E138" s="260">
        <f t="shared" si="18"/>
        <v>4</v>
      </c>
      <c r="F138" s="259">
        <f t="shared" si="19"/>
        <v>0.44444444444444442</v>
      </c>
    </row>
    <row r="139" spans="1:6" ht="20.25" customHeight="1" x14ac:dyDescent="0.3">
      <c r="A139" s="256">
        <v>9</v>
      </c>
      <c r="B139" s="257" t="s">
        <v>447</v>
      </c>
      <c r="C139" s="260">
        <v>8</v>
      </c>
      <c r="D139" s="260">
        <v>6</v>
      </c>
      <c r="E139" s="260">
        <f t="shared" si="18"/>
        <v>-2</v>
      </c>
      <c r="F139" s="259">
        <f t="shared" si="19"/>
        <v>-0.25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287055</v>
      </c>
      <c r="D140" s="263">
        <f>+D131+D133</f>
        <v>349534</v>
      </c>
      <c r="E140" s="263">
        <f t="shared" si="18"/>
        <v>62479</v>
      </c>
      <c r="F140" s="264">
        <f t="shared" si="19"/>
        <v>0.21765515319363885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58722</v>
      </c>
      <c r="D141" s="263">
        <f>+D132+D134</f>
        <v>63917</v>
      </c>
      <c r="E141" s="263">
        <f t="shared" si="18"/>
        <v>5195</v>
      </c>
      <c r="F141" s="264">
        <f t="shared" si="19"/>
        <v>8.8467695241987665E-2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152780</v>
      </c>
      <c r="D183" s="258">
        <v>0</v>
      </c>
      <c r="E183" s="258">
        <f t="shared" ref="E183:E193" si="26">D183-C183</f>
        <v>-152780</v>
      </c>
      <c r="F183" s="259">
        <f t="shared" ref="F183:F193" si="27">IF(C183=0,0,E183/C183)</f>
        <v>-1</v>
      </c>
    </row>
    <row r="184" spans="1:6" ht="20.25" customHeight="1" x14ac:dyDescent="0.3">
      <c r="A184" s="256">
        <v>2</v>
      </c>
      <c r="B184" s="257" t="s">
        <v>442</v>
      </c>
      <c r="C184" s="258">
        <v>36501</v>
      </c>
      <c r="D184" s="258">
        <v>0</v>
      </c>
      <c r="E184" s="258">
        <f t="shared" si="26"/>
        <v>-36501</v>
      </c>
      <c r="F184" s="259">
        <f t="shared" si="27"/>
        <v>-1</v>
      </c>
    </row>
    <row r="185" spans="1:6" ht="20.25" customHeight="1" x14ac:dyDescent="0.3">
      <c r="A185" s="256">
        <v>3</v>
      </c>
      <c r="B185" s="257" t="s">
        <v>443</v>
      </c>
      <c r="C185" s="258">
        <v>124330</v>
      </c>
      <c r="D185" s="258">
        <v>12709</v>
      </c>
      <c r="E185" s="258">
        <f t="shared" si="26"/>
        <v>-111621</v>
      </c>
      <c r="F185" s="259">
        <f t="shared" si="27"/>
        <v>-0.89778010134319952</v>
      </c>
    </row>
    <row r="186" spans="1:6" ht="20.25" customHeight="1" x14ac:dyDescent="0.3">
      <c r="A186" s="256">
        <v>4</v>
      </c>
      <c r="B186" s="257" t="s">
        <v>444</v>
      </c>
      <c r="C186" s="258">
        <v>17698</v>
      </c>
      <c r="D186" s="258">
        <v>1916</v>
      </c>
      <c r="E186" s="258">
        <f t="shared" si="26"/>
        <v>-15782</v>
      </c>
      <c r="F186" s="259">
        <f t="shared" si="27"/>
        <v>-0.89173917956831283</v>
      </c>
    </row>
    <row r="187" spans="1:6" ht="20.25" customHeight="1" x14ac:dyDescent="0.3">
      <c r="A187" s="256">
        <v>5</v>
      </c>
      <c r="B187" s="257" t="s">
        <v>381</v>
      </c>
      <c r="C187" s="260">
        <v>4</v>
      </c>
      <c r="D187" s="260">
        <v>0</v>
      </c>
      <c r="E187" s="260">
        <f t="shared" si="26"/>
        <v>-4</v>
      </c>
      <c r="F187" s="259">
        <f t="shared" si="27"/>
        <v>-1</v>
      </c>
    </row>
    <row r="188" spans="1:6" ht="20.25" customHeight="1" x14ac:dyDescent="0.3">
      <c r="A188" s="256">
        <v>6</v>
      </c>
      <c r="B188" s="257" t="s">
        <v>380</v>
      </c>
      <c r="C188" s="260">
        <v>33</v>
      </c>
      <c r="D188" s="260">
        <v>0</v>
      </c>
      <c r="E188" s="260">
        <f t="shared" si="26"/>
        <v>-33</v>
      </c>
      <c r="F188" s="259">
        <f t="shared" si="27"/>
        <v>-1</v>
      </c>
    </row>
    <row r="189" spans="1:6" ht="20.25" customHeight="1" x14ac:dyDescent="0.3">
      <c r="A189" s="256">
        <v>7</v>
      </c>
      <c r="B189" s="257" t="s">
        <v>445</v>
      </c>
      <c r="C189" s="260">
        <v>52</v>
      </c>
      <c r="D189" s="260">
        <v>27</v>
      </c>
      <c r="E189" s="260">
        <f t="shared" si="26"/>
        <v>-25</v>
      </c>
      <c r="F189" s="259">
        <f t="shared" si="27"/>
        <v>-0.48076923076923078</v>
      </c>
    </row>
    <row r="190" spans="1:6" ht="20.25" customHeight="1" x14ac:dyDescent="0.3">
      <c r="A190" s="256">
        <v>8</v>
      </c>
      <c r="B190" s="257" t="s">
        <v>446</v>
      </c>
      <c r="C190" s="260">
        <v>5</v>
      </c>
      <c r="D190" s="260">
        <v>1</v>
      </c>
      <c r="E190" s="260">
        <f t="shared" si="26"/>
        <v>-4</v>
      </c>
      <c r="F190" s="259">
        <f t="shared" si="27"/>
        <v>-0.8</v>
      </c>
    </row>
    <row r="191" spans="1:6" ht="20.25" customHeight="1" x14ac:dyDescent="0.3">
      <c r="A191" s="256">
        <v>9</v>
      </c>
      <c r="B191" s="257" t="s">
        <v>447</v>
      </c>
      <c r="C191" s="260">
        <v>4</v>
      </c>
      <c r="D191" s="260">
        <v>0</v>
      </c>
      <c r="E191" s="260">
        <f t="shared" si="26"/>
        <v>-4</v>
      </c>
      <c r="F191" s="259">
        <f t="shared" si="27"/>
        <v>-1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277110</v>
      </c>
      <c r="D192" s="263">
        <f>+D183+D185</f>
        <v>12709</v>
      </c>
      <c r="E192" s="263">
        <f t="shared" si="26"/>
        <v>-264401</v>
      </c>
      <c r="F192" s="264">
        <f t="shared" si="27"/>
        <v>-0.95413734618021728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54199</v>
      </c>
      <c r="D193" s="263">
        <f>+D184+D186</f>
        <v>1916</v>
      </c>
      <c r="E193" s="263">
        <f t="shared" si="26"/>
        <v>-52283</v>
      </c>
      <c r="F193" s="264">
        <f t="shared" si="27"/>
        <v>-0.96464879425819661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41651004</v>
      </c>
      <c r="D198" s="263">
        <f t="shared" si="28"/>
        <v>46208526</v>
      </c>
      <c r="E198" s="263">
        <f t="shared" ref="E198:E208" si="29">D198-C198</f>
        <v>4557522</v>
      </c>
      <c r="F198" s="273">
        <f t="shared" ref="F198:F208" si="30">IF(C198=0,0,E198/C198)</f>
        <v>0.10942166003969556</v>
      </c>
    </row>
    <row r="199" spans="1:9" ht="20.25" customHeight="1" x14ac:dyDescent="0.3">
      <c r="A199" s="271"/>
      <c r="B199" s="272" t="s">
        <v>466</v>
      </c>
      <c r="C199" s="263">
        <f t="shared" si="28"/>
        <v>8973305</v>
      </c>
      <c r="D199" s="263">
        <f t="shared" si="28"/>
        <v>9881422</v>
      </c>
      <c r="E199" s="263">
        <f t="shared" si="29"/>
        <v>908117</v>
      </c>
      <c r="F199" s="273">
        <f t="shared" si="30"/>
        <v>0.10120206545971634</v>
      </c>
    </row>
    <row r="200" spans="1:9" ht="20.25" customHeight="1" x14ac:dyDescent="0.3">
      <c r="A200" s="271"/>
      <c r="B200" s="272" t="s">
        <v>467</v>
      </c>
      <c r="C200" s="263">
        <f t="shared" si="28"/>
        <v>52352415</v>
      </c>
      <c r="D200" s="263">
        <f t="shared" si="28"/>
        <v>60392707</v>
      </c>
      <c r="E200" s="263">
        <f t="shared" si="29"/>
        <v>8040292</v>
      </c>
      <c r="F200" s="273">
        <f t="shared" si="30"/>
        <v>0.1535801548027918</v>
      </c>
    </row>
    <row r="201" spans="1:9" ht="20.25" customHeight="1" x14ac:dyDescent="0.3">
      <c r="A201" s="271"/>
      <c r="B201" s="272" t="s">
        <v>468</v>
      </c>
      <c r="C201" s="263">
        <f t="shared" si="28"/>
        <v>7772699</v>
      </c>
      <c r="D201" s="263">
        <f t="shared" si="28"/>
        <v>6613067</v>
      </c>
      <c r="E201" s="263">
        <f t="shared" si="29"/>
        <v>-1159632</v>
      </c>
      <c r="F201" s="273">
        <f t="shared" si="30"/>
        <v>-0.14919296373113122</v>
      </c>
    </row>
    <row r="202" spans="1:9" ht="20.25" customHeight="1" x14ac:dyDescent="0.3">
      <c r="A202" s="271"/>
      <c r="B202" s="272" t="s">
        <v>138</v>
      </c>
      <c r="C202" s="274">
        <f t="shared" si="28"/>
        <v>757</v>
      </c>
      <c r="D202" s="274">
        <f t="shared" si="28"/>
        <v>785</v>
      </c>
      <c r="E202" s="274">
        <f t="shared" si="29"/>
        <v>28</v>
      </c>
      <c r="F202" s="273">
        <f t="shared" si="30"/>
        <v>3.6988110964332896E-2</v>
      </c>
    </row>
    <row r="203" spans="1:9" ht="20.25" customHeight="1" x14ac:dyDescent="0.3">
      <c r="A203" s="271"/>
      <c r="B203" s="272" t="s">
        <v>140</v>
      </c>
      <c r="C203" s="274">
        <f t="shared" si="28"/>
        <v>4356</v>
      </c>
      <c r="D203" s="274">
        <f t="shared" si="28"/>
        <v>4529</v>
      </c>
      <c r="E203" s="274">
        <f t="shared" si="29"/>
        <v>173</v>
      </c>
      <c r="F203" s="273">
        <f t="shared" si="30"/>
        <v>3.9715335169880628E-2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13818</v>
      </c>
      <c r="D204" s="274">
        <f t="shared" si="28"/>
        <v>16290</v>
      </c>
      <c r="E204" s="274">
        <f t="shared" si="29"/>
        <v>2472</v>
      </c>
      <c r="F204" s="273">
        <f t="shared" si="30"/>
        <v>0.17889709075119409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1158</v>
      </c>
      <c r="D205" s="274">
        <f t="shared" si="28"/>
        <v>1261</v>
      </c>
      <c r="E205" s="274">
        <f t="shared" si="29"/>
        <v>103</v>
      </c>
      <c r="F205" s="273">
        <f t="shared" si="30"/>
        <v>8.8946459412780662E-2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596</v>
      </c>
      <c r="D206" s="274">
        <f t="shared" si="28"/>
        <v>636</v>
      </c>
      <c r="E206" s="274">
        <f t="shared" si="29"/>
        <v>40</v>
      </c>
      <c r="F206" s="273">
        <f t="shared" si="30"/>
        <v>6.7114093959731544E-2</v>
      </c>
    </row>
    <row r="207" spans="1:9" ht="20.25" customHeight="1" x14ac:dyDescent="0.3">
      <c r="A207" s="271"/>
      <c r="B207" s="262" t="s">
        <v>471</v>
      </c>
      <c r="C207" s="263">
        <f>+C198+C200</f>
        <v>94003419</v>
      </c>
      <c r="D207" s="263">
        <f>+D198+D200</f>
        <v>106601233</v>
      </c>
      <c r="E207" s="263">
        <f t="shared" si="29"/>
        <v>12597814</v>
      </c>
      <c r="F207" s="273">
        <f t="shared" si="30"/>
        <v>0.13401442345410863</v>
      </c>
    </row>
    <row r="208" spans="1:9" ht="20.25" customHeight="1" x14ac:dyDescent="0.3">
      <c r="A208" s="271"/>
      <c r="B208" s="262" t="s">
        <v>472</v>
      </c>
      <c r="C208" s="263">
        <f>+C199+C201</f>
        <v>16746004</v>
      </c>
      <c r="D208" s="263">
        <f>+D199+D201</f>
        <v>16494489</v>
      </c>
      <c r="E208" s="263">
        <f t="shared" si="29"/>
        <v>-251515</v>
      </c>
      <c r="F208" s="273">
        <f t="shared" si="30"/>
        <v>-1.5019404032149998E-2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4053637</v>
      </c>
      <c r="D26" s="258">
        <v>0</v>
      </c>
      <c r="E26" s="258">
        <f t="shared" ref="E26:E36" si="2">D26-C26</f>
        <v>-4053637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570549</v>
      </c>
      <c r="D27" s="258">
        <v>0</v>
      </c>
      <c r="E27" s="258">
        <f t="shared" si="2"/>
        <v>-570549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8728736</v>
      </c>
      <c r="D28" s="258">
        <v>0</v>
      </c>
      <c r="E28" s="258">
        <f t="shared" si="2"/>
        <v>-8728736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1154519</v>
      </c>
      <c r="D29" s="258">
        <v>0</v>
      </c>
      <c r="E29" s="258">
        <f t="shared" si="2"/>
        <v>-1154519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117</v>
      </c>
      <c r="D30" s="260">
        <v>0</v>
      </c>
      <c r="E30" s="260">
        <f t="shared" si="2"/>
        <v>-117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553</v>
      </c>
      <c r="D31" s="260">
        <v>0</v>
      </c>
      <c r="E31" s="260">
        <f t="shared" si="2"/>
        <v>-553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3333</v>
      </c>
      <c r="D32" s="260">
        <v>0</v>
      </c>
      <c r="E32" s="260">
        <f t="shared" si="2"/>
        <v>-3333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1492</v>
      </c>
      <c r="D33" s="260">
        <v>0</v>
      </c>
      <c r="E33" s="260">
        <f t="shared" si="2"/>
        <v>-1492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47</v>
      </c>
      <c r="D34" s="260">
        <v>0</v>
      </c>
      <c r="E34" s="260">
        <f t="shared" si="2"/>
        <v>-47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12782373</v>
      </c>
      <c r="D35" s="263">
        <f>+D26+D28</f>
        <v>0</v>
      </c>
      <c r="E35" s="263">
        <f t="shared" si="2"/>
        <v>-12782373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1725068</v>
      </c>
      <c r="D36" s="263">
        <f>+D27+D29</f>
        <v>0</v>
      </c>
      <c r="E36" s="263">
        <f t="shared" si="2"/>
        <v>-1725068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88874</v>
      </c>
      <c r="D50" s="258">
        <v>0</v>
      </c>
      <c r="E50" s="258">
        <f t="shared" ref="E50:E60" si="6">D50-C50</f>
        <v>-88874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201611</v>
      </c>
      <c r="D52" s="258">
        <v>0</v>
      </c>
      <c r="E52" s="258">
        <f t="shared" si="6"/>
        <v>-201611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290485</v>
      </c>
      <c r="D59" s="263">
        <f>+D50+D52</f>
        <v>0</v>
      </c>
      <c r="E59" s="263">
        <f t="shared" si="6"/>
        <v>-290485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9491</v>
      </c>
      <c r="D76" s="258">
        <v>0</v>
      </c>
      <c r="E76" s="258">
        <f t="shared" si="10"/>
        <v>-9491</v>
      </c>
      <c r="F76" s="259">
        <f t="shared" si="11"/>
        <v>-1</v>
      </c>
    </row>
    <row r="77" spans="1:6" ht="20.25" customHeight="1" x14ac:dyDescent="0.3">
      <c r="A77" s="256">
        <v>4</v>
      </c>
      <c r="B77" s="257" t="s">
        <v>444</v>
      </c>
      <c r="C77" s="258">
        <v>7595</v>
      </c>
      <c r="D77" s="258">
        <v>0</v>
      </c>
      <c r="E77" s="258">
        <f t="shared" si="10"/>
        <v>-7595</v>
      </c>
      <c r="F77" s="259">
        <f t="shared" si="11"/>
        <v>-1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2</v>
      </c>
      <c r="D81" s="260">
        <v>0</v>
      </c>
      <c r="E81" s="260">
        <f t="shared" si="10"/>
        <v>-2</v>
      </c>
      <c r="F81" s="259">
        <f t="shared" si="11"/>
        <v>-1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9491</v>
      </c>
      <c r="D83" s="263">
        <f>+D74+D76</f>
        <v>0</v>
      </c>
      <c r="E83" s="263">
        <f t="shared" si="10"/>
        <v>-9491</v>
      </c>
      <c r="F83" s="264">
        <f t="shared" si="11"/>
        <v>-1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7595</v>
      </c>
      <c r="D84" s="263">
        <f>+D75+D77</f>
        <v>0</v>
      </c>
      <c r="E84" s="263">
        <f t="shared" si="10"/>
        <v>-7595</v>
      </c>
      <c r="F84" s="264">
        <f t="shared" si="11"/>
        <v>-1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949008</v>
      </c>
      <c r="D86" s="258">
        <v>0</v>
      </c>
      <c r="E86" s="258">
        <f t="shared" ref="E86:E96" si="12">D86-C86</f>
        <v>-949008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154350</v>
      </c>
      <c r="D87" s="258">
        <v>0</v>
      </c>
      <c r="E87" s="258">
        <f t="shared" si="12"/>
        <v>-154350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2175397</v>
      </c>
      <c r="D88" s="258">
        <v>0</v>
      </c>
      <c r="E88" s="258">
        <f t="shared" si="12"/>
        <v>-2175397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372851</v>
      </c>
      <c r="D89" s="258">
        <v>0</v>
      </c>
      <c r="E89" s="258">
        <f t="shared" si="12"/>
        <v>-372851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37</v>
      </c>
      <c r="D90" s="260">
        <v>0</v>
      </c>
      <c r="E90" s="260">
        <f t="shared" si="12"/>
        <v>-37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136</v>
      </c>
      <c r="D91" s="260">
        <v>0</v>
      </c>
      <c r="E91" s="260">
        <f t="shared" si="12"/>
        <v>-136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900</v>
      </c>
      <c r="D92" s="260">
        <v>0</v>
      </c>
      <c r="E92" s="260">
        <f t="shared" si="12"/>
        <v>-900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297</v>
      </c>
      <c r="D93" s="260">
        <v>0</v>
      </c>
      <c r="E93" s="260">
        <f t="shared" si="12"/>
        <v>-297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17</v>
      </c>
      <c r="D94" s="260">
        <v>0</v>
      </c>
      <c r="E94" s="260">
        <f t="shared" si="12"/>
        <v>-17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3124405</v>
      </c>
      <c r="D95" s="263">
        <f>+D86+D88</f>
        <v>0</v>
      </c>
      <c r="E95" s="263">
        <f t="shared" si="12"/>
        <v>-3124405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527201</v>
      </c>
      <c r="D96" s="263">
        <f>+D87+D89</f>
        <v>0</v>
      </c>
      <c r="E96" s="263">
        <f t="shared" si="12"/>
        <v>-527201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909150</v>
      </c>
      <c r="D98" s="258">
        <v>0</v>
      </c>
      <c r="E98" s="258">
        <f t="shared" ref="E98:E108" si="14">D98-C98</f>
        <v>-909150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166273</v>
      </c>
      <c r="D99" s="258">
        <v>0</v>
      </c>
      <c r="E99" s="258">
        <f t="shared" si="14"/>
        <v>-166273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2497341</v>
      </c>
      <c r="D100" s="258">
        <v>0</v>
      </c>
      <c r="E100" s="258">
        <f t="shared" si="14"/>
        <v>-2497341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437722</v>
      </c>
      <c r="D101" s="258">
        <v>0</v>
      </c>
      <c r="E101" s="258">
        <f t="shared" si="14"/>
        <v>-437722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37</v>
      </c>
      <c r="D102" s="260">
        <v>0</v>
      </c>
      <c r="E102" s="260">
        <f t="shared" si="14"/>
        <v>-37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104</v>
      </c>
      <c r="D103" s="260">
        <v>0</v>
      </c>
      <c r="E103" s="260">
        <f t="shared" si="14"/>
        <v>-104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888</v>
      </c>
      <c r="D104" s="260">
        <v>0</v>
      </c>
      <c r="E104" s="260">
        <f t="shared" si="14"/>
        <v>-888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326</v>
      </c>
      <c r="D105" s="260">
        <v>0</v>
      </c>
      <c r="E105" s="260">
        <f t="shared" si="14"/>
        <v>-326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10</v>
      </c>
      <c r="D106" s="260">
        <v>0</v>
      </c>
      <c r="E106" s="260">
        <f t="shared" si="14"/>
        <v>-10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3406491</v>
      </c>
      <c r="D107" s="263">
        <f>+D98+D100</f>
        <v>0</v>
      </c>
      <c r="E107" s="263">
        <f t="shared" si="14"/>
        <v>-3406491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603995</v>
      </c>
      <c r="D108" s="263">
        <f>+D99+D101</f>
        <v>0</v>
      </c>
      <c r="E108" s="263">
        <f t="shared" si="14"/>
        <v>-603995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6000669</v>
      </c>
      <c r="D112" s="263">
        <f t="shared" si="16"/>
        <v>0</v>
      </c>
      <c r="E112" s="263">
        <f t="shared" ref="E112:E122" si="17">D112-C112</f>
        <v>-6000669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891172</v>
      </c>
      <c r="D113" s="263">
        <f t="shared" si="16"/>
        <v>0</v>
      </c>
      <c r="E113" s="263">
        <f t="shared" si="17"/>
        <v>-891172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13612576</v>
      </c>
      <c r="D114" s="263">
        <f t="shared" si="16"/>
        <v>0</v>
      </c>
      <c r="E114" s="263">
        <f t="shared" si="17"/>
        <v>-13612576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1972687</v>
      </c>
      <c r="D115" s="263">
        <f t="shared" si="16"/>
        <v>0</v>
      </c>
      <c r="E115" s="263">
        <f t="shared" si="17"/>
        <v>-1972687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191</v>
      </c>
      <c r="D116" s="287">
        <f t="shared" si="16"/>
        <v>0</v>
      </c>
      <c r="E116" s="287">
        <f t="shared" si="17"/>
        <v>-191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793</v>
      </c>
      <c r="D117" s="287">
        <f t="shared" si="16"/>
        <v>0</v>
      </c>
      <c r="E117" s="287">
        <f t="shared" si="17"/>
        <v>-793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5121</v>
      </c>
      <c r="D118" s="287">
        <f t="shared" si="16"/>
        <v>0</v>
      </c>
      <c r="E118" s="287">
        <f t="shared" si="17"/>
        <v>-5121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2117</v>
      </c>
      <c r="D119" s="287">
        <f t="shared" si="16"/>
        <v>0</v>
      </c>
      <c r="E119" s="287">
        <f t="shared" si="17"/>
        <v>-2117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74</v>
      </c>
      <c r="D120" s="287">
        <f t="shared" si="16"/>
        <v>0</v>
      </c>
      <c r="E120" s="287">
        <f t="shared" si="17"/>
        <v>-74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19613245</v>
      </c>
      <c r="D121" s="263">
        <f>+D112+D114</f>
        <v>0</v>
      </c>
      <c r="E121" s="263">
        <f t="shared" si="17"/>
        <v>-19613245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2863859</v>
      </c>
      <c r="D122" s="263">
        <f>+D113+D115</f>
        <v>0</v>
      </c>
      <c r="E122" s="263">
        <f t="shared" si="17"/>
        <v>-2863859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76275000</v>
      </c>
      <c r="D13" s="22">
        <v>112710000</v>
      </c>
      <c r="E13" s="22">
        <f t="shared" ref="E13:E22" si="0">D13-C13</f>
        <v>36435000</v>
      </c>
      <c r="F13" s="306">
        <f t="shared" ref="F13:F22" si="1">IF(C13=0,0,E13/C13)</f>
        <v>0.47767944936086532</v>
      </c>
    </row>
    <row r="14" spans="1:8" ht="24" customHeight="1" x14ac:dyDescent="0.2">
      <c r="A14" s="304">
        <v>2</v>
      </c>
      <c r="B14" s="305" t="s">
        <v>17</v>
      </c>
      <c r="C14" s="22">
        <v>119215000</v>
      </c>
      <c r="D14" s="22">
        <v>44000</v>
      </c>
      <c r="E14" s="22">
        <f t="shared" si="0"/>
        <v>-119171000</v>
      </c>
      <c r="F14" s="306">
        <f t="shared" si="1"/>
        <v>-0.99963091892798728</v>
      </c>
    </row>
    <row r="15" spans="1:8" ht="35.1" customHeight="1" x14ac:dyDescent="0.2">
      <c r="A15" s="304">
        <v>3</v>
      </c>
      <c r="B15" s="305" t="s">
        <v>18</v>
      </c>
      <c r="C15" s="22">
        <v>69756000</v>
      </c>
      <c r="D15" s="22">
        <v>72380000</v>
      </c>
      <c r="E15" s="22">
        <f t="shared" si="0"/>
        <v>2624000</v>
      </c>
      <c r="F15" s="306">
        <f t="shared" si="1"/>
        <v>3.7616835827742418E-2</v>
      </c>
    </row>
    <row r="16" spans="1:8" ht="35.1" customHeight="1" x14ac:dyDescent="0.2">
      <c r="A16" s="304">
        <v>4</v>
      </c>
      <c r="B16" s="305" t="s">
        <v>19</v>
      </c>
      <c r="C16" s="22">
        <v>640000</v>
      </c>
      <c r="D16" s="22">
        <v>543000</v>
      </c>
      <c r="E16" s="22">
        <f t="shared" si="0"/>
        <v>-97000</v>
      </c>
      <c r="F16" s="306">
        <f t="shared" si="1"/>
        <v>-0.15156249999999999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2554000</v>
      </c>
      <c r="D18" s="22">
        <v>3366000</v>
      </c>
      <c r="E18" s="22">
        <f t="shared" si="0"/>
        <v>812000</v>
      </c>
      <c r="F18" s="306">
        <f t="shared" si="1"/>
        <v>0.31793265465935788</v>
      </c>
    </row>
    <row r="19" spans="1:11" ht="24" customHeight="1" x14ac:dyDescent="0.2">
      <c r="A19" s="304">
        <v>7</v>
      </c>
      <c r="B19" s="305" t="s">
        <v>22</v>
      </c>
      <c r="C19" s="22">
        <v>5408000</v>
      </c>
      <c r="D19" s="22">
        <v>5565000</v>
      </c>
      <c r="E19" s="22">
        <f t="shared" si="0"/>
        <v>157000</v>
      </c>
      <c r="F19" s="306">
        <f t="shared" si="1"/>
        <v>2.9031065088757396E-2</v>
      </c>
    </row>
    <row r="20" spans="1:11" ht="24" customHeight="1" x14ac:dyDescent="0.2">
      <c r="A20" s="304">
        <v>8</v>
      </c>
      <c r="B20" s="305" t="s">
        <v>23</v>
      </c>
      <c r="C20" s="22">
        <v>5335000</v>
      </c>
      <c r="D20" s="22">
        <v>7027000</v>
      </c>
      <c r="E20" s="22">
        <f t="shared" si="0"/>
        <v>1692000</v>
      </c>
      <c r="F20" s="306">
        <f t="shared" si="1"/>
        <v>0.31715089034676663</v>
      </c>
    </row>
    <row r="21" spans="1:11" ht="24" customHeight="1" x14ac:dyDescent="0.2">
      <c r="A21" s="304">
        <v>9</v>
      </c>
      <c r="B21" s="305" t="s">
        <v>24</v>
      </c>
      <c r="C21" s="22">
        <v>17142000</v>
      </c>
      <c r="D21" s="22">
        <v>7739000</v>
      </c>
      <c r="E21" s="22">
        <f t="shared" si="0"/>
        <v>-9403000</v>
      </c>
      <c r="F21" s="306">
        <f t="shared" si="1"/>
        <v>-0.54853576012133942</v>
      </c>
    </row>
    <row r="22" spans="1:11" ht="24" customHeight="1" x14ac:dyDescent="0.25">
      <c r="A22" s="307"/>
      <c r="B22" s="308" t="s">
        <v>25</v>
      </c>
      <c r="C22" s="309">
        <f>SUM(C13:C21)</f>
        <v>296325000</v>
      </c>
      <c r="D22" s="309">
        <f>SUM(D13:D21)</f>
        <v>209374000</v>
      </c>
      <c r="E22" s="309">
        <f t="shared" si="0"/>
        <v>-86951000</v>
      </c>
      <c r="F22" s="310">
        <f t="shared" si="1"/>
        <v>-0.29343119885261115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243826000</v>
      </c>
      <c r="D25" s="22">
        <v>167015000</v>
      </c>
      <c r="E25" s="22">
        <f>D25-C25</f>
        <v>-76811000</v>
      </c>
      <c r="F25" s="306">
        <f>IF(C25=0,0,E25/C25)</f>
        <v>-0.31502382846784183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37839000</v>
      </c>
      <c r="D28" s="22">
        <v>42817000</v>
      </c>
      <c r="E28" s="22">
        <f>D28-C28</f>
        <v>4978000</v>
      </c>
      <c r="F28" s="306">
        <f>IF(C28=0,0,E28/C28)</f>
        <v>0.13155738788022939</v>
      </c>
    </row>
    <row r="29" spans="1:11" ht="35.1" customHeight="1" x14ac:dyDescent="0.25">
      <c r="A29" s="307"/>
      <c r="B29" s="308" t="s">
        <v>32</v>
      </c>
      <c r="C29" s="309">
        <f>SUM(C25:C28)</f>
        <v>281665000</v>
      </c>
      <c r="D29" s="309">
        <f>SUM(D25:D28)</f>
        <v>209832000</v>
      </c>
      <c r="E29" s="309">
        <f>D29-C29</f>
        <v>-71833000</v>
      </c>
      <c r="F29" s="310">
        <f>IF(C29=0,0,E29/C29)</f>
        <v>-0.25502991141959419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117299000</v>
      </c>
      <c r="D32" s="22">
        <v>224042000</v>
      </c>
      <c r="E32" s="22">
        <f>D32-C32</f>
        <v>106743000</v>
      </c>
      <c r="F32" s="306">
        <f>IF(C32=0,0,E32/C32)</f>
        <v>0.9100077579519007</v>
      </c>
    </row>
    <row r="33" spans="1:8" ht="24" customHeight="1" x14ac:dyDescent="0.2">
      <c r="A33" s="304">
        <v>7</v>
      </c>
      <c r="B33" s="305" t="s">
        <v>35</v>
      </c>
      <c r="C33" s="22">
        <v>25521000</v>
      </c>
      <c r="D33" s="22">
        <v>28099000</v>
      </c>
      <c r="E33" s="22">
        <f>D33-C33</f>
        <v>2578000</v>
      </c>
      <c r="F33" s="306">
        <f>IF(C33=0,0,E33/C33)</f>
        <v>0.10101485051526195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572699000</v>
      </c>
      <c r="D36" s="22">
        <v>591201000</v>
      </c>
      <c r="E36" s="22">
        <f>D36-C36</f>
        <v>18502000</v>
      </c>
      <c r="F36" s="306">
        <f>IF(C36=0,0,E36/C36)</f>
        <v>3.2306674186614606E-2</v>
      </c>
    </row>
    <row r="37" spans="1:8" ht="24" customHeight="1" x14ac:dyDescent="0.2">
      <c r="A37" s="304">
        <v>2</v>
      </c>
      <c r="B37" s="305" t="s">
        <v>39</v>
      </c>
      <c r="C37" s="22">
        <v>355813000</v>
      </c>
      <c r="D37" s="22">
        <v>381792000</v>
      </c>
      <c r="E37" s="22">
        <f>D37-C37</f>
        <v>25979000</v>
      </c>
      <c r="F37" s="22">
        <f>IF(C37=0,0,E37/C37)</f>
        <v>7.3013071472936633E-2</v>
      </c>
    </row>
    <row r="38" spans="1:8" ht="24" customHeight="1" x14ac:dyDescent="0.25">
      <c r="A38" s="307"/>
      <c r="B38" s="308" t="s">
        <v>40</v>
      </c>
      <c r="C38" s="309">
        <f>C36-C37</f>
        <v>216886000</v>
      </c>
      <c r="D38" s="309">
        <f>D36-D37</f>
        <v>209409000</v>
      </c>
      <c r="E38" s="309">
        <f>D38-C38</f>
        <v>-7477000</v>
      </c>
      <c r="F38" s="310">
        <f>IF(C38=0,0,E38/C38)</f>
        <v>-3.4474332137620682E-2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49634000</v>
      </c>
      <c r="D40" s="22">
        <v>132895000</v>
      </c>
      <c r="E40" s="22">
        <f>D40-C40</f>
        <v>83261000</v>
      </c>
      <c r="F40" s="306">
        <f>IF(C40=0,0,E40/C40)</f>
        <v>1.6774992948382157</v>
      </c>
    </row>
    <row r="41" spans="1:8" ht="24" customHeight="1" x14ac:dyDescent="0.25">
      <c r="A41" s="307"/>
      <c r="B41" s="308" t="s">
        <v>42</v>
      </c>
      <c r="C41" s="309">
        <f>+C38+C40</f>
        <v>266520000</v>
      </c>
      <c r="D41" s="309">
        <f>+D38+D40</f>
        <v>342304000</v>
      </c>
      <c r="E41" s="309">
        <f>D41-C41</f>
        <v>75784000</v>
      </c>
      <c r="F41" s="310">
        <f>IF(C41=0,0,E41/C41)</f>
        <v>0.28434639051478311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987330000</v>
      </c>
      <c r="D43" s="309">
        <f>D22+D29+D31+D32+D33+D41</f>
        <v>1013651000</v>
      </c>
      <c r="E43" s="309">
        <f>D43-C43</f>
        <v>26321000</v>
      </c>
      <c r="F43" s="310">
        <f>IF(C43=0,0,E43/C43)</f>
        <v>2.6658766572473236E-2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68893000</v>
      </c>
      <c r="D49" s="22">
        <v>73886000</v>
      </c>
      <c r="E49" s="22">
        <f t="shared" ref="E49:E56" si="2">D49-C49</f>
        <v>4993000</v>
      </c>
      <c r="F49" s="306">
        <f t="shared" ref="F49:F56" si="3">IF(C49=0,0,E49/C49)</f>
        <v>7.2474707154573034E-2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12161000</v>
      </c>
      <c r="D50" s="22">
        <v>15808000</v>
      </c>
      <c r="E50" s="22">
        <f t="shared" si="2"/>
        <v>3647000</v>
      </c>
      <c r="F50" s="306">
        <f t="shared" si="3"/>
        <v>0.29989310089630788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27424000</v>
      </c>
      <c r="D51" s="22">
        <v>14315000</v>
      </c>
      <c r="E51" s="22">
        <f t="shared" si="2"/>
        <v>-13109000</v>
      </c>
      <c r="F51" s="306">
        <f t="shared" si="3"/>
        <v>-0.47801196032672111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5656000</v>
      </c>
      <c r="D53" s="22">
        <v>5904000</v>
      </c>
      <c r="E53" s="22">
        <f t="shared" si="2"/>
        <v>248000</v>
      </c>
      <c r="F53" s="306">
        <f t="shared" si="3"/>
        <v>4.3847241867043849E-2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18570000</v>
      </c>
      <c r="D55" s="22">
        <v>19936000</v>
      </c>
      <c r="E55" s="22">
        <f t="shared" si="2"/>
        <v>1366000</v>
      </c>
      <c r="F55" s="306">
        <f t="shared" si="3"/>
        <v>7.355950457727517E-2</v>
      </c>
    </row>
    <row r="56" spans="1:6" ht="24" customHeight="1" x14ac:dyDescent="0.25">
      <c r="A56" s="307"/>
      <c r="B56" s="308" t="s">
        <v>54</v>
      </c>
      <c r="C56" s="309">
        <f>SUM(C49:C55)</f>
        <v>132704000</v>
      </c>
      <c r="D56" s="309">
        <f>SUM(D49:D55)</f>
        <v>129849000</v>
      </c>
      <c r="E56" s="309">
        <f t="shared" si="2"/>
        <v>-2855000</v>
      </c>
      <c r="F56" s="310">
        <f t="shared" si="3"/>
        <v>-2.1514046298529058E-2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384520000</v>
      </c>
      <c r="D59" s="22">
        <v>378618000</v>
      </c>
      <c r="E59" s="22">
        <f>D59-C59</f>
        <v>-5902000</v>
      </c>
      <c r="F59" s="306">
        <f>IF(C59=0,0,E59/C59)</f>
        <v>-1.5349006553625298E-2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384520000</v>
      </c>
      <c r="D61" s="309">
        <f>SUM(D59:D60)</f>
        <v>378618000</v>
      </c>
      <c r="E61" s="309">
        <f>D61-C61</f>
        <v>-5902000</v>
      </c>
      <c r="F61" s="310">
        <f>IF(C61=0,0,E61/C61)</f>
        <v>-1.5349006553625298E-2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120448000</v>
      </c>
      <c r="D63" s="22">
        <v>70257000</v>
      </c>
      <c r="E63" s="22">
        <f>D63-C63</f>
        <v>-50191000</v>
      </c>
      <c r="F63" s="306">
        <f>IF(C63=0,0,E63/C63)</f>
        <v>-0.41670264346439956</v>
      </c>
    </row>
    <row r="64" spans="1:6" ht="24" customHeight="1" x14ac:dyDescent="0.2">
      <c r="A64" s="304">
        <v>4</v>
      </c>
      <c r="B64" s="305" t="s">
        <v>60</v>
      </c>
      <c r="C64" s="22">
        <v>40726000</v>
      </c>
      <c r="D64" s="22">
        <v>43782000</v>
      </c>
      <c r="E64" s="22">
        <f>D64-C64</f>
        <v>3056000</v>
      </c>
      <c r="F64" s="306">
        <f>IF(C64=0,0,E64/C64)</f>
        <v>7.5038059225065068E-2</v>
      </c>
    </row>
    <row r="65" spans="1:6" ht="24" customHeight="1" x14ac:dyDescent="0.25">
      <c r="A65" s="307"/>
      <c r="B65" s="308" t="s">
        <v>61</v>
      </c>
      <c r="C65" s="309">
        <f>SUM(C61:C64)</f>
        <v>545694000</v>
      </c>
      <c r="D65" s="309">
        <f>SUM(D61:D64)</f>
        <v>492657000</v>
      </c>
      <c r="E65" s="309">
        <f>D65-C65</f>
        <v>-53037000</v>
      </c>
      <c r="F65" s="310">
        <f>IF(C65=0,0,E65/C65)</f>
        <v>-9.7191832785407203E-2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266405000</v>
      </c>
      <c r="D70" s="22">
        <v>340828000</v>
      </c>
      <c r="E70" s="22">
        <f>D70-C70</f>
        <v>74423000</v>
      </c>
      <c r="F70" s="306">
        <f>IF(C70=0,0,E70/C70)</f>
        <v>0.27936037236538352</v>
      </c>
    </row>
    <row r="71" spans="1:6" ht="24" customHeight="1" x14ac:dyDescent="0.2">
      <c r="A71" s="304">
        <v>2</v>
      </c>
      <c r="B71" s="305" t="s">
        <v>65</v>
      </c>
      <c r="C71" s="22">
        <v>34447000</v>
      </c>
      <c r="D71" s="22">
        <v>42237000</v>
      </c>
      <c r="E71" s="22">
        <f>D71-C71</f>
        <v>7790000</v>
      </c>
      <c r="F71" s="306">
        <f>IF(C71=0,0,E71/C71)</f>
        <v>0.22614451185879758</v>
      </c>
    </row>
    <row r="72" spans="1:6" ht="24" customHeight="1" x14ac:dyDescent="0.2">
      <c r="A72" s="304">
        <v>3</v>
      </c>
      <c r="B72" s="305" t="s">
        <v>66</v>
      </c>
      <c r="C72" s="22">
        <v>8080000</v>
      </c>
      <c r="D72" s="22">
        <v>8080000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308932000</v>
      </c>
      <c r="D73" s="309">
        <f>SUM(D70:D72)</f>
        <v>391145000</v>
      </c>
      <c r="E73" s="309">
        <f>D73-C73</f>
        <v>82213000</v>
      </c>
      <c r="F73" s="310">
        <f>IF(C73=0,0,E73/C73)</f>
        <v>0.26612005230924607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987330000</v>
      </c>
      <c r="D75" s="309">
        <f>D56+D65+D67+D73</f>
        <v>1013651000</v>
      </c>
      <c r="E75" s="309">
        <f>D75-C75</f>
        <v>26321000</v>
      </c>
      <c r="F75" s="310">
        <f>IF(C75=0,0,E75/C75)</f>
        <v>2.6658766572473236E-2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1642590508</v>
      </c>
      <c r="D11" s="76">
        <v>1791603774</v>
      </c>
      <c r="E11" s="76">
        <f t="shared" ref="E11:E20" si="0">D11-C11</f>
        <v>149013266</v>
      </c>
      <c r="F11" s="77">
        <f t="shared" ref="F11:F20" si="1">IF(C11=0,0,E11/C11)</f>
        <v>9.0718450687650026E-2</v>
      </c>
    </row>
    <row r="12" spans="1:7" ht="23.1" customHeight="1" x14ac:dyDescent="0.2">
      <c r="A12" s="74">
        <v>2</v>
      </c>
      <c r="B12" s="75" t="s">
        <v>72</v>
      </c>
      <c r="C12" s="76">
        <v>1088497623</v>
      </c>
      <c r="D12" s="76">
        <v>1216830957</v>
      </c>
      <c r="E12" s="76">
        <f t="shared" si="0"/>
        <v>128333334</v>
      </c>
      <c r="F12" s="77">
        <f t="shared" si="1"/>
        <v>0.11789950780627474</v>
      </c>
    </row>
    <row r="13" spans="1:7" ht="23.1" customHeight="1" x14ac:dyDescent="0.2">
      <c r="A13" s="74">
        <v>3</v>
      </c>
      <c r="B13" s="75" t="s">
        <v>73</v>
      </c>
      <c r="C13" s="76">
        <v>34807821</v>
      </c>
      <c r="D13" s="76">
        <v>28856190</v>
      </c>
      <c r="E13" s="76">
        <f t="shared" si="0"/>
        <v>-5951631</v>
      </c>
      <c r="F13" s="77">
        <f t="shared" si="1"/>
        <v>-0.17098545180406438</v>
      </c>
    </row>
    <row r="14" spans="1:7" ht="23.1" customHeight="1" x14ac:dyDescent="0.2">
      <c r="A14" s="74">
        <v>4</v>
      </c>
      <c r="B14" s="75" t="s">
        <v>74</v>
      </c>
      <c r="C14" s="76">
        <v>-9458936</v>
      </c>
      <c r="D14" s="76">
        <v>0</v>
      </c>
      <c r="E14" s="76">
        <f t="shared" si="0"/>
        <v>9458936</v>
      </c>
      <c r="F14" s="77">
        <f t="shared" si="1"/>
        <v>-1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528744000</v>
      </c>
      <c r="D15" s="79">
        <f>D11-D12-D13-D14</f>
        <v>545916627</v>
      </c>
      <c r="E15" s="79">
        <f t="shared" si="0"/>
        <v>17172627</v>
      </c>
      <c r="F15" s="80">
        <f t="shared" si="1"/>
        <v>3.247815010666788E-2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50055360</v>
      </c>
      <c r="E16" s="76">
        <f t="shared" si="0"/>
        <v>50055360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528744000</v>
      </c>
      <c r="D17" s="79">
        <f>D15-D16</f>
        <v>495861267</v>
      </c>
      <c r="E17" s="79">
        <f t="shared" si="0"/>
        <v>-32882733</v>
      </c>
      <c r="F17" s="80">
        <f t="shared" si="1"/>
        <v>-6.2190271662657164E-2</v>
      </c>
    </row>
    <row r="18" spans="1:7" ht="23.1" customHeight="1" x14ac:dyDescent="0.2">
      <c r="A18" s="74">
        <v>6</v>
      </c>
      <c r="B18" s="75" t="s">
        <v>78</v>
      </c>
      <c r="C18" s="76">
        <v>25773080</v>
      </c>
      <c r="D18" s="76">
        <v>20666036</v>
      </c>
      <c r="E18" s="76">
        <f t="shared" si="0"/>
        <v>-5107044</v>
      </c>
      <c r="F18" s="77">
        <f t="shared" si="1"/>
        <v>-0.19815419810127466</v>
      </c>
      <c r="G18" s="65"/>
    </row>
    <row r="19" spans="1:7" ht="33" customHeight="1" x14ac:dyDescent="0.2">
      <c r="A19" s="74">
        <v>7</v>
      </c>
      <c r="B19" s="82" t="s">
        <v>79</v>
      </c>
      <c r="C19" s="76">
        <v>1268414</v>
      </c>
      <c r="D19" s="76">
        <v>1454412</v>
      </c>
      <c r="E19" s="76">
        <f t="shared" si="0"/>
        <v>185998</v>
      </c>
      <c r="F19" s="77">
        <f t="shared" si="1"/>
        <v>0.14663824271885992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555785494</v>
      </c>
      <c r="D20" s="79">
        <f>SUM(D17:D19)</f>
        <v>517981715</v>
      </c>
      <c r="E20" s="79">
        <f t="shared" si="0"/>
        <v>-37803779</v>
      </c>
      <c r="F20" s="80">
        <f t="shared" si="1"/>
        <v>-6.801865001536006E-2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204461653</v>
      </c>
      <c r="D23" s="76">
        <v>222977804</v>
      </c>
      <c r="E23" s="76">
        <f t="shared" ref="E23:E32" si="2">D23-C23</f>
        <v>18516151</v>
      </c>
      <c r="F23" s="77">
        <f t="shared" ref="F23:F32" si="3">IF(C23=0,0,E23/C23)</f>
        <v>9.0560507206698559E-2</v>
      </c>
    </row>
    <row r="24" spans="1:7" ht="23.1" customHeight="1" x14ac:dyDescent="0.2">
      <c r="A24" s="74">
        <v>2</v>
      </c>
      <c r="B24" s="75" t="s">
        <v>83</v>
      </c>
      <c r="C24" s="76">
        <v>54093664</v>
      </c>
      <c r="D24" s="76">
        <v>64861552</v>
      </c>
      <c r="E24" s="76">
        <f t="shared" si="2"/>
        <v>10767888</v>
      </c>
      <c r="F24" s="77">
        <f t="shared" si="3"/>
        <v>0.19906005997301274</v>
      </c>
    </row>
    <row r="25" spans="1:7" ht="23.1" customHeight="1" x14ac:dyDescent="0.2">
      <c r="A25" s="74">
        <v>3</v>
      </c>
      <c r="B25" s="75" t="s">
        <v>84</v>
      </c>
      <c r="C25" s="76">
        <v>13400084</v>
      </c>
      <c r="D25" s="76">
        <v>13223685</v>
      </c>
      <c r="E25" s="76">
        <f t="shared" si="2"/>
        <v>-176399</v>
      </c>
      <c r="F25" s="77">
        <f t="shared" si="3"/>
        <v>-1.3164021956877285E-2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60573089</v>
      </c>
      <c r="D26" s="76">
        <v>59159599</v>
      </c>
      <c r="E26" s="76">
        <f t="shared" si="2"/>
        <v>-1413490</v>
      </c>
      <c r="F26" s="77">
        <f t="shared" si="3"/>
        <v>-2.3335280127450658E-2</v>
      </c>
    </row>
    <row r="27" spans="1:7" ht="23.1" customHeight="1" x14ac:dyDescent="0.2">
      <c r="A27" s="74">
        <v>5</v>
      </c>
      <c r="B27" s="75" t="s">
        <v>86</v>
      </c>
      <c r="C27" s="76">
        <v>27388196</v>
      </c>
      <c r="D27" s="76">
        <v>26019535</v>
      </c>
      <c r="E27" s="76">
        <f t="shared" si="2"/>
        <v>-1368661</v>
      </c>
      <c r="F27" s="77">
        <f t="shared" si="3"/>
        <v>-4.9972659754589165E-2</v>
      </c>
    </row>
    <row r="28" spans="1:7" ht="23.1" customHeight="1" x14ac:dyDescent="0.2">
      <c r="A28" s="74">
        <v>6</v>
      </c>
      <c r="B28" s="75" t="s">
        <v>87</v>
      </c>
      <c r="C28" s="76">
        <v>52587000</v>
      </c>
      <c r="D28" s="76">
        <v>0</v>
      </c>
      <c r="E28" s="76">
        <f t="shared" si="2"/>
        <v>-52587000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5821646</v>
      </c>
      <c r="D29" s="76">
        <v>6446266</v>
      </c>
      <c r="E29" s="76">
        <f t="shared" si="2"/>
        <v>624620</v>
      </c>
      <c r="F29" s="77">
        <f t="shared" si="3"/>
        <v>0.10729267976788695</v>
      </c>
    </row>
    <row r="30" spans="1:7" ht="23.1" customHeight="1" x14ac:dyDescent="0.2">
      <c r="A30" s="74">
        <v>8</v>
      </c>
      <c r="B30" s="75" t="s">
        <v>89</v>
      </c>
      <c r="C30" s="76">
        <v>3153947</v>
      </c>
      <c r="D30" s="76">
        <v>4210826</v>
      </c>
      <c r="E30" s="76">
        <f t="shared" si="2"/>
        <v>1056879</v>
      </c>
      <c r="F30" s="77">
        <f t="shared" si="3"/>
        <v>0.33509726067051854</v>
      </c>
    </row>
    <row r="31" spans="1:7" ht="23.1" customHeight="1" x14ac:dyDescent="0.2">
      <c r="A31" s="74">
        <v>9</v>
      </c>
      <c r="B31" s="75" t="s">
        <v>90</v>
      </c>
      <c r="C31" s="76">
        <v>107428515</v>
      </c>
      <c r="D31" s="76">
        <v>116352633</v>
      </c>
      <c r="E31" s="76">
        <f t="shared" si="2"/>
        <v>8924118</v>
      </c>
      <c r="F31" s="77">
        <f t="shared" si="3"/>
        <v>8.3070290974421451E-2</v>
      </c>
    </row>
    <row r="32" spans="1:7" ht="23.1" customHeight="1" x14ac:dyDescent="0.25">
      <c r="A32" s="71"/>
      <c r="B32" s="78" t="s">
        <v>91</v>
      </c>
      <c r="C32" s="79">
        <f>SUM(C23:C31)</f>
        <v>528907794</v>
      </c>
      <c r="D32" s="79">
        <f>SUM(D23:D31)</f>
        <v>513251900</v>
      </c>
      <c r="E32" s="79">
        <f t="shared" si="2"/>
        <v>-15655894</v>
      </c>
      <c r="F32" s="80">
        <f t="shared" si="3"/>
        <v>-2.9600422186253507E-2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26877700</v>
      </c>
      <c r="D34" s="79">
        <f>+D20-D32</f>
        <v>4729815</v>
      </c>
      <c r="E34" s="79">
        <f>D34-C34</f>
        <v>-22147885</v>
      </c>
      <c r="F34" s="80">
        <f>IF(C34=0,0,E34/C34)</f>
        <v>-0.82402456311365924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6037464</v>
      </c>
      <c r="D37" s="76">
        <v>6737969</v>
      </c>
      <c r="E37" s="76">
        <f>D37-C37</f>
        <v>700505</v>
      </c>
      <c r="F37" s="77">
        <f>IF(C37=0,0,E37/C37)</f>
        <v>0.11602636471207116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-8358569</v>
      </c>
      <c r="D39" s="76">
        <v>977891</v>
      </c>
      <c r="E39" s="76">
        <f>D39-C39</f>
        <v>9336460</v>
      </c>
      <c r="F39" s="77">
        <f>IF(C39=0,0,E39/C39)</f>
        <v>-1.1169926335476803</v>
      </c>
    </row>
    <row r="40" spans="1:6" ht="23.1" customHeight="1" x14ac:dyDescent="0.25">
      <c r="A40" s="83"/>
      <c r="B40" s="78" t="s">
        <v>97</v>
      </c>
      <c r="C40" s="79">
        <f>SUM(C37:C39)</f>
        <v>-2321105</v>
      </c>
      <c r="D40" s="79">
        <f>SUM(D37:D39)</f>
        <v>7715860</v>
      </c>
      <c r="E40" s="79">
        <f>D40-C40</f>
        <v>10036965</v>
      </c>
      <c r="F40" s="80">
        <f>IF(C40=0,0,E40/C40)</f>
        <v>-4.3242184218292579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24556595</v>
      </c>
      <c r="D42" s="79">
        <f>D34+D40</f>
        <v>12445675</v>
      </c>
      <c r="E42" s="79">
        <f>D42-C42</f>
        <v>-12110920</v>
      </c>
      <c r="F42" s="80">
        <f>IF(C42=0,0,E42/C42)</f>
        <v>-0.49318401024246233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155513</v>
      </c>
      <c r="D45" s="76">
        <v>34911</v>
      </c>
      <c r="E45" s="76">
        <f>D45-C45</f>
        <v>-120602</v>
      </c>
      <c r="F45" s="77">
        <f>IF(C45=0,0,E45/C45)</f>
        <v>-0.77551072900657825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155513</v>
      </c>
      <c r="D47" s="79">
        <f>SUM(D45:D46)</f>
        <v>34911</v>
      </c>
      <c r="E47" s="79">
        <f>D47-C47</f>
        <v>-120602</v>
      </c>
      <c r="F47" s="80">
        <f>IF(C47=0,0,E47/C47)</f>
        <v>-0.77551072900657825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24712108</v>
      </c>
      <c r="D49" s="79">
        <f>D42+D47</f>
        <v>12480586</v>
      </c>
      <c r="E49" s="79">
        <f>D49-C49</f>
        <v>-12231522</v>
      </c>
      <c r="F49" s="80">
        <f>IF(C49=0,0,E49/C49)</f>
        <v>-0.4949606889060213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2014-10-07T13:54:13Z</cp:lastPrinted>
  <dcterms:created xsi:type="dcterms:W3CDTF">2014-10-06T19:09:05Z</dcterms:created>
  <dcterms:modified xsi:type="dcterms:W3CDTF">2014-10-09T19:04:55Z</dcterms:modified>
</cp:coreProperties>
</file>