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 activeTab="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69" i="14"/>
  <c r="D203" i="14"/>
  <c r="D198" i="14"/>
  <c r="D290" i="14" s="1"/>
  <c r="D191" i="14"/>
  <c r="D264" i="14" s="1"/>
  <c r="D189" i="14"/>
  <c r="D278" i="14" s="1"/>
  <c r="D188" i="14"/>
  <c r="D206" i="14" s="1"/>
  <c r="D180" i="14"/>
  <c r="D179" i="14"/>
  <c r="D171" i="14"/>
  <c r="D172" i="14" s="1"/>
  <c r="D173" i="14" s="1"/>
  <c r="D170" i="14"/>
  <c r="D165" i="14"/>
  <c r="D164" i="14"/>
  <c r="D159" i="14"/>
  <c r="D158" i="14"/>
  <c r="D155" i="14"/>
  <c r="D145" i="14"/>
  <c r="D144" i="14"/>
  <c r="D146" i="14" s="1"/>
  <c r="D136" i="14"/>
  <c r="D137" i="14" s="1"/>
  <c r="D135" i="14"/>
  <c r="D130" i="14"/>
  <c r="D129" i="14"/>
  <c r="D123" i="14"/>
  <c r="D192" i="14"/>
  <c r="D120" i="14"/>
  <c r="D110" i="14"/>
  <c r="D109" i="14"/>
  <c r="D111" i="14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 s="1"/>
  <c r="C86" i="19"/>
  <c r="C88" i="19"/>
  <c r="E83" i="19"/>
  <c r="D83" i="19"/>
  <c r="C83" i="19"/>
  <c r="E76" i="19"/>
  <c r="E102" i="19" s="1"/>
  <c r="D76" i="19"/>
  <c r="D102" i="19"/>
  <c r="C76" i="19"/>
  <c r="E75" i="19"/>
  <c r="E77" i="19" s="1"/>
  <c r="E109" i="19" s="1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2" i="19" s="1"/>
  <c r="D21" i="18"/>
  <c r="C21" i="18"/>
  <c r="E21" i="18" s="1"/>
  <c r="F21" i="18" s="1"/>
  <c r="D19" i="18"/>
  <c r="E19" i="18"/>
  <c r="F19" i="18" s="1"/>
  <c r="C19" i="18"/>
  <c r="E17" i="18"/>
  <c r="F17" i="18" s="1"/>
  <c r="E15" i="18"/>
  <c r="F15" i="18" s="1"/>
  <c r="D45" i="17"/>
  <c r="E45" i="17" s="1"/>
  <c r="F45" i="17" s="1"/>
  <c r="C45" i="17"/>
  <c r="D44" i="17"/>
  <c r="C44" i="17"/>
  <c r="E44" i="17" s="1"/>
  <c r="F44" i="17" s="1"/>
  <c r="D43" i="17"/>
  <c r="D46" i="17"/>
  <c r="C43" i="17"/>
  <c r="D36" i="17"/>
  <c r="D40" i="17" s="1"/>
  <c r="D41" i="17" s="1"/>
  <c r="C36" i="17"/>
  <c r="E35" i="17"/>
  <c r="F35" i="17" s="1"/>
  <c r="E34" i="17"/>
  <c r="F34" i="17" s="1"/>
  <c r="E33" i="17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C39" i="17"/>
  <c r="E24" i="17"/>
  <c r="F24" i="17" s="1"/>
  <c r="E23" i="17"/>
  <c r="F23" i="17"/>
  <c r="E22" i="17"/>
  <c r="D19" i="17"/>
  <c r="D20" i="17" s="1"/>
  <c r="E20" i="17" s="1"/>
  <c r="F20" i="17" s="1"/>
  <c r="C19" i="17"/>
  <c r="E18" i="17"/>
  <c r="F18" i="17" s="1"/>
  <c r="D16" i="17"/>
  <c r="E16" i="17" s="1"/>
  <c r="C16" i="17"/>
  <c r="F16" i="17" s="1"/>
  <c r="F15" i="17"/>
  <c r="E15" i="17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 s="1"/>
  <c r="D292" i="15"/>
  <c r="E292" i="15"/>
  <c r="C292" i="15"/>
  <c r="D291" i="15"/>
  <c r="C291" i="15"/>
  <c r="E291" i="15"/>
  <c r="D290" i="15"/>
  <c r="E290" i="15"/>
  <c r="C290" i="15"/>
  <c r="D288" i="15"/>
  <c r="C288" i="15"/>
  <c r="D287" i="15"/>
  <c r="C287" i="15"/>
  <c r="D282" i="15"/>
  <c r="C282" i="15"/>
  <c r="D281" i="15"/>
  <c r="C281" i="15"/>
  <c r="D280" i="15"/>
  <c r="C280" i="15"/>
  <c r="D279" i="15"/>
  <c r="E279" i="15" s="1"/>
  <c r="C279" i="15"/>
  <c r="D278" i="15"/>
  <c r="C278" i="15"/>
  <c r="D277" i="15"/>
  <c r="C277" i="15"/>
  <c r="D276" i="15"/>
  <c r="C276" i="15"/>
  <c r="E270" i="15"/>
  <c r="D265" i="15"/>
  <c r="E265" i="15" s="1"/>
  <c r="C265" i="15"/>
  <c r="C302" i="15" s="1"/>
  <c r="C303" i="15" s="1"/>
  <c r="C306" i="15" s="1"/>
  <c r="C310" i="15" s="1"/>
  <c r="D262" i="15"/>
  <c r="E262" i="15" s="1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 s="1"/>
  <c r="D227" i="15"/>
  <c r="E227" i="15" s="1"/>
  <c r="C227" i="15"/>
  <c r="D221" i="15"/>
  <c r="D245" i="15" s="1"/>
  <c r="C221" i="15"/>
  <c r="C245" i="15" s="1"/>
  <c r="D220" i="15"/>
  <c r="C220" i="15"/>
  <c r="C244" i="15" s="1"/>
  <c r="D219" i="15"/>
  <c r="D243" i="15" s="1"/>
  <c r="C219" i="15"/>
  <c r="D218" i="15"/>
  <c r="D242" i="15"/>
  <c r="C218" i="15"/>
  <c r="C242" i="15"/>
  <c r="D216" i="15"/>
  <c r="C216" i="15"/>
  <c r="E216" i="15" s="1"/>
  <c r="D215" i="15"/>
  <c r="C215" i="15"/>
  <c r="E209" i="15"/>
  <c r="E208" i="15"/>
  <c r="E207" i="15"/>
  <c r="E206" i="15"/>
  <c r="D205" i="15"/>
  <c r="C205" i="15"/>
  <c r="C210" i="15" s="1"/>
  <c r="C229" i="15"/>
  <c r="E204" i="15"/>
  <c r="E203" i="15"/>
  <c r="E197" i="15"/>
  <c r="E196" i="15"/>
  <c r="D195" i="15"/>
  <c r="D260" i="15" s="1"/>
  <c r="C195" i="15"/>
  <c r="E195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E179" i="15"/>
  <c r="D178" i="15"/>
  <c r="C178" i="15"/>
  <c r="E178" i="15" s="1"/>
  <c r="D177" i="15"/>
  <c r="C177" i="15"/>
  <c r="E177" i="15"/>
  <c r="D176" i="15"/>
  <c r="C176" i="15"/>
  <c r="E176" i="15" s="1"/>
  <c r="D174" i="15"/>
  <c r="E174" i="15"/>
  <c r="C174" i="15"/>
  <c r="D173" i="15"/>
  <c r="C173" i="15"/>
  <c r="E173" i="15"/>
  <c r="D167" i="15"/>
  <c r="C167" i="15"/>
  <c r="E167" i="15" s="1"/>
  <c r="D166" i="15"/>
  <c r="C166" i="15"/>
  <c r="E166" i="15"/>
  <c r="D165" i="15"/>
  <c r="C165" i="15"/>
  <c r="E165" i="15" s="1"/>
  <c r="D164" i="15"/>
  <c r="C164" i="15"/>
  <c r="E164" i="15"/>
  <c r="D162" i="15"/>
  <c r="C162" i="15"/>
  <c r="E162" i="15" s="1"/>
  <c r="D161" i="15"/>
  <c r="C161" i="15"/>
  <c r="E155" i="15"/>
  <c r="E154" i="15"/>
  <c r="E153" i="15"/>
  <c r="E152" i="15"/>
  <c r="D151" i="15"/>
  <c r="D156" i="15" s="1"/>
  <c r="C151" i="15"/>
  <c r="E151" i="15" s="1"/>
  <c r="E150" i="15"/>
  <c r="E149" i="15"/>
  <c r="E143" i="15"/>
  <c r="E142" i="15"/>
  <c r="E141" i="15"/>
  <c r="E140" i="15"/>
  <c r="D139" i="15"/>
  <c r="D163" i="15"/>
  <c r="C139" i="15"/>
  <c r="C144" i="15" s="1"/>
  <c r="C180" i="15" s="1"/>
  <c r="E138" i="15"/>
  <c r="E137" i="15"/>
  <c r="D75" i="15"/>
  <c r="C75" i="15"/>
  <c r="E75" i="15" s="1"/>
  <c r="D74" i="15"/>
  <c r="E74" i="15"/>
  <c r="C74" i="15"/>
  <c r="D73" i="15"/>
  <c r="C73" i="15"/>
  <c r="E73" i="15"/>
  <c r="D72" i="15"/>
  <c r="E72" i="15"/>
  <c r="C72" i="15"/>
  <c r="D70" i="15"/>
  <c r="C70" i="15"/>
  <c r="D69" i="15"/>
  <c r="C69" i="15"/>
  <c r="E69" i="15"/>
  <c r="E64" i="15"/>
  <c r="E63" i="15"/>
  <c r="E62" i="15"/>
  <c r="E61" i="15"/>
  <c r="D60" i="15"/>
  <c r="C60" i="15"/>
  <c r="E59" i="15"/>
  <c r="E58" i="15"/>
  <c r="D54" i="15"/>
  <c r="C54" i="15"/>
  <c r="C234" i="15" s="1"/>
  <c r="E53" i="15"/>
  <c r="E52" i="15"/>
  <c r="E51" i="15"/>
  <c r="E50" i="15"/>
  <c r="E49" i="15"/>
  <c r="E48" i="15"/>
  <c r="E47" i="15"/>
  <c r="D42" i="15"/>
  <c r="E42" i="15" s="1"/>
  <c r="C42" i="15"/>
  <c r="D41" i="15"/>
  <c r="E41" i="15" s="1"/>
  <c r="C41" i="15"/>
  <c r="D40" i="15"/>
  <c r="E40" i="15" s="1"/>
  <c r="C40" i="15"/>
  <c r="D39" i="15"/>
  <c r="E39" i="15" s="1"/>
  <c r="C39" i="15"/>
  <c r="D38" i="15"/>
  <c r="E38" i="15" s="1"/>
  <c r="C38" i="15"/>
  <c r="D37" i="15"/>
  <c r="C37" i="15"/>
  <c r="D36" i="15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08" i="14"/>
  <c r="F308" i="14" s="1"/>
  <c r="E307" i="14"/>
  <c r="C307" i="14"/>
  <c r="C299" i="14"/>
  <c r="E299" i="14" s="1"/>
  <c r="C298" i="14"/>
  <c r="E298" i="14"/>
  <c r="F298" i="14" s="1"/>
  <c r="C297" i="14"/>
  <c r="E297" i="14" s="1"/>
  <c r="C296" i="14"/>
  <c r="E296" i="14" s="1"/>
  <c r="F296" i="14" s="1"/>
  <c r="C295" i="14"/>
  <c r="E295" i="14" s="1"/>
  <c r="F295" i="14" s="1"/>
  <c r="C294" i="14"/>
  <c r="E294" i="14" s="1"/>
  <c r="F294" i="14" s="1"/>
  <c r="C250" i="14"/>
  <c r="E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7" i="14"/>
  <c r="E234" i="14"/>
  <c r="F234" i="14"/>
  <c r="E233" i="14"/>
  <c r="F233" i="14"/>
  <c r="C230" i="14"/>
  <c r="E230" i="14" s="1"/>
  <c r="C229" i="14"/>
  <c r="E229" i="14" s="1"/>
  <c r="E228" i="14"/>
  <c r="F228" i="14" s="1"/>
  <c r="C226" i="14"/>
  <c r="E225" i="14"/>
  <c r="F225" i="14"/>
  <c r="E224" i="14"/>
  <c r="F224" i="14"/>
  <c r="C223" i="14"/>
  <c r="E223" i="14" s="1"/>
  <c r="F223" i="14" s="1"/>
  <c r="F222" i="14"/>
  <c r="E222" i="14"/>
  <c r="F221" i="14"/>
  <c r="E221" i="14"/>
  <c r="C204" i="14"/>
  <c r="C203" i="14"/>
  <c r="E203" i="14" s="1"/>
  <c r="C198" i="14"/>
  <c r="C191" i="14"/>
  <c r="C264" i="14" s="1"/>
  <c r="C189" i="14"/>
  <c r="C278" i="14" s="1"/>
  <c r="C188" i="14"/>
  <c r="C206" i="14" s="1"/>
  <c r="C180" i="14"/>
  <c r="E180" i="14" s="1"/>
  <c r="F180" i="14" s="1"/>
  <c r="C179" i="14"/>
  <c r="E179" i="14" s="1"/>
  <c r="F179" i="14" s="1"/>
  <c r="C171" i="14"/>
  <c r="E171" i="14" s="1"/>
  <c r="C170" i="14"/>
  <c r="E170" i="14" s="1"/>
  <c r="F170" i="14" s="1"/>
  <c r="E169" i="14"/>
  <c r="F169" i="14" s="1"/>
  <c r="E168" i="14"/>
  <c r="F168" i="14" s="1"/>
  <c r="C165" i="14"/>
  <c r="E165" i="14" s="1"/>
  <c r="F165" i="14" s="1"/>
  <c r="C164" i="14"/>
  <c r="E164" i="14" s="1"/>
  <c r="F164" i="14" s="1"/>
  <c r="E163" i="14"/>
  <c r="F163" i="14" s="1"/>
  <c r="C158" i="14"/>
  <c r="C159" i="14" s="1"/>
  <c r="E159" i="14" s="1"/>
  <c r="F159" i="14" s="1"/>
  <c r="E157" i="14"/>
  <c r="F157" i="14" s="1"/>
  <c r="E156" i="14"/>
  <c r="F156" i="14" s="1"/>
  <c r="C155" i="14"/>
  <c r="E155" i="14" s="1"/>
  <c r="E154" i="14"/>
  <c r="F154" i="14"/>
  <c r="E153" i="14"/>
  <c r="F153" i="14"/>
  <c r="C145" i="14"/>
  <c r="E145" i="14"/>
  <c r="C144" i="14"/>
  <c r="E144" i="14"/>
  <c r="C136" i="14"/>
  <c r="C135" i="14"/>
  <c r="E135" i="14" s="1"/>
  <c r="F135" i="14" s="1"/>
  <c r="E134" i="14"/>
  <c r="F134" i="14" s="1"/>
  <c r="E133" i="14"/>
  <c r="F133" i="14" s="1"/>
  <c r="C130" i="14"/>
  <c r="E130" i="14" s="1"/>
  <c r="C129" i="14"/>
  <c r="E129" i="14" s="1"/>
  <c r="E128" i="14"/>
  <c r="F128" i="14" s="1"/>
  <c r="C123" i="14"/>
  <c r="C124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F110" i="14" s="1"/>
  <c r="C109" i="14"/>
  <c r="C101" i="14"/>
  <c r="E101" i="14" s="1"/>
  <c r="C100" i="14"/>
  <c r="E100" i="14" s="1"/>
  <c r="E99" i="14"/>
  <c r="F99" i="14" s="1"/>
  <c r="E98" i="14"/>
  <c r="F98" i="14" s="1"/>
  <c r="C95" i="14"/>
  <c r="E95" i="14" s="1"/>
  <c r="F95" i="14" s="1"/>
  <c r="E94" i="14"/>
  <c r="C94" i="14"/>
  <c r="F94" i="14"/>
  <c r="E93" i="14"/>
  <c r="F93" i="14"/>
  <c r="C88" i="14"/>
  <c r="C89" i="14"/>
  <c r="E87" i="14"/>
  <c r="F87" i="14"/>
  <c r="E86" i="14"/>
  <c r="F86" i="14"/>
  <c r="C85" i="14"/>
  <c r="E85" i="14" s="1"/>
  <c r="E84" i="14"/>
  <c r="F84" i="14" s="1"/>
  <c r="E83" i="14"/>
  <c r="F83" i="14" s="1"/>
  <c r="C76" i="14"/>
  <c r="E74" i="14"/>
  <c r="F74" i="14" s="1"/>
  <c r="E73" i="14"/>
  <c r="F73" i="14" s="1"/>
  <c r="C67" i="14"/>
  <c r="E67" i="14" s="1"/>
  <c r="C66" i="14"/>
  <c r="C68" i="14" s="1"/>
  <c r="E59" i="14"/>
  <c r="C59" i="14"/>
  <c r="C60" i="14" s="1"/>
  <c r="F59" i="14"/>
  <c r="C58" i="14"/>
  <c r="E58" i="14"/>
  <c r="E57" i="14"/>
  <c r="F57" i="14"/>
  <c r="E56" i="14"/>
  <c r="F56" i="14"/>
  <c r="C53" i="14"/>
  <c r="E53" i="14" s="1"/>
  <c r="F53" i="14" s="1"/>
  <c r="C52" i="14"/>
  <c r="E51" i="14"/>
  <c r="F51" i="14"/>
  <c r="C47" i="14"/>
  <c r="E47" i="14"/>
  <c r="E46" i="14"/>
  <c r="F46" i="14"/>
  <c r="E45" i="14"/>
  <c r="F45" i="14"/>
  <c r="C44" i="14"/>
  <c r="E44" i="14" s="1"/>
  <c r="F44" i="14" s="1"/>
  <c r="E43" i="14"/>
  <c r="F43" i="14" s="1"/>
  <c r="E42" i="14"/>
  <c r="F42" i="14" s="1"/>
  <c r="C36" i="14"/>
  <c r="E36" i="14" s="1"/>
  <c r="F36" i="14" s="1"/>
  <c r="C35" i="14"/>
  <c r="E35" i="14"/>
  <c r="C30" i="14"/>
  <c r="C31" i="14" s="1"/>
  <c r="C29" i="14"/>
  <c r="E29" i="14" s="1"/>
  <c r="E28" i="14"/>
  <c r="F28" i="14" s="1"/>
  <c r="E27" i="14"/>
  <c r="F27" i="14" s="1"/>
  <c r="C24" i="14"/>
  <c r="E24" i="14" s="1"/>
  <c r="F24" i="14" s="1"/>
  <c r="C23" i="14"/>
  <c r="E22" i="14"/>
  <c r="F22" i="14" s="1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3" i="13"/>
  <c r="C23" i="13"/>
  <c r="E23" i="13" s="1"/>
  <c r="E22" i="13"/>
  <c r="F22" i="13" s="1"/>
  <c r="D19" i="13"/>
  <c r="C19" i="13"/>
  <c r="E19" i="13" s="1"/>
  <c r="E18" i="13"/>
  <c r="F18" i="13" s="1"/>
  <c r="E17" i="13"/>
  <c r="F17" i="13" s="1"/>
  <c r="D14" i="13"/>
  <c r="C14" i="13"/>
  <c r="E14" i="13" s="1"/>
  <c r="E13" i="13"/>
  <c r="F13" i="13" s="1"/>
  <c r="E12" i="13"/>
  <c r="F12" i="13" s="1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2" i="12" s="1"/>
  <c r="E91" i="12"/>
  <c r="F91" i="12" s="1"/>
  <c r="F90" i="12"/>
  <c r="E90" i="12"/>
  <c r="F89" i="12"/>
  <c r="E89" i="12"/>
  <c r="E88" i="12"/>
  <c r="F88" i="12" s="1"/>
  <c r="E87" i="12"/>
  <c r="F87" i="12" s="1"/>
  <c r="D84" i="12"/>
  <c r="C84" i="12"/>
  <c r="E84" i="12" s="1"/>
  <c r="E83" i="12"/>
  <c r="F83" i="12" s="1"/>
  <c r="F82" i="12"/>
  <c r="E82" i="12"/>
  <c r="F81" i="12"/>
  <c r="E81" i="12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C65" i="12"/>
  <c r="E65" i="12" s="1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C55" i="12"/>
  <c r="E54" i="12"/>
  <c r="F54" i="12" s="1"/>
  <c r="E53" i="12"/>
  <c r="F53" i="12" s="1"/>
  <c r="D50" i="12"/>
  <c r="C50" i="12"/>
  <c r="E50" i="12" s="1"/>
  <c r="E49" i="12"/>
  <c r="F49" i="12" s="1"/>
  <c r="E48" i="12"/>
  <c r="F48" i="12" s="1"/>
  <c r="D45" i="12"/>
  <c r="E45" i="12" s="1"/>
  <c r="C45" i="12"/>
  <c r="F45" i="12" s="1"/>
  <c r="F44" i="12"/>
  <c r="E44" i="12"/>
  <c r="F43" i="12"/>
  <c r="E43" i="12"/>
  <c r="D37" i="12"/>
  <c r="C37" i="12"/>
  <c r="E37" i="12" s="1"/>
  <c r="F36" i="12"/>
  <c r="E36" i="12"/>
  <c r="F35" i="12"/>
  <c r="E35" i="12"/>
  <c r="E34" i="12"/>
  <c r="F34" i="12" s="1"/>
  <c r="F33" i="12"/>
  <c r="E33" i="12"/>
  <c r="D30" i="12"/>
  <c r="E30" i="12" s="1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E23" i="12" s="1"/>
  <c r="F22" i="12"/>
  <c r="E22" i="12"/>
  <c r="F21" i="12"/>
  <c r="E21" i="12"/>
  <c r="E20" i="12"/>
  <c r="F20" i="12" s="1"/>
  <c r="E19" i="12"/>
  <c r="F19" i="12" s="1"/>
  <c r="D16" i="12"/>
  <c r="C16" i="12"/>
  <c r="E16" i="12" s="1"/>
  <c r="F15" i="12"/>
  <c r="E15" i="12"/>
  <c r="F14" i="12"/>
  <c r="E14" i="12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3" i="11" s="1"/>
  <c r="E17" i="11"/>
  <c r="E31" i="11" s="1"/>
  <c r="D17" i="11"/>
  <c r="D33" i="11"/>
  <c r="D36" i="11" s="1"/>
  <c r="D38" i="11" s="1"/>
  <c r="C17" i="11"/>
  <c r="C31" i="11" s="1"/>
  <c r="C33" i="1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C66" i="10"/>
  <c r="C65" i="10" s="1"/>
  <c r="D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 s="1"/>
  <c r="C54" i="10"/>
  <c r="C50" i="10"/>
  <c r="E46" i="10"/>
  <c r="E48" i="10" s="1"/>
  <c r="D46" i="10"/>
  <c r="D48" i="10" s="1"/>
  <c r="D42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E24" i="10" s="1"/>
  <c r="D13" i="10"/>
  <c r="D25" i="10" s="1"/>
  <c r="D27" i="10" s="1"/>
  <c r="C13" i="10"/>
  <c r="C25" i="10" s="1"/>
  <c r="C27" i="10" s="1"/>
  <c r="D46" i="9"/>
  <c r="C46" i="9"/>
  <c r="F45" i="9"/>
  <c r="E45" i="9"/>
  <c r="F44" i="9"/>
  <c r="E44" i="9"/>
  <c r="D39" i="9"/>
  <c r="E39" i="9" s="1"/>
  <c r="F39" i="9" s="1"/>
  <c r="C39" i="9"/>
  <c r="F38" i="9"/>
  <c r="E38" i="9"/>
  <c r="F37" i="9"/>
  <c r="E37" i="9"/>
  <c r="F36" i="9"/>
  <c r="E36" i="9"/>
  <c r="D31" i="9"/>
  <c r="E31" i="9" s="1"/>
  <c r="F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 s="1"/>
  <c r="F16" i="9" s="1"/>
  <c r="C16" i="9"/>
  <c r="C19" i="9"/>
  <c r="E15" i="9"/>
  <c r="F15" i="9" s="1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C61" i="8"/>
  <c r="F60" i="8"/>
  <c r="E60" i="8"/>
  <c r="F59" i="8"/>
  <c r="E59" i="8"/>
  <c r="D56" i="8"/>
  <c r="E56" i="8" s="1"/>
  <c r="F56" i="8" s="1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F40" i="8"/>
  <c r="E40" i="8"/>
  <c r="D38" i="8"/>
  <c r="E38" i="8" s="1"/>
  <c r="F38" i="8" s="1"/>
  <c r="C38" i="8"/>
  <c r="C41" i="8" s="1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E28" i="8"/>
  <c r="F28" i="8" s="1"/>
  <c r="F27" i="8"/>
  <c r="E27" i="8"/>
  <c r="F26" i="8"/>
  <c r="E26" i="8"/>
  <c r="E25" i="8"/>
  <c r="F25" i="8" s="1"/>
  <c r="D22" i="8"/>
  <c r="C22" i="8"/>
  <c r="E21" i="8"/>
  <c r="F21" i="8" s="1"/>
  <c r="E20" i="8"/>
  <c r="F20" i="8" s="1"/>
  <c r="E19" i="8"/>
  <c r="F19" i="8" s="1"/>
  <c r="E18" i="8"/>
  <c r="F18" i="8" s="1"/>
  <c r="F17" i="8"/>
  <c r="E17" i="8"/>
  <c r="E16" i="8"/>
  <c r="F16" i="8" s="1"/>
  <c r="E15" i="8"/>
  <c r="F15" i="8" s="1"/>
  <c r="E14" i="8"/>
  <c r="F14" i="8" s="1"/>
  <c r="E13" i="8"/>
  <c r="F13" i="8" s="1"/>
  <c r="D120" i="7"/>
  <c r="C120" i="7"/>
  <c r="D119" i="7"/>
  <c r="E119" i="7" s="1"/>
  <c r="C119" i="7"/>
  <c r="D118" i="7"/>
  <c r="C118" i="7"/>
  <c r="D117" i="7"/>
  <c r="C117" i="7"/>
  <c r="E117" i="7" s="1"/>
  <c r="D116" i="7"/>
  <c r="C116" i="7"/>
  <c r="D115" i="7"/>
  <c r="E115" i="7" s="1"/>
  <c r="C115" i="7"/>
  <c r="D114" i="7"/>
  <c r="C114" i="7"/>
  <c r="D113" i="7"/>
  <c r="C113" i="7"/>
  <c r="E113" i="7" s="1"/>
  <c r="D112" i="7"/>
  <c r="E112" i="7" s="1"/>
  <c r="F112" i="7" s="1"/>
  <c r="C112" i="7"/>
  <c r="C121" i="7" s="1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E96" i="7" s="1"/>
  <c r="D95" i="7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E84" i="7" s="1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2" i="7"/>
  <c r="F52" i="7" s="1"/>
  <c r="F51" i="7"/>
  <c r="E51" i="7"/>
  <c r="F50" i="7"/>
  <c r="E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E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E24" i="7" s="1"/>
  <c r="D23" i="7"/>
  <c r="C23" i="7"/>
  <c r="F22" i="7"/>
  <c r="E22" i="7"/>
  <c r="F21" i="7"/>
  <c r="E21" i="7"/>
  <c r="E20" i="7"/>
  <c r="F20" i="7" s="1"/>
  <c r="F19" i="7"/>
  <c r="E19" i="7"/>
  <c r="F18" i="7"/>
  <c r="E18" i="7"/>
  <c r="E17" i="7"/>
  <c r="F17" i="7" s="1"/>
  <c r="E16" i="7"/>
  <c r="F16" i="7" s="1"/>
  <c r="F15" i="7"/>
  <c r="E15" i="7"/>
  <c r="F14" i="7"/>
  <c r="E14" i="7"/>
  <c r="D206" i="6"/>
  <c r="E206" i="6" s="1"/>
  <c r="F206" i="6" s="1"/>
  <c r="C206" i="6"/>
  <c r="D205" i="6"/>
  <c r="E205" i="6" s="1"/>
  <c r="F205" i="6" s="1"/>
  <c r="C205" i="6"/>
  <c r="D204" i="6"/>
  <c r="C204" i="6"/>
  <c r="D203" i="6"/>
  <c r="C203" i="6"/>
  <c r="E203" i="6" s="1"/>
  <c r="F203" i="6" s="1"/>
  <c r="D202" i="6"/>
  <c r="E202" i="6" s="1"/>
  <c r="F202" i="6" s="1"/>
  <c r="C202" i="6"/>
  <c r="D201" i="6"/>
  <c r="E201" i="6" s="1"/>
  <c r="F201" i="6" s="1"/>
  <c r="C201" i="6"/>
  <c r="D200" i="6"/>
  <c r="C200" i="6"/>
  <c r="D199" i="6"/>
  <c r="D208" i="6" s="1"/>
  <c r="C199" i="6"/>
  <c r="E199" i="6" s="1"/>
  <c r="F199" i="6" s="1"/>
  <c r="D198" i="6"/>
  <c r="C198" i="6"/>
  <c r="D193" i="6"/>
  <c r="E193" i="6" s="1"/>
  <c r="F193" i="6" s="1"/>
  <c r="C193" i="6"/>
  <c r="D192" i="6"/>
  <c r="C192" i="6"/>
  <c r="E191" i="6"/>
  <c r="F191" i="6" s="1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F141" i="6" s="1"/>
  <c r="C141" i="6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E128" i="6"/>
  <c r="F128" i="6" s="1"/>
  <c r="C128" i="6"/>
  <c r="D127" i="6"/>
  <c r="E127" i="6" s="1"/>
  <c r="F127" i="6" s="1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 s="1"/>
  <c r="F115" i="6" s="1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E102" i="6"/>
  <c r="F102" i="6" s="1"/>
  <c r="C102" i="6"/>
  <c r="D101" i="6"/>
  <c r="E101" i="6" s="1"/>
  <c r="F101" i="6" s="1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E76" i="6"/>
  <c r="F76" i="6" s="1"/>
  <c r="C76" i="6"/>
  <c r="D75" i="6"/>
  <c r="E75" i="6" s="1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E50" i="6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C160" i="5"/>
  <c r="E147" i="5"/>
  <c r="D147" i="5"/>
  <c r="D143" i="5"/>
  <c r="C147" i="5"/>
  <c r="E145" i="5"/>
  <c r="D145" i="5"/>
  <c r="C145" i="5"/>
  <c r="E144" i="5"/>
  <c r="D144" i="5"/>
  <c r="C144" i="5"/>
  <c r="E143" i="5"/>
  <c r="E149" i="5" s="1"/>
  <c r="E137" i="5" s="1"/>
  <c r="C143" i="5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D109" i="5" s="1"/>
  <c r="D106" i="5" s="1"/>
  <c r="C107" i="5"/>
  <c r="C109" i="5" s="1"/>
  <c r="C106" i="5" s="1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E75" i="5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D38" i="5"/>
  <c r="D53" i="5" s="1"/>
  <c r="D57" i="5"/>
  <c r="D62" i="5" s="1"/>
  <c r="C38" i="5"/>
  <c r="E34" i="5"/>
  <c r="E33" i="5"/>
  <c r="D33" i="5"/>
  <c r="D34" i="5" s="1"/>
  <c r="E26" i="5"/>
  <c r="D26" i="5"/>
  <c r="C26" i="5"/>
  <c r="E13" i="5"/>
  <c r="E15" i="5" s="1"/>
  <c r="D13" i="5"/>
  <c r="C13" i="5"/>
  <c r="C25" i="5" s="1"/>
  <c r="C27" i="5" s="1"/>
  <c r="C21" i="5" s="1"/>
  <c r="E174" i="4"/>
  <c r="F174" i="4" s="1"/>
  <c r="D171" i="4"/>
  <c r="C171" i="4"/>
  <c r="F170" i="4"/>
  <c r="E170" i="4"/>
  <c r="E169" i="4"/>
  <c r="F169" i="4" s="1"/>
  <c r="F168" i="4"/>
  <c r="E168" i="4"/>
  <c r="E167" i="4"/>
  <c r="F167" i="4" s="1"/>
  <c r="E166" i="4"/>
  <c r="F166" i="4" s="1"/>
  <c r="F165" i="4"/>
  <c r="E165" i="4"/>
  <c r="E164" i="4"/>
  <c r="F164" i="4" s="1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C155" i="4"/>
  <c r="F154" i="4"/>
  <c r="E154" i="4"/>
  <c r="F153" i="4"/>
  <c r="E153" i="4"/>
  <c r="E152" i="4"/>
  <c r="F152" i="4" s="1"/>
  <c r="F151" i="4"/>
  <c r="E151" i="4"/>
  <c r="F150" i="4"/>
  <c r="E150" i="4"/>
  <c r="F149" i="4"/>
  <c r="E149" i="4"/>
  <c r="F148" i="4"/>
  <c r="E148" i="4"/>
  <c r="E147" i="4"/>
  <c r="F147" i="4" s="1"/>
  <c r="F146" i="4"/>
  <c r="E146" i="4"/>
  <c r="E145" i="4"/>
  <c r="F145" i="4" s="1"/>
  <c r="E144" i="4"/>
  <c r="F144" i="4" s="1"/>
  <c r="E143" i="4"/>
  <c r="F143" i="4" s="1"/>
  <c r="F142" i="4"/>
  <c r="E142" i="4"/>
  <c r="F141" i="4"/>
  <c r="E141" i="4"/>
  <c r="E140" i="4"/>
  <c r="F140" i="4" s="1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 s="1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E109" i="4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30" i="4" s="1"/>
  <c r="E29" i="4"/>
  <c r="F29" i="4" s="1"/>
  <c r="E28" i="4"/>
  <c r="F28" i="4" s="1"/>
  <c r="E27" i="4"/>
  <c r="F27" i="4" s="1"/>
  <c r="D24" i="4"/>
  <c r="E24" i="4" s="1"/>
  <c r="C24" i="4"/>
  <c r="E23" i="4"/>
  <c r="F23" i="4" s="1"/>
  <c r="E22" i="4"/>
  <c r="F22" i="4" s="1"/>
  <c r="E21" i="4"/>
  <c r="F21" i="4" s="1"/>
  <c r="D18" i="4"/>
  <c r="C18" i="4"/>
  <c r="E18" i="4" s="1"/>
  <c r="E17" i="4"/>
  <c r="F17" i="4" s="1"/>
  <c r="E16" i="4"/>
  <c r="F16" i="4" s="1"/>
  <c r="E15" i="4"/>
  <c r="F15" i="4" s="1"/>
  <c r="D179" i="3"/>
  <c r="E179" i="3" s="1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E124" i="3" s="1"/>
  <c r="C124" i="3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E107" i="3"/>
  <c r="F107" i="3" s="1"/>
  <c r="E106" i="3"/>
  <c r="F106" i="3"/>
  <c r="E105" i="3"/>
  <c r="F105" i="3" s="1"/>
  <c r="E104" i="3"/>
  <c r="F104" i="3" s="1"/>
  <c r="E103" i="3"/>
  <c r="F103" i="3" s="1"/>
  <c r="E102" i="3"/>
  <c r="F102" i="3"/>
  <c r="E101" i="3"/>
  <c r="F101" i="3" s="1"/>
  <c r="E100" i="3"/>
  <c r="F100" i="3" s="1"/>
  <c r="D94" i="3"/>
  <c r="E94" i="3" s="1"/>
  <c r="C94" i="3"/>
  <c r="F94" i="3" s="1"/>
  <c r="D93" i="3"/>
  <c r="E93" i="3" s="1"/>
  <c r="F93" i="3" s="1"/>
  <c r="C93" i="3"/>
  <c r="D92" i="3"/>
  <c r="E92" i="3" s="1"/>
  <c r="F92" i="3" s="1"/>
  <c r="C92" i="3"/>
  <c r="D91" i="3"/>
  <c r="E91" i="3" s="1"/>
  <c r="C91" i="3"/>
  <c r="D90" i="3"/>
  <c r="E90" i="3" s="1"/>
  <c r="C90" i="3"/>
  <c r="D89" i="3"/>
  <c r="E89" i="3" s="1"/>
  <c r="F89" i="3" s="1"/>
  <c r="C89" i="3"/>
  <c r="D88" i="3"/>
  <c r="C88" i="3"/>
  <c r="D87" i="3"/>
  <c r="E87" i="3" s="1"/>
  <c r="C87" i="3"/>
  <c r="D86" i="3"/>
  <c r="E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E81" i="3"/>
  <c r="C81" i="3"/>
  <c r="F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8" i="3" s="1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F51" i="3" s="1"/>
  <c r="D50" i="3"/>
  <c r="C50" i="3"/>
  <c r="D49" i="3"/>
  <c r="E49" i="3"/>
  <c r="C49" i="3"/>
  <c r="F49" i="3"/>
  <c r="D48" i="3"/>
  <c r="C48" i="3"/>
  <c r="E48" i="3" s="1"/>
  <c r="D47" i="3"/>
  <c r="C47" i="3"/>
  <c r="E47" i="3" s="1"/>
  <c r="D46" i="3"/>
  <c r="C46" i="3"/>
  <c r="E46" i="3" s="1"/>
  <c r="D45" i="3"/>
  <c r="E45" i="3"/>
  <c r="C45" i="3"/>
  <c r="F45" i="3"/>
  <c r="D44" i="3"/>
  <c r="C44" i="3"/>
  <c r="D43" i="3"/>
  <c r="C43" i="3"/>
  <c r="E43" i="3" s="1"/>
  <c r="D42" i="3"/>
  <c r="C42" i="3"/>
  <c r="D41" i="3"/>
  <c r="C41" i="3"/>
  <c r="C52" i="3" s="1"/>
  <c r="D38" i="3"/>
  <c r="C38" i="3"/>
  <c r="E38" i="3" s="1"/>
  <c r="F38" i="3" s="1"/>
  <c r="F37" i="3"/>
  <c r="E37" i="3"/>
  <c r="E36" i="3"/>
  <c r="F36" i="3" s="1"/>
  <c r="F35" i="3"/>
  <c r="E35" i="3"/>
  <c r="E34" i="3"/>
  <c r="F34" i="3" s="1"/>
  <c r="E33" i="3"/>
  <c r="F33" i="3" s="1"/>
  <c r="E32" i="3"/>
  <c r="F32" i="3" s="1"/>
  <c r="F31" i="3"/>
  <c r="E31" i="3"/>
  <c r="E30" i="3"/>
  <c r="F30" i="3" s="1"/>
  <c r="E29" i="3"/>
  <c r="F29" i="3" s="1"/>
  <c r="E28" i="3"/>
  <c r="F28" i="3" s="1"/>
  <c r="F27" i="3"/>
  <c r="E27" i="3"/>
  <c r="D25" i="3"/>
  <c r="E25" i="3" s="1"/>
  <c r="C25" i="3"/>
  <c r="F24" i="3"/>
  <c r="E24" i="3"/>
  <c r="F23" i="3"/>
  <c r="E23" i="3"/>
  <c r="E22" i="3"/>
  <c r="F22" i="3" s="1"/>
  <c r="E21" i="3"/>
  <c r="F21" i="3" s="1"/>
  <c r="E20" i="3"/>
  <c r="F20" i="3" s="1"/>
  <c r="F19" i="3"/>
  <c r="E19" i="3"/>
  <c r="E18" i="3"/>
  <c r="F18" i="3" s="1"/>
  <c r="E17" i="3"/>
  <c r="F17" i="3" s="1"/>
  <c r="E16" i="3"/>
  <c r="F16" i="3" s="1"/>
  <c r="F15" i="3"/>
  <c r="E15" i="3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D33" i="2" s="1"/>
  <c r="C16" i="2"/>
  <c r="E15" i="2"/>
  <c r="F15" i="2" s="1"/>
  <c r="E14" i="2"/>
  <c r="F14" i="2" s="1"/>
  <c r="E13" i="2"/>
  <c r="F13" i="2" s="1"/>
  <c r="E12" i="2"/>
  <c r="F12" i="2" s="1"/>
  <c r="D73" i="1"/>
  <c r="C73" i="1"/>
  <c r="E73" i="1"/>
  <c r="F73" i="1" s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E61" i="1"/>
  <c r="F61" i="1" s="1"/>
  <c r="F60" i="1"/>
  <c r="E60" i="1"/>
  <c r="E59" i="1"/>
  <c r="F59" i="1"/>
  <c r="D56" i="1"/>
  <c r="D75" i="1"/>
  <c r="C56" i="1"/>
  <c r="E56" i="1"/>
  <c r="E55" i="1"/>
  <c r="F55" i="1"/>
  <c r="F54" i="1"/>
  <c r="E54" i="1"/>
  <c r="E53" i="1"/>
  <c r="F53" i="1"/>
  <c r="F52" i="1"/>
  <c r="E52" i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E37" i="1"/>
  <c r="F37" i="1" s="1"/>
  <c r="E36" i="1"/>
  <c r="F36" i="1" s="1"/>
  <c r="E33" i="1"/>
  <c r="F33" i="1" s="1"/>
  <c r="E32" i="1"/>
  <c r="F32" i="1" s="1"/>
  <c r="F31" i="1"/>
  <c r="E31" i="1"/>
  <c r="D29" i="1"/>
  <c r="C29" i="1"/>
  <c r="E28" i="1"/>
  <c r="F28" i="1" s="1"/>
  <c r="F27" i="1"/>
  <c r="E27" i="1"/>
  <c r="F26" i="1"/>
  <c r="E26" i="1"/>
  <c r="E25" i="1"/>
  <c r="F25" i="1" s="1"/>
  <c r="D22" i="1"/>
  <c r="C22" i="1"/>
  <c r="E22" i="1"/>
  <c r="F22" i="1" s="1"/>
  <c r="E21" i="1"/>
  <c r="F21" i="1"/>
  <c r="E20" i="1"/>
  <c r="F20" i="1"/>
  <c r="E19" i="1"/>
  <c r="F19" i="1"/>
  <c r="E18" i="1"/>
  <c r="F18" i="1"/>
  <c r="F17" i="1"/>
  <c r="E17" i="1"/>
  <c r="E16" i="1"/>
  <c r="F16" i="1"/>
  <c r="E15" i="1"/>
  <c r="F15" i="1"/>
  <c r="E14" i="1"/>
  <c r="F14" i="1"/>
  <c r="E13" i="1"/>
  <c r="F13" i="1"/>
  <c r="D181" i="14"/>
  <c r="D239" i="14"/>
  <c r="D277" i="14"/>
  <c r="D261" i="14"/>
  <c r="D263" i="14" s="1"/>
  <c r="F85" i="14"/>
  <c r="D68" i="14"/>
  <c r="E68" i="14" s="1"/>
  <c r="D214" i="14"/>
  <c r="E139" i="5"/>
  <c r="E138" i="5"/>
  <c r="C43" i="5"/>
  <c r="C53" i="5"/>
  <c r="D77" i="5"/>
  <c r="D71" i="5" s="1"/>
  <c r="D88" i="5"/>
  <c r="D90" i="5" s="1"/>
  <c r="D86" i="5"/>
  <c r="C49" i="5"/>
  <c r="C57" i="5"/>
  <c r="C62" i="5"/>
  <c r="F56" i="1"/>
  <c r="E31" i="2"/>
  <c r="F31" i="2" s="1"/>
  <c r="E44" i="3"/>
  <c r="D52" i="3"/>
  <c r="E52" i="3" s="1"/>
  <c r="F86" i="3"/>
  <c r="F90" i="3"/>
  <c r="C79" i="5"/>
  <c r="D121" i="7"/>
  <c r="E121" i="7" s="1"/>
  <c r="F121" i="7" s="1"/>
  <c r="D41" i="8"/>
  <c r="E41" i="8"/>
  <c r="F41" i="8" s="1"/>
  <c r="H33" i="11"/>
  <c r="H36" i="11" s="1"/>
  <c r="H38" i="11" s="1"/>
  <c r="H40" i="11" s="1"/>
  <c r="F36" i="11"/>
  <c r="F38" i="11" s="1"/>
  <c r="F40" i="11" s="1"/>
  <c r="D65" i="8"/>
  <c r="E43" i="5"/>
  <c r="D15" i="5"/>
  <c r="D25" i="5"/>
  <c r="D27" i="5" s="1"/>
  <c r="D21" i="5" s="1"/>
  <c r="C33" i="9"/>
  <c r="E89" i="14"/>
  <c r="F89" i="14" s="1"/>
  <c r="C65" i="1"/>
  <c r="C19" i="2"/>
  <c r="D95" i="3"/>
  <c r="E95" i="3" s="1"/>
  <c r="F95" i="3" s="1"/>
  <c r="D176" i="4"/>
  <c r="E42" i="3"/>
  <c r="E50" i="3"/>
  <c r="F50" i="3" s="1"/>
  <c r="E88" i="3"/>
  <c r="F88" i="3" s="1"/>
  <c r="E57" i="5"/>
  <c r="E62" i="5" s="1"/>
  <c r="D122" i="7"/>
  <c r="D43" i="8"/>
  <c r="D21" i="10"/>
  <c r="C21" i="10"/>
  <c r="D207" i="6"/>
  <c r="D19" i="9"/>
  <c r="D71" i="15"/>
  <c r="D65" i="15"/>
  <c r="D289" i="15"/>
  <c r="E60" i="15"/>
  <c r="C108" i="19"/>
  <c r="C109" i="19"/>
  <c r="D175" i="14"/>
  <c r="E175" i="14" s="1"/>
  <c r="F175" i="14" s="1"/>
  <c r="D62" i="14"/>
  <c r="D105" i="14"/>
  <c r="D106" i="14" s="1"/>
  <c r="D90" i="14"/>
  <c r="D160" i="14"/>
  <c r="D207" i="14"/>
  <c r="D138" i="14"/>
  <c r="D140" i="14" s="1"/>
  <c r="D141" i="14" s="1"/>
  <c r="D322" i="14" s="1"/>
  <c r="D15" i="10"/>
  <c r="E17" i="10"/>
  <c r="E28" i="10" s="1"/>
  <c r="D59" i="10"/>
  <c r="D61" i="10" s="1"/>
  <c r="D57" i="10" s="1"/>
  <c r="D31" i="11"/>
  <c r="E20" i="14"/>
  <c r="F20" i="14" s="1"/>
  <c r="E23" i="14"/>
  <c r="F23" i="14" s="1"/>
  <c r="E31" i="14"/>
  <c r="F31" i="14" s="1"/>
  <c r="C48" i="14"/>
  <c r="C125" i="14" s="1"/>
  <c r="E52" i="14"/>
  <c r="F52" i="14"/>
  <c r="E60" i="14"/>
  <c r="F60" i="14"/>
  <c r="E66" i="14"/>
  <c r="E76" i="14"/>
  <c r="F76" i="14" s="1"/>
  <c r="E88" i="14"/>
  <c r="F88" i="14" s="1"/>
  <c r="C102" i="14"/>
  <c r="E102" i="14" s="1"/>
  <c r="F102" i="14" s="1"/>
  <c r="E109" i="14"/>
  <c r="E120" i="14"/>
  <c r="F120" i="14" s="1"/>
  <c r="F129" i="14"/>
  <c r="F155" i="14"/>
  <c r="F171" i="14"/>
  <c r="F229" i="14"/>
  <c r="F297" i="14"/>
  <c r="F307" i="14"/>
  <c r="E242" i="15"/>
  <c r="C146" i="14"/>
  <c r="F144" i="14"/>
  <c r="E198" i="14"/>
  <c r="F198" i="14" s="1"/>
  <c r="C199" i="14"/>
  <c r="E226" i="14"/>
  <c r="F226" i="14" s="1"/>
  <c r="C227" i="14"/>
  <c r="C283" i="15"/>
  <c r="C22" i="15"/>
  <c r="D33" i="15"/>
  <c r="D294" i="15"/>
  <c r="E32" i="15"/>
  <c r="E264" i="14"/>
  <c r="F264" i="14" s="1"/>
  <c r="F29" i="14"/>
  <c r="F35" i="14"/>
  <c r="C37" i="14"/>
  <c r="F47" i="14"/>
  <c r="F58" i="14"/>
  <c r="F101" i="14"/>
  <c r="F145" i="14"/>
  <c r="C290" i="14"/>
  <c r="C193" i="14"/>
  <c r="C282" i="14"/>
  <c r="C277" i="14"/>
  <c r="C261" i="14"/>
  <c r="C254" i="14"/>
  <c r="C285" i="14"/>
  <c r="C288" i="14" s="1"/>
  <c r="C289" i="14" s="1"/>
  <c r="E204" i="14"/>
  <c r="F204" i="14" s="1"/>
  <c r="C269" i="14"/>
  <c r="F269" i="14" s="1"/>
  <c r="C215" i="14"/>
  <c r="C205" i="14"/>
  <c r="D55" i="15"/>
  <c r="E54" i="15"/>
  <c r="D320" i="15"/>
  <c r="E320" i="15"/>
  <c r="E316" i="15"/>
  <c r="D330" i="15"/>
  <c r="C45" i="19"/>
  <c r="C39" i="19"/>
  <c r="C35" i="19"/>
  <c r="C29" i="19"/>
  <c r="C110" i="19"/>
  <c r="C53" i="19"/>
  <c r="E278" i="14"/>
  <c r="F278" i="14" s="1"/>
  <c r="I17" i="11"/>
  <c r="F31" i="11"/>
  <c r="H31" i="11" s="1"/>
  <c r="C21" i="14"/>
  <c r="C32" i="14"/>
  <c r="E32" i="14" s="1"/>
  <c r="C61" i="14"/>
  <c r="C77" i="14"/>
  <c r="E77" i="14" s="1"/>
  <c r="E158" i="14"/>
  <c r="F158" i="14" s="1"/>
  <c r="C200" i="14"/>
  <c r="C214" i="14"/>
  <c r="C304" i="14"/>
  <c r="F237" i="14"/>
  <c r="C255" i="14"/>
  <c r="C274" i="14"/>
  <c r="E245" i="15"/>
  <c r="D139" i="14"/>
  <c r="D104" i="14"/>
  <c r="D174" i="14"/>
  <c r="D254" i="14"/>
  <c r="E214" i="14"/>
  <c r="F214" i="14" s="1"/>
  <c r="H17" i="11"/>
  <c r="F66" i="14"/>
  <c r="F109" i="14"/>
  <c r="F130" i="14"/>
  <c r="C172" i="14"/>
  <c r="C239" i="14"/>
  <c r="E21" i="15"/>
  <c r="D76" i="15"/>
  <c r="D77" i="15" s="1"/>
  <c r="D103" i="19"/>
  <c r="E206" i="14"/>
  <c r="F206" i="14" s="1"/>
  <c r="C283" i="14"/>
  <c r="E70" i="15"/>
  <c r="E139" i="15"/>
  <c r="C145" i="15"/>
  <c r="C156" i="15"/>
  <c r="C157" i="15" s="1"/>
  <c r="D157" i="15"/>
  <c r="C163" i="15"/>
  <c r="E163" i="15"/>
  <c r="D175" i="15"/>
  <c r="E188" i="15"/>
  <c r="D210" i="15"/>
  <c r="D217" i="15"/>
  <c r="E218" i="15"/>
  <c r="E233" i="15"/>
  <c r="D239" i="15"/>
  <c r="E251" i="15"/>
  <c r="C260" i="15"/>
  <c r="E260" i="15" s="1"/>
  <c r="D261" i="15"/>
  <c r="C22" i="16"/>
  <c r="C20" i="17"/>
  <c r="C40" i="17"/>
  <c r="C46" i="17"/>
  <c r="E22" i="19"/>
  <c r="C33" i="19"/>
  <c r="D34" i="19"/>
  <c r="D77" i="19"/>
  <c r="C101" i="19"/>
  <c r="D193" i="14"/>
  <c r="D267" i="14"/>
  <c r="D285" i="14"/>
  <c r="D306" i="14"/>
  <c r="E215" i="15"/>
  <c r="E219" i="15"/>
  <c r="D222" i="15"/>
  <c r="D223" i="15" s="1"/>
  <c r="D229" i="15"/>
  <c r="E229" i="15" s="1"/>
  <c r="C239" i="15"/>
  <c r="D240" i="15"/>
  <c r="D244" i="15"/>
  <c r="E244" i="15" s="1"/>
  <c r="E314" i="15"/>
  <c r="C49" i="16"/>
  <c r="F33" i="17"/>
  <c r="D22" i="19"/>
  <c r="E23" i="19"/>
  <c r="C34" i="19"/>
  <c r="E108" i="19"/>
  <c r="D124" i="14"/>
  <c r="E124" i="14" s="1"/>
  <c r="F124" i="14" s="1"/>
  <c r="D200" i="14"/>
  <c r="E200" i="14" s="1"/>
  <c r="F200" i="14" s="1"/>
  <c r="D262" i="14"/>
  <c r="D266" i="14"/>
  <c r="D265" i="14" s="1"/>
  <c r="E265" i="14" s="1"/>
  <c r="D274" i="14"/>
  <c r="D300" i="14" s="1"/>
  <c r="D280" i="14"/>
  <c r="D281" i="14" s="1"/>
  <c r="D144" i="15"/>
  <c r="C211" i="15"/>
  <c r="C222" i="15"/>
  <c r="E231" i="15"/>
  <c r="E324" i="15"/>
  <c r="E19" i="17"/>
  <c r="F19" i="17" s="1"/>
  <c r="E39" i="17"/>
  <c r="F39" i="17" s="1"/>
  <c r="E43" i="17"/>
  <c r="D23" i="19"/>
  <c r="E33" i="19"/>
  <c r="E101" i="19"/>
  <c r="E103" i="19" s="1"/>
  <c r="D199" i="14"/>
  <c r="E199" i="14" s="1"/>
  <c r="D205" i="14"/>
  <c r="D215" i="14"/>
  <c r="D279" i="14"/>
  <c r="D283" i="14"/>
  <c r="E221" i="15"/>
  <c r="D21" i="14"/>
  <c r="D190" i="14"/>
  <c r="D91" i="14"/>
  <c r="D92" i="14" s="1"/>
  <c r="D161" i="14"/>
  <c r="D194" i="14"/>
  <c r="E194" i="14" s="1"/>
  <c r="F194" i="14" s="1"/>
  <c r="E193" i="14"/>
  <c r="D241" i="15"/>
  <c r="C62" i="14"/>
  <c r="F32" i="14"/>
  <c r="D272" i="14"/>
  <c r="D246" i="15"/>
  <c r="E222" i="15"/>
  <c r="D270" i="14"/>
  <c r="E61" i="14"/>
  <c r="F61" i="14" s="1"/>
  <c r="D176" i="14"/>
  <c r="E176" i="14" s="1"/>
  <c r="F176" i="14" s="1"/>
  <c r="D216" i="14"/>
  <c r="C300" i="14"/>
  <c r="D125" i="14"/>
  <c r="C287" i="14"/>
  <c r="C279" i="14"/>
  <c r="C284" i="14"/>
  <c r="E277" i="14"/>
  <c r="F277" i="14"/>
  <c r="C103" i="14"/>
  <c r="C105" i="14" s="1"/>
  <c r="E70" i="10"/>
  <c r="E72" i="10"/>
  <c r="E69" i="10" s="1"/>
  <c r="E19" i="9"/>
  <c r="F19" i="9" s="1"/>
  <c r="D33" i="9"/>
  <c r="D41" i="9" s="1"/>
  <c r="C41" i="9"/>
  <c r="E279" i="14"/>
  <c r="F199" i="14"/>
  <c r="D282" i="14"/>
  <c r="E282" i="14"/>
  <c r="F282" i="14" s="1"/>
  <c r="D145" i="15"/>
  <c r="D180" i="15"/>
  <c r="E180" i="15" s="1"/>
  <c r="E144" i="15"/>
  <c r="D168" i="15"/>
  <c r="D53" i="19"/>
  <c r="D45" i="19"/>
  <c r="D39" i="19"/>
  <c r="D35" i="19"/>
  <c r="D29" i="19"/>
  <c r="D37" i="19" s="1"/>
  <c r="D110" i="19"/>
  <c r="D109" i="19"/>
  <c r="D108" i="19"/>
  <c r="C286" i="14"/>
  <c r="E283" i="14"/>
  <c r="F283" i="14" s="1"/>
  <c r="D46" i="19"/>
  <c r="D40" i="19"/>
  <c r="D36" i="19"/>
  <c r="D30" i="19"/>
  <c r="D113" i="19" s="1"/>
  <c r="D111" i="19"/>
  <c r="D54" i="19"/>
  <c r="E54" i="19"/>
  <c r="E46" i="19"/>
  <c r="E40" i="19"/>
  <c r="E36" i="19"/>
  <c r="E30" i="19"/>
  <c r="E111" i="19"/>
  <c r="E110" i="19"/>
  <c r="E53" i="19"/>
  <c r="E45" i="19"/>
  <c r="E39" i="19"/>
  <c r="E35" i="19"/>
  <c r="E29" i="19"/>
  <c r="E47" i="19" s="1"/>
  <c r="E210" i="15"/>
  <c r="D234" i="15"/>
  <c r="E234" i="15" s="1"/>
  <c r="D211" i="15"/>
  <c r="E211" i="15" s="1"/>
  <c r="E172" i="14"/>
  <c r="F172" i="14"/>
  <c r="C173" i="14"/>
  <c r="C175" i="14"/>
  <c r="E254" i="14"/>
  <c r="F254" i="14"/>
  <c r="C126" i="14"/>
  <c r="C49" i="14"/>
  <c r="C91" i="14"/>
  <c r="C92" i="14" s="1"/>
  <c r="C112" i="19"/>
  <c r="C55" i="19"/>
  <c r="C47" i="19"/>
  <c r="C37" i="19"/>
  <c r="E269" i="14"/>
  <c r="E261" i="14"/>
  <c r="F261" i="14" s="1"/>
  <c r="E33" i="15"/>
  <c r="E146" i="14"/>
  <c r="F146" i="14" s="1"/>
  <c r="D208" i="14"/>
  <c r="D210" i="14" s="1"/>
  <c r="D211" i="14" s="1"/>
  <c r="D63" i="14"/>
  <c r="E62" i="14"/>
  <c r="E156" i="15"/>
  <c r="D252" i="15"/>
  <c r="E274" i="14"/>
  <c r="F274" i="14" s="1"/>
  <c r="E239" i="15"/>
  <c r="F43" i="17"/>
  <c r="D253" i="15"/>
  <c r="C223" i="15"/>
  <c r="C266" i="14"/>
  <c r="C265" i="14" s="1"/>
  <c r="D288" i="14"/>
  <c r="C41" i="17"/>
  <c r="D284" i="15"/>
  <c r="D268" i="14"/>
  <c r="C75" i="1"/>
  <c r="C216" i="14"/>
  <c r="F216" i="14" s="1"/>
  <c r="C194" i="14"/>
  <c r="F193" i="14"/>
  <c r="F37" i="14"/>
  <c r="E37" i="14"/>
  <c r="E227" i="14"/>
  <c r="F227" i="14" s="1"/>
  <c r="C90" i="14"/>
  <c r="E90" i="14" s="1"/>
  <c r="F90" i="14" s="1"/>
  <c r="C160" i="14"/>
  <c r="E160" i="14" s="1"/>
  <c r="F160" i="14" s="1"/>
  <c r="D66" i="15"/>
  <c r="C33" i="2"/>
  <c r="C41" i="2" s="1"/>
  <c r="C48" i="2" s="1"/>
  <c r="D17" i="5"/>
  <c r="D24" i="5"/>
  <c r="D20" i="5" s="1"/>
  <c r="E290" i="14"/>
  <c r="F290" i="14" s="1"/>
  <c r="D75" i="8"/>
  <c r="E19" i="2"/>
  <c r="F19" i="2"/>
  <c r="C176" i="14"/>
  <c r="C50" i="14"/>
  <c r="E37" i="19"/>
  <c r="E55" i="19"/>
  <c r="D254" i="15"/>
  <c r="D209" i="14"/>
  <c r="E48" i="19"/>
  <c r="E38" i="19"/>
  <c r="E113" i="19"/>
  <c r="E56" i="19"/>
  <c r="C195" i="14"/>
  <c r="D295" i="15"/>
  <c r="C196" i="14"/>
  <c r="F279" i="14"/>
  <c r="D56" i="19"/>
  <c r="D38" i="19"/>
  <c r="E33" i="9"/>
  <c r="F33" i="9" s="1"/>
  <c r="F62" i="14"/>
  <c r="C63" i="14"/>
  <c r="D162" i="14"/>
  <c r="E266" i="14"/>
  <c r="F266" i="14" s="1"/>
  <c r="E216" i="14"/>
  <c r="C104" i="14"/>
  <c r="E104" i="14" s="1"/>
  <c r="F104" i="14" s="1"/>
  <c r="D112" i="5"/>
  <c r="D111" i="5" s="1"/>
  <c r="D28" i="5"/>
  <c r="E75" i="1"/>
  <c r="F75" i="1" s="1"/>
  <c r="C127" i="14"/>
  <c r="D235" i="15"/>
  <c r="D47" i="19"/>
  <c r="D112" i="19"/>
  <c r="D181" i="15"/>
  <c r="E145" i="15"/>
  <c r="D169" i="15"/>
  <c r="E91" i="14"/>
  <c r="D247" i="15"/>
  <c r="E63" i="14"/>
  <c r="F63" i="14" s="1"/>
  <c r="F173" i="14"/>
  <c r="E173" i="14"/>
  <c r="C48" i="9"/>
  <c r="C174" i="14"/>
  <c r="E174" i="14"/>
  <c r="D99" i="5"/>
  <c r="D101" i="5" s="1"/>
  <c r="D98" i="5" s="1"/>
  <c r="D22" i="5"/>
  <c r="D183" i="14"/>
  <c r="D323" i="14"/>
  <c r="C70" i="14"/>
  <c r="D113" i="14" l="1"/>
  <c r="D324" i="14"/>
  <c r="D325" i="14" s="1"/>
  <c r="E92" i="14"/>
  <c r="F92" i="14" s="1"/>
  <c r="F195" i="14"/>
  <c r="F265" i="14"/>
  <c r="F286" i="14"/>
  <c r="D48" i="9"/>
  <c r="E48" i="9" s="1"/>
  <c r="F48" i="9" s="1"/>
  <c r="E41" i="9"/>
  <c r="F41" i="9" s="1"/>
  <c r="E125" i="14"/>
  <c r="F125" i="14" s="1"/>
  <c r="F239" i="14"/>
  <c r="D287" i="14"/>
  <c r="D284" i="14"/>
  <c r="E284" i="14" s="1"/>
  <c r="F284" i="14" s="1"/>
  <c r="D255" i="14"/>
  <c r="E255" i="14" s="1"/>
  <c r="F255" i="14" s="1"/>
  <c r="E215" i="14"/>
  <c r="F215" i="14" s="1"/>
  <c r="E239" i="14"/>
  <c r="C83" i="4"/>
  <c r="E77" i="5"/>
  <c r="E71" i="5" s="1"/>
  <c r="E88" i="5"/>
  <c r="E90" i="5" s="1"/>
  <c r="E86" i="5" s="1"/>
  <c r="F22" i="8"/>
  <c r="F68" i="14"/>
  <c r="C330" i="15"/>
  <c r="E330" i="15" s="1"/>
  <c r="E326" i="15"/>
  <c r="F174" i="14"/>
  <c r="D195" i="14"/>
  <c r="E195" i="14" s="1"/>
  <c r="C291" i="14"/>
  <c r="C305" i="14" s="1"/>
  <c r="F91" i="14"/>
  <c r="D55" i="19"/>
  <c r="E103" i="14"/>
  <c r="F103" i="14" s="1"/>
  <c r="D48" i="19"/>
  <c r="E112" i="19"/>
  <c r="E48" i="14"/>
  <c r="F48" i="14" s="1"/>
  <c r="E288" i="14"/>
  <c r="F288" i="14" s="1"/>
  <c r="C161" i="14"/>
  <c r="D286" i="14"/>
  <c r="E286" i="14" s="1"/>
  <c r="D126" i="14"/>
  <c r="D49" i="14"/>
  <c r="E21" i="14"/>
  <c r="F21" i="14" s="1"/>
  <c r="D196" i="14"/>
  <c r="E205" i="14"/>
  <c r="F205" i="14" s="1"/>
  <c r="D271" i="14"/>
  <c r="C181" i="15"/>
  <c r="E181" i="15" s="1"/>
  <c r="D24" i="10"/>
  <c r="D20" i="10" s="1"/>
  <c r="D17" i="10"/>
  <c r="D28" i="10" s="1"/>
  <c r="D83" i="4"/>
  <c r="E83" i="4" s="1"/>
  <c r="E29" i="1"/>
  <c r="F29" i="1"/>
  <c r="F52" i="3"/>
  <c r="E17" i="5"/>
  <c r="E24" i="5"/>
  <c r="E53" i="5"/>
  <c r="E49" i="5"/>
  <c r="D79" i="5"/>
  <c r="D149" i="5"/>
  <c r="D166" i="5"/>
  <c r="E24" i="6"/>
  <c r="F24" i="6" s="1"/>
  <c r="E46" i="17"/>
  <c r="F46" i="17" s="1"/>
  <c r="E300" i="14"/>
  <c r="F300" i="14" s="1"/>
  <c r="E240" i="15"/>
  <c r="E285" i="14"/>
  <c r="F285" i="14" s="1"/>
  <c r="E40" i="17"/>
  <c r="F40" i="17" s="1"/>
  <c r="E39" i="2"/>
  <c r="F39" i="2" s="1"/>
  <c r="E46" i="2"/>
  <c r="F46" i="2" s="1"/>
  <c r="E41" i="3"/>
  <c r="E51" i="3"/>
  <c r="E111" i="3"/>
  <c r="F111" i="3" s="1"/>
  <c r="E137" i="3"/>
  <c r="E166" i="3"/>
  <c r="F166" i="3" s="1"/>
  <c r="E35" i="4"/>
  <c r="E41" i="4"/>
  <c r="F41" i="4" s="1"/>
  <c r="E118" i="4"/>
  <c r="F118" i="4" s="1"/>
  <c r="E155" i="4"/>
  <c r="F155" i="4" s="1"/>
  <c r="E171" i="4"/>
  <c r="D49" i="5"/>
  <c r="C149" i="5"/>
  <c r="C166" i="5"/>
  <c r="E166" i="5"/>
  <c r="E23" i="6"/>
  <c r="F23" i="6" s="1"/>
  <c r="E63" i="6"/>
  <c r="F63" i="6" s="1"/>
  <c r="E192" i="6"/>
  <c r="F192" i="6" s="1"/>
  <c r="E198" i="6"/>
  <c r="C208" i="6"/>
  <c r="E208" i="6" s="1"/>
  <c r="F208" i="6" s="1"/>
  <c r="E60" i="7"/>
  <c r="E108" i="7"/>
  <c r="E118" i="7"/>
  <c r="F118" i="7" s="1"/>
  <c r="C43" i="8"/>
  <c r="E46" i="9"/>
  <c r="F46" i="9" s="1"/>
  <c r="E25" i="10"/>
  <c r="E27" i="10" s="1"/>
  <c r="E42" i="10"/>
  <c r="F17" i="14"/>
  <c r="F30" i="14"/>
  <c r="E30" i="14"/>
  <c r="C111" i="14"/>
  <c r="E111" i="14" s="1"/>
  <c r="F111" i="14" s="1"/>
  <c r="C181" i="14"/>
  <c r="E189" i="14"/>
  <c r="D283" i="15"/>
  <c r="E283" i="15" s="1"/>
  <c r="E37" i="15"/>
  <c r="E220" i="15"/>
  <c r="C261" i="15"/>
  <c r="E261" i="15" s="1"/>
  <c r="D302" i="15"/>
  <c r="E277" i="15"/>
  <c r="E281" i="15"/>
  <c r="E287" i="15"/>
  <c r="C65" i="16"/>
  <c r="C114" i="16" s="1"/>
  <c r="C116" i="16" s="1"/>
  <c r="C119" i="16" s="1"/>
  <c r="C123" i="16" s="1"/>
  <c r="C23" i="19"/>
  <c r="E62" i="6"/>
  <c r="F62" i="6" s="1"/>
  <c r="E88" i="6"/>
  <c r="F88" i="6" s="1"/>
  <c r="E114" i="6"/>
  <c r="F114" i="6" s="1"/>
  <c r="E140" i="6"/>
  <c r="F140" i="6" s="1"/>
  <c r="E200" i="6"/>
  <c r="F200" i="6" s="1"/>
  <c r="E204" i="6"/>
  <c r="F204" i="6" s="1"/>
  <c r="E23" i="7"/>
  <c r="F23" i="7" s="1"/>
  <c r="E114" i="7"/>
  <c r="E22" i="8"/>
  <c r="E61" i="8"/>
  <c r="F61" i="8" s="1"/>
  <c r="E73" i="8"/>
  <c r="I31" i="11"/>
  <c r="E55" i="12"/>
  <c r="C175" i="15"/>
  <c r="E175" i="15" s="1"/>
  <c r="E189" i="15"/>
  <c r="E205" i="15"/>
  <c r="C240" i="15"/>
  <c r="C253" i="15" s="1"/>
  <c r="E253" i="15" s="1"/>
  <c r="C102" i="19"/>
  <c r="C103" i="19" s="1"/>
  <c r="C106" i="14"/>
  <c r="F105" i="14"/>
  <c r="E105" i="14"/>
  <c r="D273" i="14"/>
  <c r="D304" i="14"/>
  <c r="D127" i="15"/>
  <c r="D123" i="15"/>
  <c r="D112" i="15"/>
  <c r="D115" i="15"/>
  <c r="D111" i="15"/>
  <c r="D125" i="15"/>
  <c r="D121" i="15"/>
  <c r="D124" i="15"/>
  <c r="D113" i="15"/>
  <c r="D109" i="15"/>
  <c r="D126" i="15"/>
  <c r="D122" i="15"/>
  <c r="D114" i="15"/>
  <c r="D110" i="15"/>
  <c r="E33" i="2"/>
  <c r="F33" i="2" s="1"/>
  <c r="D41" i="2"/>
  <c r="E41" i="17"/>
  <c r="F41" i="17" s="1"/>
  <c r="E157" i="15"/>
  <c r="C169" i="15"/>
  <c r="E169" i="15" s="1"/>
  <c r="C43" i="1"/>
  <c r="E65" i="1"/>
  <c r="F65" i="1" s="1"/>
  <c r="F42" i="3"/>
  <c r="F44" i="3"/>
  <c r="F46" i="3"/>
  <c r="F48" i="3"/>
  <c r="F83" i="4"/>
  <c r="E135" i="5"/>
  <c r="E140" i="5"/>
  <c r="E136" i="5"/>
  <c r="D137" i="5"/>
  <c r="D140" i="5"/>
  <c r="E223" i="15"/>
  <c r="C168" i="15"/>
  <c r="E168" i="15" s="1"/>
  <c r="E22" i="15"/>
  <c r="D43" i="1"/>
  <c r="E41" i="1"/>
  <c r="F41" i="1" s="1"/>
  <c r="F25" i="3"/>
  <c r="F87" i="3"/>
  <c r="F91" i="3"/>
  <c r="F124" i="3"/>
  <c r="F153" i="3"/>
  <c r="F179" i="3"/>
  <c r="F24" i="4"/>
  <c r="C139" i="5"/>
  <c r="C138" i="5"/>
  <c r="C140" i="5"/>
  <c r="C153" i="5"/>
  <c r="E157" i="5"/>
  <c r="E153" i="5"/>
  <c r="E152" i="5"/>
  <c r="E16" i="2"/>
  <c r="F16" i="2" s="1"/>
  <c r="F41" i="3"/>
  <c r="F43" i="3"/>
  <c r="F47" i="3"/>
  <c r="F68" i="3"/>
  <c r="F137" i="3"/>
  <c r="F18" i="4"/>
  <c r="F30" i="4"/>
  <c r="F35" i="4"/>
  <c r="C176" i="4"/>
  <c r="F171" i="4"/>
  <c r="C15" i="5"/>
  <c r="E25" i="5"/>
  <c r="E27" i="5" s="1"/>
  <c r="D43" i="5"/>
  <c r="C77" i="5"/>
  <c r="C71" i="5" s="1"/>
  <c r="C207" i="6"/>
  <c r="F198" i="6"/>
  <c r="F24" i="7"/>
  <c r="F36" i="7"/>
  <c r="E47" i="7"/>
  <c r="E48" i="7"/>
  <c r="E59" i="7"/>
  <c r="E95" i="7"/>
  <c r="F95" i="7" s="1"/>
  <c r="E107" i="7"/>
  <c r="F114" i="7"/>
  <c r="F115" i="7"/>
  <c r="E116" i="7"/>
  <c r="F116" i="7" s="1"/>
  <c r="F119" i="7"/>
  <c r="E120" i="7"/>
  <c r="F73" i="8"/>
  <c r="E38" i="1"/>
  <c r="F38" i="1" s="1"/>
  <c r="F35" i="7"/>
  <c r="F59" i="7"/>
  <c r="F60" i="7"/>
  <c r="F96" i="7"/>
  <c r="F107" i="7"/>
  <c r="F108" i="7"/>
  <c r="F113" i="7"/>
  <c r="C122" i="7"/>
  <c r="F117" i="7"/>
  <c r="F120" i="7"/>
  <c r="C65" i="8"/>
  <c r="C15" i="10"/>
  <c r="E59" i="10"/>
  <c r="E61" i="10" s="1"/>
  <c r="E57" i="10" s="1"/>
  <c r="G33" i="11"/>
  <c r="E33" i="11"/>
  <c r="E36" i="11" s="1"/>
  <c r="E38" i="11" s="1"/>
  <c r="F16" i="12"/>
  <c r="F23" i="12"/>
  <c r="F37" i="12"/>
  <c r="F50" i="12"/>
  <c r="F55" i="12"/>
  <c r="F65" i="12"/>
  <c r="F70" i="12"/>
  <c r="E75" i="12"/>
  <c r="F75" i="12" s="1"/>
  <c r="F84" i="12"/>
  <c r="F92" i="12"/>
  <c r="F99" i="12"/>
  <c r="F14" i="13"/>
  <c r="F19" i="13"/>
  <c r="F23" i="13"/>
  <c r="C48" i="10"/>
  <c r="C42" i="10" s="1"/>
  <c r="F67" i="14"/>
  <c r="F100" i="14"/>
  <c r="C192" i="14"/>
  <c r="E123" i="14"/>
  <c r="F123" i="14" s="1"/>
  <c r="E136" i="14"/>
  <c r="F136" i="14" s="1"/>
  <c r="C137" i="14"/>
  <c r="F189" i="14"/>
  <c r="C280" i="14"/>
  <c r="E191" i="14"/>
  <c r="F191" i="14" s="1"/>
  <c r="C267" i="14"/>
  <c r="F203" i="14"/>
  <c r="F230" i="14"/>
  <c r="F238" i="14"/>
  <c r="C306" i="14"/>
  <c r="F250" i="14"/>
  <c r="C262" i="14"/>
  <c r="F299" i="14"/>
  <c r="E311" i="14"/>
  <c r="F311" i="14" s="1"/>
  <c r="E36" i="15"/>
  <c r="D43" i="15"/>
  <c r="C43" i="15"/>
  <c r="C55" i="15"/>
  <c r="E55" i="15" s="1"/>
  <c r="E161" i="15"/>
  <c r="C38" i="16"/>
  <c r="C127" i="16" s="1"/>
  <c r="C129" i="16" s="1"/>
  <c r="C133" i="16" s="1"/>
  <c r="F22" i="17"/>
  <c r="E25" i="17"/>
  <c r="F25" i="17" s="1"/>
  <c r="E188" i="14"/>
  <c r="F188" i="14" s="1"/>
  <c r="C190" i="14"/>
  <c r="C65" i="15"/>
  <c r="C289" i="15"/>
  <c r="E289" i="15" s="1"/>
  <c r="C71" i="15"/>
  <c r="E71" i="15" s="1"/>
  <c r="C243" i="15"/>
  <c r="C217" i="15"/>
  <c r="E276" i="15"/>
  <c r="E278" i="15"/>
  <c r="E280" i="15"/>
  <c r="E282" i="15"/>
  <c r="E288" i="15"/>
  <c r="E36" i="17"/>
  <c r="F36" i="17" s="1"/>
  <c r="C46" i="19" l="1"/>
  <c r="C111" i="19"/>
  <c r="C30" i="19"/>
  <c r="C40" i="19"/>
  <c r="C54" i="19"/>
  <c r="C36" i="19"/>
  <c r="C152" i="5"/>
  <c r="C158" i="5" s="1"/>
  <c r="C154" i="5"/>
  <c r="C157" i="5"/>
  <c r="D157" i="5"/>
  <c r="D156" i="5"/>
  <c r="D152" i="5"/>
  <c r="D155" i="5"/>
  <c r="D154" i="5"/>
  <c r="D153" i="5"/>
  <c r="E28" i="5"/>
  <c r="E99" i="5" s="1"/>
  <c r="E101" i="5" s="1"/>
  <c r="E98" i="5" s="1"/>
  <c r="E112" i="5"/>
  <c r="E111" i="5" s="1"/>
  <c r="D70" i="10"/>
  <c r="D72" i="10" s="1"/>
  <c r="D69" i="10" s="1"/>
  <c r="D22" i="10"/>
  <c r="E126" i="14"/>
  <c r="F126" i="14" s="1"/>
  <c r="D127" i="14"/>
  <c r="E161" i="14"/>
  <c r="F161" i="14" s="1"/>
  <c r="C162" i="14"/>
  <c r="E287" i="14"/>
  <c r="F287" i="14" s="1"/>
  <c r="D291" i="14"/>
  <c r="D289" i="14"/>
  <c r="E289" i="14" s="1"/>
  <c r="F289" i="14" s="1"/>
  <c r="C155" i="5"/>
  <c r="C156" i="5"/>
  <c r="E43" i="1"/>
  <c r="E302" i="15"/>
  <c r="D303" i="15"/>
  <c r="F181" i="14"/>
  <c r="E181" i="14"/>
  <c r="E21" i="10"/>
  <c r="E20" i="10"/>
  <c r="E22" i="10"/>
  <c r="E156" i="5"/>
  <c r="E155" i="5"/>
  <c r="E154" i="5"/>
  <c r="E158" i="5" s="1"/>
  <c r="C137" i="5"/>
  <c r="C136" i="5"/>
  <c r="C135" i="5"/>
  <c r="D136" i="5"/>
  <c r="D139" i="5"/>
  <c r="D135" i="5"/>
  <c r="D141" i="5" s="1"/>
  <c r="D138" i="5"/>
  <c r="E43" i="8"/>
  <c r="F43" i="8" s="1"/>
  <c r="D197" i="14"/>
  <c r="E196" i="14"/>
  <c r="F196" i="14" s="1"/>
  <c r="D50" i="14"/>
  <c r="E49" i="14"/>
  <c r="F49" i="14" s="1"/>
  <c r="E43" i="15"/>
  <c r="D44" i="15"/>
  <c r="D259" i="15"/>
  <c r="F262" i="14"/>
  <c r="E262" i="14"/>
  <c r="C272" i="14"/>
  <c r="C263" i="14"/>
  <c r="C309" i="14"/>
  <c r="C270" i="14"/>
  <c r="E267" i="14"/>
  <c r="F267" i="14" s="1"/>
  <c r="C271" i="14"/>
  <c r="C268" i="14"/>
  <c r="E280" i="14"/>
  <c r="C281" i="14"/>
  <c r="F280" i="14"/>
  <c r="E192" i="14"/>
  <c r="F192" i="14" s="1"/>
  <c r="F207" i="6"/>
  <c r="E207" i="6"/>
  <c r="C24" i="5"/>
  <c r="C20" i="5" s="1"/>
  <c r="C17" i="5"/>
  <c r="C284" i="15"/>
  <c r="E284" i="15" s="1"/>
  <c r="E141" i="5"/>
  <c r="E190" i="14"/>
  <c r="F190" i="14" s="1"/>
  <c r="D48" i="2"/>
  <c r="E48" i="2" s="1"/>
  <c r="F48" i="2" s="1"/>
  <c r="E41" i="2"/>
  <c r="F41" i="2" s="1"/>
  <c r="D116" i="15"/>
  <c r="D117" i="15" s="1"/>
  <c r="D128" i="15"/>
  <c r="D129" i="15" s="1"/>
  <c r="C235" i="15"/>
  <c r="E235" i="15" s="1"/>
  <c r="E106" i="14"/>
  <c r="F106" i="14" s="1"/>
  <c r="C324" i="14"/>
  <c r="C113" i="14"/>
  <c r="C241" i="15"/>
  <c r="E241" i="15" s="1"/>
  <c r="E217" i="15"/>
  <c r="C252" i="15"/>
  <c r="E243" i="15"/>
  <c r="C76" i="15"/>
  <c r="C66" i="15"/>
  <c r="C294" i="15"/>
  <c r="E294" i="15" s="1"/>
  <c r="E65" i="15"/>
  <c r="C259" i="15"/>
  <c r="C263" i="15" s="1"/>
  <c r="C44" i="15"/>
  <c r="C138" i="14"/>
  <c r="E137" i="14"/>
  <c r="F137" i="14" s="1"/>
  <c r="C207" i="14"/>
  <c r="G36" i="11"/>
  <c r="G38" i="11" s="1"/>
  <c r="G40" i="11" s="1"/>
  <c r="I33" i="11"/>
  <c r="I36" i="11" s="1"/>
  <c r="I38" i="11" s="1"/>
  <c r="I40" i="11" s="1"/>
  <c r="C24" i="10"/>
  <c r="C20" i="10" s="1"/>
  <c r="C17" i="10"/>
  <c r="C28" i="10" s="1"/>
  <c r="C75" i="8"/>
  <c r="E122" i="7"/>
  <c r="F122" i="7" s="1"/>
  <c r="E21" i="5"/>
  <c r="E20" i="5"/>
  <c r="E22" i="5"/>
  <c r="C141" i="5"/>
  <c r="E176" i="4"/>
  <c r="F176" i="4" s="1"/>
  <c r="F43" i="1"/>
  <c r="E65" i="8"/>
  <c r="F65" i="8" s="1"/>
  <c r="C246" i="15"/>
  <c r="E246" i="15" s="1"/>
  <c r="E304" i="14"/>
  <c r="F304" i="14" s="1"/>
  <c r="E306" i="14"/>
  <c r="C197" i="14" l="1"/>
  <c r="C183" i="14"/>
  <c r="C323" i="14"/>
  <c r="E162" i="14"/>
  <c r="F162" i="14" s="1"/>
  <c r="E127" i="14"/>
  <c r="F127" i="14" s="1"/>
  <c r="D148" i="14"/>
  <c r="C56" i="19"/>
  <c r="C48" i="19"/>
  <c r="C113" i="19"/>
  <c r="C38" i="19"/>
  <c r="E50" i="14"/>
  <c r="F50" i="14" s="1"/>
  <c r="D70" i="14"/>
  <c r="E70" i="14" s="1"/>
  <c r="F70" i="14" s="1"/>
  <c r="D306" i="15"/>
  <c r="E303" i="15"/>
  <c r="E291" i="14"/>
  <c r="F291" i="14" s="1"/>
  <c r="D305" i="14"/>
  <c r="D158" i="5"/>
  <c r="D131" i="15"/>
  <c r="E75" i="8"/>
  <c r="F75" i="8" s="1"/>
  <c r="C77" i="15"/>
  <c r="E76" i="15"/>
  <c r="C254" i="15"/>
  <c r="E254" i="15" s="1"/>
  <c r="E252" i="15"/>
  <c r="E113" i="14"/>
  <c r="F113" i="14" s="1"/>
  <c r="C112" i="5"/>
  <c r="C111" i="5" s="1"/>
  <c r="C28" i="5"/>
  <c r="F268" i="14"/>
  <c r="E268" i="14"/>
  <c r="E263" i="14"/>
  <c r="F263" i="14" s="1"/>
  <c r="D263" i="15"/>
  <c r="E263" i="15" s="1"/>
  <c r="E259" i="15"/>
  <c r="C22" i="10"/>
  <c r="C70" i="10"/>
  <c r="C72" i="10" s="1"/>
  <c r="C69" i="10" s="1"/>
  <c r="C208" i="14"/>
  <c r="E207" i="14"/>
  <c r="F207" i="14" s="1"/>
  <c r="C140" i="14"/>
  <c r="E138" i="14"/>
  <c r="C139" i="14"/>
  <c r="F138" i="14"/>
  <c r="C95" i="15"/>
  <c r="C84" i="15"/>
  <c r="C258" i="15"/>
  <c r="C87" i="15"/>
  <c r="C97" i="15"/>
  <c r="C100" i="15"/>
  <c r="C89" i="15"/>
  <c r="C99" i="15"/>
  <c r="C88" i="15"/>
  <c r="C98" i="15"/>
  <c r="C83" i="15"/>
  <c r="C101" i="15"/>
  <c r="C86" i="15"/>
  <c r="C96" i="15"/>
  <c r="C102" i="15" s="1"/>
  <c r="C85" i="15"/>
  <c r="C295" i="15"/>
  <c r="E295" i="15" s="1"/>
  <c r="E66" i="15"/>
  <c r="C247" i="15"/>
  <c r="E247" i="15" s="1"/>
  <c r="E324" i="14"/>
  <c r="F324" i="14"/>
  <c r="E281" i="14"/>
  <c r="F281" i="14"/>
  <c r="C273" i="14"/>
  <c r="E271" i="14"/>
  <c r="F271" i="14" s="1"/>
  <c r="E270" i="14"/>
  <c r="F270" i="14" s="1"/>
  <c r="C310" i="14"/>
  <c r="E272" i="14"/>
  <c r="F272" i="14" s="1"/>
  <c r="D100" i="15"/>
  <c r="E100" i="15" s="1"/>
  <c r="D89" i="15"/>
  <c r="E89" i="15" s="1"/>
  <c r="D99" i="15"/>
  <c r="E99" i="15" s="1"/>
  <c r="D88" i="15"/>
  <c r="E88" i="15" s="1"/>
  <c r="E44" i="15"/>
  <c r="D98" i="15"/>
  <c r="D83" i="15"/>
  <c r="D97" i="15"/>
  <c r="E97" i="15" s="1"/>
  <c r="D96" i="15"/>
  <c r="D85" i="15"/>
  <c r="E85" i="15" s="1"/>
  <c r="D95" i="15"/>
  <c r="D84" i="15"/>
  <c r="D258" i="15"/>
  <c r="D87" i="15"/>
  <c r="D101" i="15"/>
  <c r="E101" i="15" s="1"/>
  <c r="D86" i="15"/>
  <c r="E86" i="15" s="1"/>
  <c r="D310" i="15" l="1"/>
  <c r="E310" i="15" s="1"/>
  <c r="E306" i="15"/>
  <c r="E87" i="15"/>
  <c r="E98" i="15"/>
  <c r="D309" i="14"/>
  <c r="E305" i="14"/>
  <c r="F305" i="14" s="1"/>
  <c r="E197" i="14"/>
  <c r="F197" i="14" s="1"/>
  <c r="E323" i="14"/>
  <c r="F323" i="14" s="1"/>
  <c r="E183" i="14"/>
  <c r="F183" i="14" s="1"/>
  <c r="E84" i="15"/>
  <c r="D90" i="15"/>
  <c r="D91" i="15" s="1"/>
  <c r="E258" i="15"/>
  <c r="D264" i="15"/>
  <c r="E95" i="15"/>
  <c r="E96" i="15"/>
  <c r="D102" i="15"/>
  <c r="E102" i="15" s="1"/>
  <c r="E83" i="15"/>
  <c r="E273" i="14"/>
  <c r="F273" i="14" s="1"/>
  <c r="C264" i="15"/>
  <c r="C266" i="15" s="1"/>
  <c r="C267" i="15" s="1"/>
  <c r="C103" i="15"/>
  <c r="E139" i="14"/>
  <c r="F139" i="14"/>
  <c r="E140" i="14"/>
  <c r="F140" i="14"/>
  <c r="C141" i="14"/>
  <c r="C22" i="5"/>
  <c r="C99" i="5"/>
  <c r="C101" i="5" s="1"/>
  <c r="C98" i="5" s="1"/>
  <c r="C126" i="15"/>
  <c r="E126" i="15" s="1"/>
  <c r="C115" i="15"/>
  <c r="E115" i="15" s="1"/>
  <c r="C125" i="15"/>
  <c r="E125" i="15" s="1"/>
  <c r="C114" i="15"/>
  <c r="E114" i="15" s="1"/>
  <c r="C124" i="15"/>
  <c r="E124" i="15" s="1"/>
  <c r="C109" i="15"/>
  <c r="C123" i="15"/>
  <c r="E123" i="15" s="1"/>
  <c r="C122" i="15"/>
  <c r="C111" i="15"/>
  <c r="E111" i="15" s="1"/>
  <c r="C121" i="15"/>
  <c r="C110" i="15"/>
  <c r="C113" i="15"/>
  <c r="E113" i="15" s="1"/>
  <c r="C127" i="15"/>
  <c r="E127" i="15" s="1"/>
  <c r="C112" i="15"/>
  <c r="E112" i="15" s="1"/>
  <c r="E77" i="15"/>
  <c r="C312" i="14"/>
  <c r="C90" i="15"/>
  <c r="C91" i="15" s="1"/>
  <c r="C209" i="14"/>
  <c r="E208" i="14"/>
  <c r="C210" i="14"/>
  <c r="F208" i="14"/>
  <c r="D310" i="14" l="1"/>
  <c r="E309" i="14"/>
  <c r="F309" i="14" s="1"/>
  <c r="C105" i="15"/>
  <c r="C268" i="15"/>
  <c r="C269" i="15"/>
  <c r="E210" i="14"/>
  <c r="F210" i="14"/>
  <c r="E209" i="14"/>
  <c r="F209" i="14" s="1"/>
  <c r="C313" i="14"/>
  <c r="E121" i="15"/>
  <c r="C128" i="15"/>
  <c r="E128" i="15" s="1"/>
  <c r="E122" i="15"/>
  <c r="E109" i="15"/>
  <c r="E141" i="14"/>
  <c r="C211" i="14"/>
  <c r="F141" i="14"/>
  <c r="C148" i="14"/>
  <c r="C322" i="14"/>
  <c r="D266" i="15"/>
  <c r="E264" i="15"/>
  <c r="E90" i="15"/>
  <c r="C116" i="15"/>
  <c r="E116" i="15" s="1"/>
  <c r="E110" i="15"/>
  <c r="E91" i="15"/>
  <c r="D103" i="15"/>
  <c r="E103" i="15" s="1"/>
  <c r="D312" i="14" l="1"/>
  <c r="E310" i="14"/>
  <c r="F310" i="14" s="1"/>
  <c r="E322" i="14"/>
  <c r="F322" i="14" s="1"/>
  <c r="C325" i="14"/>
  <c r="C117" i="15"/>
  <c r="C129" i="15"/>
  <c r="E129" i="15" s="1"/>
  <c r="D105" i="15"/>
  <c r="E105" i="15" s="1"/>
  <c r="E266" i="15"/>
  <c r="D267" i="15"/>
  <c r="E148" i="14"/>
  <c r="F148" i="14" s="1"/>
  <c r="E211" i="14"/>
  <c r="F211" i="14" s="1"/>
  <c r="C315" i="14"/>
  <c r="C256" i="14"/>
  <c r="C251" i="14"/>
  <c r="C314" i="14"/>
  <c r="C271" i="15"/>
  <c r="D313" i="14" l="1"/>
  <c r="E312" i="14"/>
  <c r="F312" i="14" s="1"/>
  <c r="C318" i="14"/>
  <c r="E267" i="15"/>
  <c r="D269" i="15"/>
  <c r="E269" i="15" s="1"/>
  <c r="D268" i="15"/>
  <c r="C131" i="15"/>
  <c r="E131" i="15" s="1"/>
  <c r="E117" i="15"/>
  <c r="C257" i="14"/>
  <c r="E325" i="14"/>
  <c r="F325" i="14" s="1"/>
  <c r="D315" i="14" l="1"/>
  <c r="E315" i="14" s="1"/>
  <c r="F315" i="14" s="1"/>
  <c r="D314" i="14"/>
  <c r="D256" i="14"/>
  <c r="D251" i="14"/>
  <c r="E251" i="14" s="1"/>
  <c r="F251" i="14" s="1"/>
  <c r="E313" i="14"/>
  <c r="F313" i="14" s="1"/>
  <c r="E268" i="15"/>
  <c r="D271" i="15"/>
  <c r="E271" i="15" s="1"/>
  <c r="D257" i="14" l="1"/>
  <c r="E257" i="14" s="1"/>
  <c r="F257" i="14" s="1"/>
  <c r="E256" i="14"/>
  <c r="F256" i="14" s="1"/>
  <c r="D318" i="14"/>
  <c r="E318" i="14" s="1"/>
  <c r="F318" i="14" s="1"/>
  <c r="E314" i="14"/>
  <c r="F314" i="14" s="1"/>
</calcChain>
</file>

<file path=xl/sharedStrings.xml><?xml version="1.0" encoding="utf-8"?>
<sst xmlns="http://schemas.openxmlformats.org/spreadsheetml/2006/main" count="2309" uniqueCount="984">
  <si>
    <t>STAMFORD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</si>
  <si>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</si>
  <si>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</si>
  <si>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</si>
  <si>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</si>
  <si>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</si>
  <si>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</si>
  <si>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</si>
  <si>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</si>
  <si>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</si>
  <si>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</si>
  <si>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</si>
  <si>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</si>
  <si>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</si>
  <si>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</si>
  <si>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</si>
  <si>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</si>
  <si>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</si>
  <si>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</si>
  <si>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</si>
  <si>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</si>
  <si>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</si>
  <si>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</si>
  <si>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</si>
  <si>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</si>
  <si>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</si>
  <si>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</si>
  <si>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</si>
  <si>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</si>
  <si>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</si>
  <si>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</si>
  <si>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</si>
  <si>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</si>
  <si>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</si>
  <si>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</si>
  <si>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</si>
  <si>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</si>
  <si>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</si>
  <si>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</si>
  <si>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</si>
  <si>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</si>
  <si>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</si>
  <si>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</si>
  <si>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</si>
  <si>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</si>
  <si>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</si>
  <si>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</si>
  <si>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</si>
  <si>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</si>
  <si>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</si>
  <si>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</si>
  <si>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</si>
  <si>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</si>
  <si>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</si>
  <si>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</si>
  <si>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</si>
  <si>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</si>
  <si>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</si>
  <si>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</si>
  <si>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</si>
  <si>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</si>
  <si>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</si>
  <si>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</si>
  <si>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</si>
  <si>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</si>
  <si>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</si>
  <si>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</si>
  <si>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</si>
  <si>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</si>
  <si>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</si>
  <si>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</si>
  <si>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</si>
  <si>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</si>
  <si>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</si>
  <si>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</si>
  <si>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</si>
  <si>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</si>
  <si>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</si>
  <si>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</si>
  <si>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</si>
  <si>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</si>
  <si>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</si>
  <si>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</si>
  <si>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</si>
  <si>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</si>
  <si>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</si>
  <si>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</si>
  <si>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</si>
  <si>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</si>
  <si>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</si>
  <si>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</si>
  <si>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</si>
  <si>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</si>
  <si>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</si>
  <si>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</si>
  <si>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</si>
  <si>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</si>
  <si>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</si>
  <si>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</si>
  <si>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</si>
  <si>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</si>
  <si>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</si>
  <si>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</si>
  <si>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</si>
  <si>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</si>
  <si>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</si>
  <si>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</si>
  <si>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</si>
  <si>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</si>
  <si>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</si>
  <si>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</si>
  <si>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</si>
  <si>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</si>
  <si>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</si>
  <si>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</si>
  <si>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</si>
  <si>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</si>
  <si>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</si>
  <si>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</si>
  <si>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</si>
  <si>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</si>
  <si>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</si>
  <si>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</si>
  <si>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</si>
  <si>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</si>
  <si>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</si>
  <si>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</si>
  <si>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</si>
  <si>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</si>
  <si>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</si>
  <si>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</si>
  <si>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</si>
  <si>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</si>
  <si>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</si>
  <si>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</si>
  <si>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</si>
  <si>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</si>
  <si>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</si>
  <si>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</si>
  <si>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</si>
  <si>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</si>
  <si>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</si>
  <si>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</si>
  <si>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</si>
  <si>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</si>
  <si>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</si>
  <si>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</si>
  <si>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</si>
  <si>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</si>
  <si>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</si>
  <si>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</si>
  <si>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</si>
  <si>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</si>
  <si>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</si>
  <si>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</si>
  <si>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</si>
  <si>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</si>
  <si>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</si>
  <si>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</si>
  <si>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</si>
  <si>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</si>
  <si>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</si>
  <si>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</si>
  <si>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</si>
  <si>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</si>
  <si>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</si>
  <si>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</si>
  <si>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</si>
  <si>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</si>
  <si>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</si>
  <si>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</si>
  <si>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</si>
  <si>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</si>
  <si>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</si>
  <si>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</si>
  <si>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</si>
  <si>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</si>
  <si>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</si>
  <si>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</si>
  <si>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</si>
  <si>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</si>
  <si>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</si>
  <si>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</si>
  <si>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</si>
  <si>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</si>
  <si>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</si>
  <si>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</si>
  <si>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</si>
  <si>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</si>
  <si>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</si>
  <si>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</si>
  <si>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</si>
  <si>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</si>
  <si>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</si>
  <si>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</si>
  <si>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</si>
  <si>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</si>
  <si>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</si>
  <si>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</si>
  <si>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</si>
  <si>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</si>
  <si>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</si>
  <si>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</si>
  <si>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</si>
  <si>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</si>
  <si>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</si>
  <si>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</si>
  <si>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</si>
  <si>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</si>
  <si>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</si>
  <si>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</si>
  <si>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</si>
  <si>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</si>
  <si>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</si>
  <si>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</si>
  <si>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</si>
  <si>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</si>
  <si>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</si>
  <si>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</si>
  <si>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</si>
  <si>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</si>
  <si>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</si>
  <si>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</si>
  <si>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</si>
  <si>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</si>
  <si>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</si>
  <si>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</si>
  <si>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</si>
  <si>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</si>
  <si>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</si>
  <si>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</si>
  <si>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</si>
  <si>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</si>
  <si>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</si>
  <si>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</si>
  <si>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</si>
  <si>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</si>
  <si>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</si>
  <si>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</si>
  <si>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</si>
  <si>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</si>
  <si>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</si>
  <si>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</si>
  <si>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</si>
  <si>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</si>
  <si>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</si>
  <si>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</si>
  <si>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</si>
  <si>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</si>
  <si>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</si>
  <si>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</si>
  <si>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</si>
  <si>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</si>
  <si>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</si>
  <si>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</si>
  <si>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</si>
  <si>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</si>
  <si>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</si>
  <si>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</si>
  <si>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</si>
  <si>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</si>
  <si>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</si>
  <si>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</si>
  <si>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</si>
  <si>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</si>
  <si>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</si>
  <si>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</si>
  <si>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</si>
  <si>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</si>
  <si>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</si>
  <si>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</si>
  <si>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</si>
  <si>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</si>
  <si>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</si>
  <si>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</si>
  <si>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</si>
  <si>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</si>
  <si>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</si>
  <si>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</si>
  <si>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</si>
  <si>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</si>
  <si>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</si>
  <si>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</si>
  <si>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</si>
  <si>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</si>
  <si>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</si>
  <si>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</si>
  <si>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</si>
  <si>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</si>
  <si>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</si>
  <si>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</si>
  <si>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</si>
  <si>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</si>
  <si>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</si>
  <si>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</si>
  <si>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</si>
  <si>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</si>
  <si>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</si>
  <si>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</si>
  <si>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</si>
  <si>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</si>
  <si>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</si>
  <si>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</si>
  <si>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</si>
  <si>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</si>
  <si>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</si>
  <si>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</si>
  <si>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</si>
  <si>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</si>
  <si>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</si>
  <si>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</si>
  <si>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</si>
  <si>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</si>
  <si>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</si>
  <si>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</si>
  <si>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</si>
  <si>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</si>
  <si>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</si>
  <si>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</si>
  <si>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</si>
  <si>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</si>
  <si>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</si>
  <si>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</si>
  <si>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</si>
  <si>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</si>
  <si>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</si>
  <si>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</si>
  <si>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</si>
  <si>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</si>
  <si>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</si>
  <si>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</si>
  <si>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</si>
  <si>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</si>
  <si>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</si>
  <si>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</si>
  <si>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</si>
  <si>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</si>
  <si>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</si>
  <si>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</si>
  <si>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</si>
  <si>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</si>
  <si>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</si>
  <si>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</si>
  <si>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</si>
  <si>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</si>
  <si>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</si>
  <si>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</si>
  <si>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</si>
  <si>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</si>
  <si>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</si>
  <si>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</si>
  <si>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</si>
  <si>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</si>
  <si>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</si>
  <si>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</si>
  <si>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</si>
  <si>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</si>
  <si>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</si>
  <si>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</si>
  <si>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</si>
  <si>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</si>
  <si>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</si>
  <si>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</si>
  <si>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</si>
  <si>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</si>
  <si>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</si>
  <si>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</si>
  <si>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</si>
  <si>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</si>
  <si>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</si>
  <si>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</si>
  <si>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</si>
  <si>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</si>
  <si>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</si>
  <si>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</si>
  <si>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</si>
  <si>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</si>
  <si>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</si>
  <si>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</si>
  <si>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</si>
  <si>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</si>
  <si>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</si>
  <si>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</si>
  <si>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</si>
  <si>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</si>
  <si>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</si>
  <si>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</si>
  <si>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</si>
  <si>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</si>
  <si>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</si>
  <si>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</si>
  <si>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</si>
  <si>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</si>
  <si>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</si>
  <si>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</si>
  <si>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</si>
  <si>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</si>
  <si>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</si>
  <si>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</si>
  <si>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</si>
  <si>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</si>
  <si>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</si>
  <si>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</si>
  <si>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</si>
  <si>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</si>
  <si>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</si>
  <si>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</si>
  <si>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</si>
  <si>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</si>
  <si>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</si>
  <si>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</si>
  <si>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</si>
  <si>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</si>
  <si>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</si>
  <si>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</si>
  <si>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</si>
  <si>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</si>
  <si>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</si>
  <si>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</si>
  <si>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</si>
  <si>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</si>
  <si>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</si>
  <si>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</si>
  <si>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</si>
  <si>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</si>
  <si>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</si>
  <si>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</si>
  <si>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</si>
  <si>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</si>
  <si>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</si>
  <si>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</si>
  <si>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</si>
  <si>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</si>
  <si>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</si>
  <si>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</si>
  <si>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</si>
  <si>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</si>
  <si>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</si>
  <si>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</si>
  <si>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</si>
  <si>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</si>
  <si>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</si>
  <si>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</si>
  <si>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</si>
  <si>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</si>
  <si>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</si>
  <si>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</si>
  <si>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</si>
  <si>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</si>
  <si>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</si>
  <si>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</si>
  <si>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</si>
  <si>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</si>
  <si>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</si>
  <si>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</si>
  <si>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</si>
  <si>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</si>
  <si>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</si>
  <si>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</si>
  <si>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</si>
  <si>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</si>
  <si>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</si>
  <si>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</si>
  <si>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</si>
  <si>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</si>
  <si>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</si>
  <si>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</si>
  <si>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</si>
  <si>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</si>
  <si>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</si>
  <si>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</si>
  <si>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</si>
  <si>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</si>
  <si>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</si>
  <si>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</si>
  <si>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</si>
  <si>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</si>
  <si>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</si>
  <si>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</si>
  <si>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STAMFORD HEALTH SYSTEM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</si>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</sst>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49254000</v>
      </c>
      <c r="D13" s="23">
        <v>80693000</v>
      </c>
      <c r="E13" s="23">
        <f t="shared" ref="E13:E22" si="0">D13-C13</f>
        <v>31439000</v>
      </c>
      <c r="F13" s="24">
        <f t="shared" ref="F13:F22" si="1">IF(C13=0,0,E13/C13)</f>
        <v>0.63830348804158032</v>
      </c>
    </row>
    <row r="14" spans="1:8" ht="24" customHeight="1" x14ac:dyDescent="0.2">
      <c r="A14" s="21">
        <v>2</v>
      </c>
      <c r="B14" s="22" t="s">
        <v>17</v>
      </c>
      <c r="C14" s="23">
        <v>188000</v>
      </c>
      <c r="D14" s="23">
        <v>276000</v>
      </c>
      <c r="E14" s="23">
        <f t="shared" si="0"/>
        <v>88000</v>
      </c>
      <c r="F14" s="24">
        <f t="shared" si="1"/>
        <v>0.46808510638297873</v>
      </c>
    </row>
    <row r="15" spans="1:8" ht="30" customHeight="1" x14ac:dyDescent="0.2">
      <c r="A15" s="21">
        <v>3</v>
      </c>
      <c r="B15" s="22" t="s">
        <v>18</v>
      </c>
      <c r="C15" s="23">
        <v>50691000</v>
      </c>
      <c r="D15" s="23">
        <v>59828000</v>
      </c>
      <c r="E15" s="23">
        <f t="shared" si="0"/>
        <v>9137000</v>
      </c>
      <c r="F15" s="24">
        <f t="shared" si="1"/>
        <v>0.18024895938134974</v>
      </c>
    </row>
    <row r="16" spans="1:8" ht="24" customHeight="1" x14ac:dyDescent="0.2">
      <c r="A16" s="21">
        <v>4</v>
      </c>
      <c r="B16" s="22" t="s">
        <v>19</v>
      </c>
      <c r="C16" s="23">
        <v>2497000</v>
      </c>
      <c r="D16" s="23">
        <v>5510000</v>
      </c>
      <c r="E16" s="23">
        <f t="shared" si="0"/>
        <v>3013000</v>
      </c>
      <c r="F16" s="24">
        <f t="shared" si="1"/>
        <v>1.2066479775730876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3941000</v>
      </c>
      <c r="D18" s="23">
        <v>2592000</v>
      </c>
      <c r="E18" s="23">
        <f t="shared" si="0"/>
        <v>-1349000</v>
      </c>
      <c r="F18" s="24">
        <f t="shared" si="1"/>
        <v>-0.34229890890636894</v>
      </c>
    </row>
    <row r="19" spans="1:11" ht="24" customHeight="1" x14ac:dyDescent="0.2">
      <c r="A19" s="21">
        <v>7</v>
      </c>
      <c r="B19" s="22" t="s">
        <v>22</v>
      </c>
      <c r="C19" s="23">
        <v>4742000</v>
      </c>
      <c r="D19" s="23">
        <v>4780000</v>
      </c>
      <c r="E19" s="23">
        <f t="shared" si="0"/>
        <v>38000</v>
      </c>
      <c r="F19" s="24">
        <f t="shared" si="1"/>
        <v>8.0134964150147623E-3</v>
      </c>
    </row>
    <row r="20" spans="1:11" ht="24" customHeight="1" x14ac:dyDescent="0.2">
      <c r="A20" s="21">
        <v>8</v>
      </c>
      <c r="B20" s="22" t="s">
        <v>23</v>
      </c>
      <c r="C20" s="23">
        <v>4094000</v>
      </c>
      <c r="D20" s="23">
        <v>4071000</v>
      </c>
      <c r="E20" s="23">
        <f t="shared" si="0"/>
        <v>-23000</v>
      </c>
      <c r="F20" s="24">
        <f t="shared" si="1"/>
        <v>-5.6179775280898875E-3</v>
      </c>
    </row>
    <row r="21" spans="1:11" ht="24" customHeight="1" x14ac:dyDescent="0.2">
      <c r="A21" s="21">
        <v>9</v>
      </c>
      <c r="B21" s="22" t="s">
        <v>24</v>
      </c>
      <c r="C21" s="23">
        <v>176000</v>
      </c>
      <c r="D21" s="23">
        <v>159000</v>
      </c>
      <c r="E21" s="23">
        <f t="shared" si="0"/>
        <v>-17000</v>
      </c>
      <c r="F21" s="24">
        <f t="shared" si="1"/>
        <v>-9.6590909090909088E-2</v>
      </c>
    </row>
    <row r="22" spans="1:11" ht="24" customHeight="1" x14ac:dyDescent="0.25">
      <c r="A22" s="25"/>
      <c r="B22" s="26" t="s">
        <v>25</v>
      </c>
      <c r="C22" s="27">
        <f>SUM(C13:C21)</f>
        <v>115583000</v>
      </c>
      <c r="D22" s="27">
        <f>SUM(D13:D21)</f>
        <v>157909000</v>
      </c>
      <c r="E22" s="27">
        <f t="shared" si="0"/>
        <v>42326000</v>
      </c>
      <c r="F22" s="28">
        <f t="shared" si="1"/>
        <v>0.3661957208239966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6895000</v>
      </c>
      <c r="D25" s="23">
        <v>1357000</v>
      </c>
      <c r="E25" s="23">
        <f>D25-C25</f>
        <v>-5538000</v>
      </c>
      <c r="F25" s="24">
        <f>IF(C25=0,0,E25/C25)</f>
        <v>-0.80319071791153007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26675000</v>
      </c>
      <c r="D28" s="23">
        <v>26675000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33570000</v>
      </c>
      <c r="D29" s="27">
        <f>SUM(D25:D28)</f>
        <v>28032000</v>
      </c>
      <c r="E29" s="27">
        <f>D29-C29</f>
        <v>-5538000</v>
      </c>
      <c r="F29" s="28">
        <f>IF(C29=0,0,E29/C29)</f>
        <v>-0.16496872207327973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36046000</v>
      </c>
      <c r="D32" s="23">
        <v>35851000</v>
      </c>
      <c r="E32" s="23">
        <f>D32-C32</f>
        <v>-195000</v>
      </c>
      <c r="F32" s="24">
        <f>IF(C32=0,0,E32/C32)</f>
        <v>-5.409754202962881E-3</v>
      </c>
    </row>
    <row r="33" spans="1:8" ht="24" customHeight="1" x14ac:dyDescent="0.2">
      <c r="A33" s="21">
        <v>7</v>
      </c>
      <c r="B33" s="22" t="s">
        <v>35</v>
      </c>
      <c r="C33" s="23">
        <v>4453000</v>
      </c>
      <c r="D33" s="23">
        <v>14156000</v>
      </c>
      <c r="E33" s="23">
        <f>D33-C33</f>
        <v>9703000</v>
      </c>
      <c r="F33" s="24">
        <f>IF(C33=0,0,E33/C33)</f>
        <v>2.1789804626094766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504669000</v>
      </c>
      <c r="D36" s="23">
        <v>534502000</v>
      </c>
      <c r="E36" s="23">
        <f>D36-C36</f>
        <v>29833000</v>
      </c>
      <c r="F36" s="24">
        <f>IF(C36=0,0,E36/C36)</f>
        <v>5.9113993528431504E-2</v>
      </c>
    </row>
    <row r="37" spans="1:8" ht="24" customHeight="1" x14ac:dyDescent="0.2">
      <c r="A37" s="21">
        <v>2</v>
      </c>
      <c r="B37" s="22" t="s">
        <v>39</v>
      </c>
      <c r="C37" s="23">
        <v>285332000</v>
      </c>
      <c r="D37" s="23">
        <v>313648000</v>
      </c>
      <c r="E37" s="23">
        <f>D37-C37</f>
        <v>28316000</v>
      </c>
      <c r="F37" s="24">
        <f>IF(C37=0,0,E37/C37)</f>
        <v>9.9238781489633124E-2</v>
      </c>
    </row>
    <row r="38" spans="1:8" ht="24" customHeight="1" x14ac:dyDescent="0.25">
      <c r="A38" s="25"/>
      <c r="B38" s="26" t="s">
        <v>40</v>
      </c>
      <c r="C38" s="27">
        <f>C36-C37</f>
        <v>219337000</v>
      </c>
      <c r="D38" s="27">
        <f>D36-D37</f>
        <v>220854000</v>
      </c>
      <c r="E38" s="27">
        <f>D38-C38</f>
        <v>1517000</v>
      </c>
      <c r="F38" s="28">
        <f>IF(C38=0,0,E38/C38)</f>
        <v>6.9162977518612912E-3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19984000</v>
      </c>
      <c r="D40" s="23">
        <v>21659000</v>
      </c>
      <c r="E40" s="23">
        <f>D40-C40</f>
        <v>1675000</v>
      </c>
      <c r="F40" s="24">
        <f>IF(C40=0,0,E40/C40)</f>
        <v>8.3817053642914335E-2</v>
      </c>
    </row>
    <row r="41" spans="1:8" ht="24" customHeight="1" x14ac:dyDescent="0.25">
      <c r="A41" s="25"/>
      <c r="B41" s="26" t="s">
        <v>42</v>
      </c>
      <c r="C41" s="27">
        <f>+C38+C40</f>
        <v>239321000</v>
      </c>
      <c r="D41" s="27">
        <f>+D38+D40</f>
        <v>242513000</v>
      </c>
      <c r="E41" s="27">
        <f>D41-C41</f>
        <v>3192000</v>
      </c>
      <c r="F41" s="28">
        <f>IF(C41=0,0,E41/C41)</f>
        <v>1.3337734674349514E-2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428973000</v>
      </c>
      <c r="D43" s="27">
        <f>D22+D29+D31+D32+D33+D41</f>
        <v>478461000</v>
      </c>
      <c r="E43" s="27">
        <f>D43-C43</f>
        <v>49488000</v>
      </c>
      <c r="F43" s="28">
        <f>IF(C43=0,0,E43/C43)</f>
        <v>0.11536390402193145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34065000</v>
      </c>
      <c r="D49" s="23">
        <v>47334000</v>
      </c>
      <c r="E49" s="23">
        <f t="shared" ref="E49:E56" si="2">D49-C49</f>
        <v>13269000</v>
      </c>
      <c r="F49" s="24">
        <f t="shared" ref="F49:F56" si="3">IF(C49=0,0,E49/C49)</f>
        <v>0.38952003522677237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10547000</v>
      </c>
      <c r="D50" s="23">
        <v>9025000</v>
      </c>
      <c r="E50" s="23">
        <f t="shared" si="2"/>
        <v>-1522000</v>
      </c>
      <c r="F50" s="24">
        <f t="shared" si="3"/>
        <v>-0.14430643784962549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2813000</v>
      </c>
      <c r="D51" s="23">
        <v>5424000</v>
      </c>
      <c r="E51" s="23">
        <f t="shared" si="2"/>
        <v>2611000</v>
      </c>
      <c r="F51" s="24">
        <f t="shared" si="3"/>
        <v>0.92819054390330613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4413000</v>
      </c>
      <c r="D53" s="23">
        <v>5018000</v>
      </c>
      <c r="E53" s="23">
        <f t="shared" si="2"/>
        <v>605000</v>
      </c>
      <c r="F53" s="24">
        <f t="shared" si="3"/>
        <v>0.13709494674824382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15476000</v>
      </c>
      <c r="D55" s="23">
        <v>15683000</v>
      </c>
      <c r="E55" s="23">
        <f t="shared" si="2"/>
        <v>207000</v>
      </c>
      <c r="F55" s="24">
        <f t="shared" si="3"/>
        <v>1.3375549237529077E-2</v>
      </c>
    </row>
    <row r="56" spans="1:6" ht="24" customHeight="1" x14ac:dyDescent="0.25">
      <c r="A56" s="25"/>
      <c r="B56" s="26" t="s">
        <v>54</v>
      </c>
      <c r="C56" s="27">
        <f>SUM(C49:C55)</f>
        <v>67314000</v>
      </c>
      <c r="D56" s="27">
        <f>SUM(D49:D55)</f>
        <v>82484000</v>
      </c>
      <c r="E56" s="27">
        <f t="shared" si="2"/>
        <v>15170000</v>
      </c>
      <c r="F56" s="28">
        <f t="shared" si="3"/>
        <v>0.22536173752859731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130114000</v>
      </c>
      <c r="D59" s="23">
        <v>130025000</v>
      </c>
      <c r="E59" s="23">
        <f>D59-C59</f>
        <v>-89000</v>
      </c>
      <c r="F59" s="24">
        <f>IF(C59=0,0,E59/C59)</f>
        <v>-6.8401555558971362E-4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130114000</v>
      </c>
      <c r="D61" s="27">
        <f>SUM(D59:D60)</f>
        <v>130025000</v>
      </c>
      <c r="E61" s="27">
        <f>D61-C61</f>
        <v>-89000</v>
      </c>
      <c r="F61" s="28">
        <f>IF(C61=0,0,E61/C61)</f>
        <v>-6.8401555558971362E-4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80178000</v>
      </c>
      <c r="D63" s="23">
        <v>91954000</v>
      </c>
      <c r="E63" s="23">
        <f>D63-C63</f>
        <v>11776000</v>
      </c>
      <c r="F63" s="24">
        <f>IF(C63=0,0,E63/C63)</f>
        <v>0.14687320711417096</v>
      </c>
    </row>
    <row r="64" spans="1:6" ht="24" customHeight="1" x14ac:dyDescent="0.2">
      <c r="A64" s="21">
        <v>4</v>
      </c>
      <c r="B64" s="22" t="s">
        <v>60</v>
      </c>
      <c r="C64" s="23">
        <v>41784000</v>
      </c>
      <c r="D64" s="23">
        <v>38799000</v>
      </c>
      <c r="E64" s="23">
        <f>D64-C64</f>
        <v>-2985000</v>
      </c>
      <c r="F64" s="24">
        <f>IF(C64=0,0,E64/C64)</f>
        <v>-7.1438828259620904E-2</v>
      </c>
    </row>
    <row r="65" spans="1:6" ht="24" customHeight="1" x14ac:dyDescent="0.25">
      <c r="A65" s="25"/>
      <c r="B65" s="26" t="s">
        <v>61</v>
      </c>
      <c r="C65" s="27">
        <f>SUM(C61:C64)</f>
        <v>252076000</v>
      </c>
      <c r="D65" s="27">
        <f>SUM(D61:D64)</f>
        <v>260778000</v>
      </c>
      <c r="E65" s="27">
        <f>D65-C65</f>
        <v>8702000</v>
      </c>
      <c r="F65" s="28">
        <f>IF(C65=0,0,E65/C65)</f>
        <v>3.4521334835525795E-2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82055000</v>
      </c>
      <c r="D70" s="23">
        <v>108504000</v>
      </c>
      <c r="E70" s="23">
        <f>D70-C70</f>
        <v>26449000</v>
      </c>
      <c r="F70" s="24">
        <f>IF(C70=0,0,E70/C70)</f>
        <v>0.32233258180488694</v>
      </c>
    </row>
    <row r="71" spans="1:6" ht="24" customHeight="1" x14ac:dyDescent="0.2">
      <c r="A71" s="21">
        <v>2</v>
      </c>
      <c r="B71" s="22" t="s">
        <v>65</v>
      </c>
      <c r="C71" s="23">
        <v>19495000</v>
      </c>
      <c r="D71" s="23">
        <v>18662000</v>
      </c>
      <c r="E71" s="23">
        <f>D71-C71</f>
        <v>-833000</v>
      </c>
      <c r="F71" s="24">
        <f>IF(C71=0,0,E71/C71)</f>
        <v>-4.2728904847396769E-2</v>
      </c>
    </row>
    <row r="72" spans="1:6" ht="24" customHeight="1" x14ac:dyDescent="0.2">
      <c r="A72" s="21">
        <v>3</v>
      </c>
      <c r="B72" s="22" t="s">
        <v>66</v>
      </c>
      <c r="C72" s="23">
        <v>8033000</v>
      </c>
      <c r="D72" s="23">
        <v>8033000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109583000</v>
      </c>
      <c r="D73" s="27">
        <f>SUM(D70:D72)</f>
        <v>135199000</v>
      </c>
      <c r="E73" s="27">
        <f>D73-C73</f>
        <v>25616000</v>
      </c>
      <c r="F73" s="28">
        <f>IF(C73=0,0,E73/C73)</f>
        <v>0.23375888595858846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428973000</v>
      </c>
      <c r="D75" s="27">
        <f>D56+D65+D67+D73</f>
        <v>478461000</v>
      </c>
      <c r="E75" s="27">
        <f>D75-C75</f>
        <v>49488000</v>
      </c>
      <c r="F75" s="28">
        <f>IF(C75=0,0,E75/C75)</f>
        <v>0.11536390402193145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415589837</v>
      </c>
      <c r="D11" s="51">
        <v>434344495</v>
      </c>
      <c r="E11" s="51">
        <v>475258979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66911271</v>
      </c>
      <c r="D12" s="49">
        <v>59243947</v>
      </c>
      <c r="E12" s="49">
        <v>38776834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482501108</v>
      </c>
      <c r="D13" s="51">
        <f>+D11+D12</f>
        <v>493588442</v>
      </c>
      <c r="E13" s="51">
        <f>+E11+E12</f>
        <v>514035813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457532316</v>
      </c>
      <c r="D14" s="49">
        <v>470884231</v>
      </c>
      <c r="E14" s="49">
        <v>486051034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24968792</v>
      </c>
      <c r="D15" s="51">
        <f>+D13-D14</f>
        <v>22704211</v>
      </c>
      <c r="E15" s="51">
        <f>+E13-E14</f>
        <v>27984779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-3299305</v>
      </c>
      <c r="D16" s="49">
        <v>4877409</v>
      </c>
      <c r="E16" s="49">
        <v>-724009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21669487</v>
      </c>
      <c r="D17" s="51">
        <f>D15+D16</f>
        <v>27581620</v>
      </c>
      <c r="E17" s="51">
        <f>E15+E16</f>
        <v>27260770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5.2104962551653838E-2</v>
      </c>
      <c r="D20" s="169">
        <f>IF(+D27=0,0,+D24/+D27)</f>
        <v>4.5548177381563498E-2</v>
      </c>
      <c r="E20" s="169">
        <f>IF(+E27=0,0,+E24/+E27)</f>
        <v>5.4518089749597889E-2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-6.8850012235867983E-3</v>
      </c>
      <c r="D21" s="169">
        <f>IF(+D27=0,0,+D26/+D27)</f>
        <v>9.7848408074799088E-3</v>
      </c>
      <c r="E21" s="169">
        <f>IF(+E27=0,0,+E26/+E27)</f>
        <v>-1.4104662981800434E-3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4.5219961328067042E-2</v>
      </c>
      <c r="D22" s="169">
        <f>IF(+D27=0,0,+D28/+D27)</f>
        <v>5.5333018189043404E-2</v>
      </c>
      <c r="E22" s="169">
        <f>IF(+E27=0,0,+E28/+E27)</f>
        <v>5.3107623451417847E-2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24968792</v>
      </c>
      <c r="D24" s="51">
        <f>+D15</f>
        <v>22704211</v>
      </c>
      <c r="E24" s="51">
        <f>+E15</f>
        <v>27984779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482501108</v>
      </c>
      <c r="D25" s="51">
        <f>+D13</f>
        <v>493588442</v>
      </c>
      <c r="E25" s="51">
        <f>+E13</f>
        <v>514035813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-3299305</v>
      </c>
      <c r="D26" s="51">
        <f>+D16</f>
        <v>4877409</v>
      </c>
      <c r="E26" s="51">
        <f>+E16</f>
        <v>-724009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479201803</v>
      </c>
      <c r="D27" s="51">
        <f>SUM(D25:D26)</f>
        <v>498465851</v>
      </c>
      <c r="E27" s="51">
        <f>SUM(E25:E26)</f>
        <v>513311804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21669487</v>
      </c>
      <c r="D28" s="51">
        <f>+D17</f>
        <v>27581620</v>
      </c>
      <c r="E28" s="51">
        <f>+E17</f>
        <v>27260770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137780000</v>
      </c>
      <c r="D31" s="51">
        <v>148882000</v>
      </c>
      <c r="E31" s="52">
        <v>169011000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168386000</v>
      </c>
      <c r="D32" s="51">
        <v>178818000</v>
      </c>
      <c r="E32" s="51">
        <v>198114000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-25342000</v>
      </c>
      <c r="D33" s="51">
        <f>+D32-C32</f>
        <v>10432000</v>
      </c>
      <c r="E33" s="51">
        <f>+E32-D32</f>
        <v>19296000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0.86909999999999998</v>
      </c>
      <c r="D34" s="171">
        <f>IF(C32=0,0,+D33/C32)</f>
        <v>6.1952893946052523E-2</v>
      </c>
      <c r="E34" s="171">
        <f>IF(D32=0,0,+E33/D32)</f>
        <v>0.10790859980538872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1.3216834354590614</v>
      </c>
      <c r="D38" s="269">
        <f>IF(+D40=0,0,+D39/+D40)</f>
        <v>1.6911983543417366</v>
      </c>
      <c r="E38" s="269">
        <f>IF(+E40=0,0,+E39/+E40)</f>
        <v>2.0702920751633989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104828000</v>
      </c>
      <c r="D39" s="270">
        <v>154562000</v>
      </c>
      <c r="E39" s="270">
        <v>202723000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79314000</v>
      </c>
      <c r="D40" s="270">
        <v>91392000</v>
      </c>
      <c r="E40" s="270">
        <v>97920000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28.782412789479693</v>
      </c>
      <c r="D42" s="271">
        <f>IF((D48/365)=0,0,+D45/(D48/365))</f>
        <v>69.102739855911324</v>
      </c>
      <c r="E42" s="271">
        <f>IF((E48/365)=0,0,+E45/(E48/365))</f>
        <v>95.519861722892287</v>
      </c>
    </row>
    <row r="43" spans="1:14" ht="24" customHeight="1" x14ac:dyDescent="0.2">
      <c r="A43" s="17">
        <v>5</v>
      </c>
      <c r="B43" s="188" t="s">
        <v>16</v>
      </c>
      <c r="C43" s="272">
        <v>33269000</v>
      </c>
      <c r="D43" s="272">
        <v>58541000</v>
      </c>
      <c r="E43" s="272">
        <v>94498000</v>
      </c>
    </row>
    <row r="44" spans="1:14" ht="24" customHeight="1" x14ac:dyDescent="0.2">
      <c r="A44" s="17">
        <v>6</v>
      </c>
      <c r="B44" s="273" t="s">
        <v>17</v>
      </c>
      <c r="C44" s="274">
        <v>166000</v>
      </c>
      <c r="D44" s="274">
        <v>24454000</v>
      </c>
      <c r="E44" s="274">
        <v>25033000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33435000</v>
      </c>
      <c r="D45" s="270">
        <f>+D43+D44</f>
        <v>82995000</v>
      </c>
      <c r="E45" s="270">
        <f>+E43+E44</f>
        <v>119531000</v>
      </c>
    </row>
    <row r="46" spans="1:14" ht="24" customHeight="1" x14ac:dyDescent="0.2">
      <c r="A46" s="17">
        <v>8</v>
      </c>
      <c r="B46" s="45" t="s">
        <v>324</v>
      </c>
      <c r="C46" s="270">
        <f>+C14</f>
        <v>457532316</v>
      </c>
      <c r="D46" s="270">
        <f>+D14</f>
        <v>470884231</v>
      </c>
      <c r="E46" s="270">
        <f>+E14</f>
        <v>486051034</v>
      </c>
    </row>
    <row r="47" spans="1:14" ht="24" customHeight="1" x14ac:dyDescent="0.2">
      <c r="A47" s="17">
        <v>9</v>
      </c>
      <c r="B47" s="45" t="s">
        <v>347</v>
      </c>
      <c r="C47" s="270">
        <v>33531205</v>
      </c>
      <c r="D47" s="270">
        <v>32505448</v>
      </c>
      <c r="E47" s="270">
        <v>29299797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424001111</v>
      </c>
      <c r="D48" s="270">
        <f>+D46-D47</f>
        <v>438378783</v>
      </c>
      <c r="E48" s="270">
        <f>+E46-E47</f>
        <v>456751237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35.409203233234983</v>
      </c>
      <c r="D50" s="278">
        <f>IF((D55/365)=0,0,+D54/(D55/365))</f>
        <v>38.903854416296909</v>
      </c>
      <c r="E50" s="278">
        <f>IF((E55/365)=0,0,+E54/(E55/365))</f>
        <v>42.064255244717849</v>
      </c>
    </row>
    <row r="51" spans="1:5" ht="24" customHeight="1" x14ac:dyDescent="0.2">
      <c r="A51" s="17">
        <v>12</v>
      </c>
      <c r="B51" s="188" t="s">
        <v>350</v>
      </c>
      <c r="C51" s="279">
        <v>51211000</v>
      </c>
      <c r="D51" s="279">
        <v>51581000</v>
      </c>
      <c r="E51" s="279">
        <v>62433000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3941000</v>
      </c>
      <c r="E52" s="270">
        <v>2592000</v>
      </c>
    </row>
    <row r="53" spans="1:5" ht="24" customHeight="1" x14ac:dyDescent="0.2">
      <c r="A53" s="17">
        <v>14</v>
      </c>
      <c r="B53" s="188" t="s">
        <v>49</v>
      </c>
      <c r="C53" s="270">
        <v>10894000</v>
      </c>
      <c r="D53" s="270">
        <v>9227000</v>
      </c>
      <c r="E53" s="270">
        <v>10254000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40317000</v>
      </c>
      <c r="D54" s="280">
        <f>+D51+D52-D53</f>
        <v>46295000</v>
      </c>
      <c r="E54" s="280">
        <f>+E51+E52-E53</f>
        <v>54771000</v>
      </c>
    </row>
    <row r="55" spans="1:5" ht="24" customHeight="1" x14ac:dyDescent="0.2">
      <c r="A55" s="17">
        <v>16</v>
      </c>
      <c r="B55" s="45" t="s">
        <v>75</v>
      </c>
      <c r="C55" s="270">
        <f>+C11</f>
        <v>415589837</v>
      </c>
      <c r="D55" s="270">
        <f>+D11</f>
        <v>434344495</v>
      </c>
      <c r="E55" s="270">
        <f>+E11</f>
        <v>475258979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68.277203169875648</v>
      </c>
      <c r="D57" s="283">
        <f>IF((D61/365)=0,0,+D58/(D61/365))</f>
        <v>76.094193637104013</v>
      </c>
      <c r="E57" s="283">
        <f>IF((E61/365)=0,0,+E58/(E61/365))</f>
        <v>78.250034383595988</v>
      </c>
    </row>
    <row r="58" spans="1:5" ht="24" customHeight="1" x14ac:dyDescent="0.2">
      <c r="A58" s="17">
        <v>18</v>
      </c>
      <c r="B58" s="45" t="s">
        <v>54</v>
      </c>
      <c r="C58" s="281">
        <f>+C40</f>
        <v>79314000</v>
      </c>
      <c r="D58" s="281">
        <f>+D40</f>
        <v>91392000</v>
      </c>
      <c r="E58" s="281">
        <f>+E40</f>
        <v>97920000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457532316</v>
      </c>
      <c r="D59" s="281">
        <f t="shared" si="0"/>
        <v>470884231</v>
      </c>
      <c r="E59" s="281">
        <f t="shared" si="0"/>
        <v>486051034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33531205</v>
      </c>
      <c r="D60" s="176">
        <f t="shared" si="0"/>
        <v>32505448</v>
      </c>
      <c r="E60" s="176">
        <f t="shared" si="0"/>
        <v>29299797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424001111</v>
      </c>
      <c r="D61" s="281">
        <f>+D59-D60</f>
        <v>438378783</v>
      </c>
      <c r="E61" s="281">
        <f>+E59-E60</f>
        <v>456751237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29.510339992989838</v>
      </c>
      <c r="D65" s="284">
        <f>IF(D67=0,0,(D66/D67)*100)</f>
        <v>28.477604809491581</v>
      </c>
      <c r="E65" s="284">
        <f>IF(E67=0,0,(E66/E67)*100)</f>
        <v>29.220052300344985</v>
      </c>
    </row>
    <row r="66" spans="1:5" ht="24" customHeight="1" x14ac:dyDescent="0.2">
      <c r="A66" s="17">
        <v>2</v>
      </c>
      <c r="B66" s="45" t="s">
        <v>67</v>
      </c>
      <c r="C66" s="281">
        <f>+C32</f>
        <v>168386000</v>
      </c>
      <c r="D66" s="281">
        <f>+D32</f>
        <v>178818000</v>
      </c>
      <c r="E66" s="281">
        <f>+E32</f>
        <v>198114000</v>
      </c>
    </row>
    <row r="67" spans="1:5" ht="24" customHeight="1" x14ac:dyDescent="0.2">
      <c r="A67" s="17">
        <v>3</v>
      </c>
      <c r="B67" s="45" t="s">
        <v>43</v>
      </c>
      <c r="C67" s="281">
        <v>570600000</v>
      </c>
      <c r="D67" s="281">
        <v>627925000</v>
      </c>
      <c r="E67" s="281">
        <v>678007000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26.181194359730792</v>
      </c>
      <c r="D69" s="284">
        <f>IF(D75=0,0,(D72/D75)*100)</f>
        <v>25.190042551407547</v>
      </c>
      <c r="E69" s="284">
        <f>IF(E75=0,0,(E72/E75)*100)</f>
        <v>22.642250031024698</v>
      </c>
    </row>
    <row r="70" spans="1:5" ht="24" customHeight="1" x14ac:dyDescent="0.2">
      <c r="A70" s="17">
        <v>5</v>
      </c>
      <c r="B70" s="45" t="s">
        <v>358</v>
      </c>
      <c r="C70" s="281">
        <f>+C28</f>
        <v>21669487</v>
      </c>
      <c r="D70" s="281">
        <f>+D28</f>
        <v>27581620</v>
      </c>
      <c r="E70" s="281">
        <f>+E28</f>
        <v>27260770</v>
      </c>
    </row>
    <row r="71" spans="1:5" ht="24" customHeight="1" x14ac:dyDescent="0.2">
      <c r="A71" s="17">
        <v>6</v>
      </c>
      <c r="B71" s="45" t="s">
        <v>347</v>
      </c>
      <c r="C71" s="176">
        <f>+C47</f>
        <v>33531205</v>
      </c>
      <c r="D71" s="176">
        <f>+D47</f>
        <v>32505448</v>
      </c>
      <c r="E71" s="176">
        <f>+E47</f>
        <v>29299797</v>
      </c>
    </row>
    <row r="72" spans="1:5" ht="24" customHeight="1" x14ac:dyDescent="0.2">
      <c r="A72" s="17">
        <v>7</v>
      </c>
      <c r="B72" s="45" t="s">
        <v>359</v>
      </c>
      <c r="C72" s="281">
        <f>+C70+C71</f>
        <v>55200692</v>
      </c>
      <c r="D72" s="281">
        <f>+D70+D71</f>
        <v>60087068</v>
      </c>
      <c r="E72" s="281">
        <f>+E70+E71</f>
        <v>56560567</v>
      </c>
    </row>
    <row r="73" spans="1:5" ht="24" customHeight="1" x14ac:dyDescent="0.2">
      <c r="A73" s="17">
        <v>8</v>
      </c>
      <c r="B73" s="45" t="s">
        <v>54</v>
      </c>
      <c r="C73" s="270">
        <f>+C40</f>
        <v>79314000</v>
      </c>
      <c r="D73" s="270">
        <f>+D40</f>
        <v>91392000</v>
      </c>
      <c r="E73" s="270">
        <f>+E40</f>
        <v>97920000</v>
      </c>
    </row>
    <row r="74" spans="1:5" ht="24" customHeight="1" x14ac:dyDescent="0.2">
      <c r="A74" s="17">
        <v>9</v>
      </c>
      <c r="B74" s="45" t="s">
        <v>58</v>
      </c>
      <c r="C74" s="281">
        <v>131527000</v>
      </c>
      <c r="D74" s="281">
        <v>147143000</v>
      </c>
      <c r="E74" s="281">
        <v>151881000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210841000</v>
      </c>
      <c r="D75" s="270">
        <f>+D73+D74</f>
        <v>238535000</v>
      </c>
      <c r="E75" s="270">
        <f>+E73+E74</f>
        <v>249801000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43.855051298209816</v>
      </c>
      <c r="D77" s="286">
        <f>IF(D80=0,0,(D78/D80)*100)</f>
        <v>45.141289908915482</v>
      </c>
      <c r="E77" s="286">
        <f>IF(E80=0,0,(E78/E80)*100)</f>
        <v>43.39519135987657</v>
      </c>
    </row>
    <row r="78" spans="1:5" ht="24" customHeight="1" x14ac:dyDescent="0.2">
      <c r="A78" s="17">
        <v>12</v>
      </c>
      <c r="B78" s="45" t="s">
        <v>58</v>
      </c>
      <c r="C78" s="270">
        <f>+C74</f>
        <v>131527000</v>
      </c>
      <c r="D78" s="270">
        <f>+D74</f>
        <v>147143000</v>
      </c>
      <c r="E78" s="270">
        <f>+E74</f>
        <v>151881000</v>
      </c>
    </row>
    <row r="79" spans="1:5" ht="24" customHeight="1" x14ac:dyDescent="0.2">
      <c r="A79" s="17">
        <v>13</v>
      </c>
      <c r="B79" s="45" t="s">
        <v>67</v>
      </c>
      <c r="C79" s="270">
        <f>+C32</f>
        <v>168386000</v>
      </c>
      <c r="D79" s="270">
        <f>+D32</f>
        <v>178818000</v>
      </c>
      <c r="E79" s="270">
        <f>+E32</f>
        <v>198114000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299913000</v>
      </c>
      <c r="D80" s="270">
        <f>+D78+D79</f>
        <v>325961000</v>
      </c>
      <c r="E80" s="270">
        <f>+E78+E79</f>
        <v>349995000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FILING&amp;R&amp;8STAMFORD HEALTH SYSTEM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>
      <selection activeCell="B2" sqref="B2"/>
    </sheetView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44938</v>
      </c>
      <c r="D11" s="296">
        <v>8731</v>
      </c>
      <c r="E11" s="296">
        <v>8296</v>
      </c>
      <c r="F11" s="297">
        <v>180</v>
      </c>
      <c r="G11" s="297">
        <v>183</v>
      </c>
      <c r="H11" s="298">
        <f>IF(F11=0,0,$C11/(F11*365))</f>
        <v>0.68398782343987818</v>
      </c>
      <c r="I11" s="298">
        <f>IF(G11=0,0,$C11/(G11*365))</f>
        <v>0.67277490830151954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1683</v>
      </c>
      <c r="D13" s="296">
        <v>168</v>
      </c>
      <c r="E13" s="296">
        <v>0</v>
      </c>
      <c r="F13" s="297">
        <v>5</v>
      </c>
      <c r="G13" s="297">
        <v>16</v>
      </c>
      <c r="H13" s="298">
        <f>IF(F13=0,0,$C13/(F13*365))</f>
        <v>0.92219178082191777</v>
      </c>
      <c r="I13" s="298">
        <f>IF(G13=0,0,$C13/(G13*365))</f>
        <v>0.28818493150684932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5033</v>
      </c>
      <c r="D16" s="296">
        <v>579</v>
      </c>
      <c r="E16" s="296">
        <v>573</v>
      </c>
      <c r="F16" s="297">
        <v>17</v>
      </c>
      <c r="G16" s="297">
        <v>20</v>
      </c>
      <c r="H16" s="298">
        <f t="shared" si="0"/>
        <v>0.81112006446414187</v>
      </c>
      <c r="I16" s="298">
        <f t="shared" si="0"/>
        <v>0.68945205479452054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5033</v>
      </c>
      <c r="D17" s="300">
        <f>SUM(D15:D16)</f>
        <v>579</v>
      </c>
      <c r="E17" s="300">
        <f>SUM(E15:E16)</f>
        <v>573</v>
      </c>
      <c r="F17" s="300">
        <f>SUM(F15:F16)</f>
        <v>17</v>
      </c>
      <c r="G17" s="300">
        <f>SUM(G15:G16)</f>
        <v>20</v>
      </c>
      <c r="H17" s="301">
        <f t="shared" si="0"/>
        <v>0.81112006446414187</v>
      </c>
      <c r="I17" s="301">
        <f t="shared" si="0"/>
        <v>0.68945205479452054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4144</v>
      </c>
      <c r="D19" s="296">
        <v>362</v>
      </c>
      <c r="E19" s="296">
        <v>361</v>
      </c>
      <c r="F19" s="297">
        <v>14</v>
      </c>
      <c r="G19" s="297">
        <v>17</v>
      </c>
      <c r="H19" s="298">
        <f>IF(F19=0,0,$C19/(F19*365))</f>
        <v>0.81095890410958904</v>
      </c>
      <c r="I19" s="298">
        <f>IF(G19=0,0,$C19/(G19*365))</f>
        <v>0.66784850926672035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8661</v>
      </c>
      <c r="D21" s="296">
        <v>2578</v>
      </c>
      <c r="E21" s="296">
        <v>2463</v>
      </c>
      <c r="F21" s="297">
        <v>26</v>
      </c>
      <c r="G21" s="297">
        <v>32</v>
      </c>
      <c r="H21" s="298">
        <f>IF(F21=0,0,$C21/(F21*365))</f>
        <v>0.9126448893572181</v>
      </c>
      <c r="I21" s="298">
        <f>IF(G21=0,0,$C21/(G21*365))</f>
        <v>0.74152397260273972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6453</v>
      </c>
      <c r="D23" s="296">
        <v>2072</v>
      </c>
      <c r="E23" s="296">
        <v>2271</v>
      </c>
      <c r="F23" s="297">
        <v>18</v>
      </c>
      <c r="G23" s="297">
        <v>25</v>
      </c>
      <c r="H23" s="298">
        <f>IF(F23=0,0,$C23/(F23*365))</f>
        <v>0.98219178082191783</v>
      </c>
      <c r="I23" s="298">
        <f>IF(G23=0,0,$C23/(G23*365))</f>
        <v>0.7071780821917808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2438</v>
      </c>
      <c r="D25" s="296">
        <v>198</v>
      </c>
      <c r="E25" s="296">
        <v>0</v>
      </c>
      <c r="F25" s="297">
        <v>7</v>
      </c>
      <c r="G25" s="297">
        <v>16</v>
      </c>
      <c r="H25" s="298">
        <f>IF(F25=0,0,$C25/(F25*365))</f>
        <v>0.95420743639921723</v>
      </c>
      <c r="I25" s="298">
        <f>IF(G25=0,0,$C25/(G25*365))</f>
        <v>0.41746575342465753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1092</v>
      </c>
      <c r="D27" s="296">
        <v>420</v>
      </c>
      <c r="E27" s="296">
        <v>490</v>
      </c>
      <c r="F27" s="297">
        <v>4</v>
      </c>
      <c r="G27" s="297">
        <v>13</v>
      </c>
      <c r="H27" s="298">
        <f>IF(F27=0,0,$C27/(F27*365))</f>
        <v>0.74794520547945209</v>
      </c>
      <c r="I27" s="298">
        <f>IF(G27=0,0,$C27/(G27*365))</f>
        <v>0.23013698630136986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67989</v>
      </c>
      <c r="D31" s="300">
        <f>SUM(D10:D29)-D13-D17-D23</f>
        <v>12868</v>
      </c>
      <c r="E31" s="300">
        <f>SUM(E10:E29)-E17-E23</f>
        <v>12183</v>
      </c>
      <c r="F31" s="300">
        <f>SUM(F10:F29)-F17-F23</f>
        <v>253</v>
      </c>
      <c r="G31" s="300">
        <f>SUM(G10:G29)-G17-G23</f>
        <v>297</v>
      </c>
      <c r="H31" s="301">
        <f>IF(F31=0,0,$C31/(F31*365))</f>
        <v>0.73624993231902103</v>
      </c>
      <c r="I31" s="301">
        <f>IF(G31=0,0,$C31/(G31*365))</f>
        <v>0.62717586827175864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74442</v>
      </c>
      <c r="D33" s="300">
        <f>SUM(D10:D29)-D13-D17</f>
        <v>14940</v>
      </c>
      <c r="E33" s="300">
        <f>SUM(E10:E29)-E17</f>
        <v>14454</v>
      </c>
      <c r="F33" s="300">
        <f>SUM(F10:F29)-F17</f>
        <v>271</v>
      </c>
      <c r="G33" s="300">
        <f>SUM(G10:G29)-G17</f>
        <v>322</v>
      </c>
      <c r="H33" s="301">
        <f>IF(F33=0,0,$C33/(F33*365))</f>
        <v>0.75258555325279275</v>
      </c>
      <c r="I33" s="301">
        <f>IF(G33=0,0,$C33/(G33*365))</f>
        <v>0.63338722028418282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74442</v>
      </c>
      <c r="D36" s="300">
        <f t="shared" si="1"/>
        <v>14940</v>
      </c>
      <c r="E36" s="300">
        <f t="shared" si="1"/>
        <v>14454</v>
      </c>
      <c r="F36" s="300">
        <f t="shared" si="1"/>
        <v>271</v>
      </c>
      <c r="G36" s="300">
        <f t="shared" si="1"/>
        <v>322</v>
      </c>
      <c r="H36" s="301">
        <f t="shared" si="1"/>
        <v>0.75258555325279275</v>
      </c>
      <c r="I36" s="301">
        <f t="shared" si="1"/>
        <v>0.63338722028418282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76225</v>
      </c>
      <c r="D37" s="300">
        <v>0</v>
      </c>
      <c r="E37" s="300">
        <v>0</v>
      </c>
      <c r="F37" s="302">
        <v>269</v>
      </c>
      <c r="G37" s="302">
        <v>322</v>
      </c>
      <c r="H37" s="301">
        <f>IF(F37=0,0,$C37/(F37*365))</f>
        <v>0.77634058155522734</v>
      </c>
      <c r="I37" s="301">
        <f>IF(G37=0,0,$C37/(G37*365))</f>
        <v>0.64855781502595078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-1783</v>
      </c>
      <c r="D38" s="300">
        <f t="shared" si="2"/>
        <v>14940</v>
      </c>
      <c r="E38" s="300">
        <f t="shared" si="2"/>
        <v>14454</v>
      </c>
      <c r="F38" s="300">
        <f t="shared" si="2"/>
        <v>2</v>
      </c>
      <c r="G38" s="300">
        <f t="shared" si="2"/>
        <v>0</v>
      </c>
      <c r="H38" s="301">
        <f t="shared" si="2"/>
        <v>-2.3755028302434589E-2</v>
      </c>
      <c r="I38" s="301">
        <f t="shared" si="2"/>
        <v>-1.5170594741767962E-2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-2.3391275828140375E-2</v>
      </c>
      <c r="D40" s="148">
        <f t="shared" si="3"/>
        <v>0</v>
      </c>
      <c r="E40" s="148">
        <f t="shared" si="3"/>
        <v>0</v>
      </c>
      <c r="F40" s="148">
        <f t="shared" si="3"/>
        <v>7.4349442379182153E-3</v>
      </c>
      <c r="G40" s="148">
        <f t="shared" si="3"/>
        <v>0</v>
      </c>
      <c r="H40" s="148">
        <f t="shared" si="3"/>
        <v>-3.0598720286973306E-2</v>
      </c>
      <c r="I40" s="148">
        <f t="shared" si="3"/>
        <v>-2.3391275828140226E-2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330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FILING&amp;RSTAMFORD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10916</v>
      </c>
      <c r="D12" s="296">
        <v>10517</v>
      </c>
      <c r="E12" s="296">
        <f>+D12-C12</f>
        <v>-399</v>
      </c>
      <c r="F12" s="316">
        <f>IF(C12=0,0,+E12/C12)</f>
        <v>-3.6551850494686698E-2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24619</v>
      </c>
      <c r="D13" s="296">
        <v>24214</v>
      </c>
      <c r="E13" s="296">
        <f>+D13-C13</f>
        <v>-405</v>
      </c>
      <c r="F13" s="316">
        <f>IF(C13=0,0,+E13/C13)</f>
        <v>-1.6450708802144685E-2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0</v>
      </c>
      <c r="D14" s="296">
        <v>0</v>
      </c>
      <c r="E14" s="296">
        <f>+D14-C14</f>
        <v>0</v>
      </c>
      <c r="F14" s="316">
        <f>IF(C14=0,0,+E14/C14)</f>
        <v>0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35535</v>
      </c>
      <c r="D16" s="300">
        <f>SUM(D12:D15)</f>
        <v>34731</v>
      </c>
      <c r="E16" s="300">
        <f>+D16-C16</f>
        <v>-804</v>
      </c>
      <c r="F16" s="309">
        <f>IF(C16=0,0,+E16/C16)</f>
        <v>-2.2625580413676658E-2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2437</v>
      </c>
      <c r="D19" s="296">
        <v>2819</v>
      </c>
      <c r="E19" s="296">
        <f>+D19-C19</f>
        <v>382</v>
      </c>
      <c r="F19" s="316">
        <f>IF(C19=0,0,+E19/C19)</f>
        <v>0.15675010258514568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10183</v>
      </c>
      <c r="D20" s="296">
        <v>10951</v>
      </c>
      <c r="E20" s="296">
        <f>+D20-C20</f>
        <v>768</v>
      </c>
      <c r="F20" s="316">
        <f>IF(C20=0,0,+E20/C20)</f>
        <v>7.5419817342629869E-2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12620</v>
      </c>
      <c r="D23" s="300">
        <f>SUM(D19:D22)</f>
        <v>13770</v>
      </c>
      <c r="E23" s="300">
        <f>+D23-C23</f>
        <v>1150</v>
      </c>
      <c r="F23" s="309">
        <f>IF(C23=0,0,+E23/C23)</f>
        <v>9.1125198098256741E-2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372</v>
      </c>
      <c r="D34" s="296">
        <v>385</v>
      </c>
      <c r="E34" s="296">
        <f>+D34-C34</f>
        <v>13</v>
      </c>
      <c r="F34" s="316">
        <f>IF(C34=0,0,+E34/C34)</f>
        <v>3.4946236559139782E-2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372</v>
      </c>
      <c r="D37" s="300">
        <f>SUM(D33:D36)</f>
        <v>385</v>
      </c>
      <c r="E37" s="300">
        <f>+D37-C37</f>
        <v>13</v>
      </c>
      <c r="F37" s="309">
        <f>IF(C37=0,0,+E37/C37)</f>
        <v>3.4946236559139782E-2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339</v>
      </c>
      <c r="D48" s="296">
        <v>305</v>
      </c>
      <c r="E48" s="296">
        <f>+D48-C48</f>
        <v>-34</v>
      </c>
      <c r="F48" s="316">
        <f>IF(C48=0,0,+E48/C48)</f>
        <v>-0.10029498525073746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357</v>
      </c>
      <c r="D49" s="296">
        <v>365</v>
      </c>
      <c r="E49" s="296">
        <f>+D49-C49</f>
        <v>8</v>
      </c>
      <c r="F49" s="316">
        <f>IF(C49=0,0,+E49/C49)</f>
        <v>2.2408963585434174E-2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696</v>
      </c>
      <c r="D50" s="300">
        <f>SUM(D48:D49)</f>
        <v>670</v>
      </c>
      <c r="E50" s="300">
        <f>+D50-C50</f>
        <v>-26</v>
      </c>
      <c r="F50" s="309">
        <f>IF(C50=0,0,+E50/C50)</f>
        <v>-3.7356321839080463E-2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55</v>
      </c>
      <c r="D53" s="296">
        <v>60</v>
      </c>
      <c r="E53" s="296">
        <f>+D53-C53</f>
        <v>5</v>
      </c>
      <c r="F53" s="316">
        <f>IF(C53=0,0,+E53/C53)</f>
        <v>9.0909090909090912E-2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224</v>
      </c>
      <c r="D54" s="296">
        <v>194</v>
      </c>
      <c r="E54" s="296">
        <f>+D54-C54</f>
        <v>-30</v>
      </c>
      <c r="F54" s="316">
        <f>IF(C54=0,0,+E54/C54)</f>
        <v>-0.13392857142857142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279</v>
      </c>
      <c r="D55" s="300">
        <f>SUM(D53:D54)</f>
        <v>254</v>
      </c>
      <c r="E55" s="300">
        <f>+D55-C55</f>
        <v>-25</v>
      </c>
      <c r="F55" s="309">
        <f>IF(C55=0,0,+E55/C55)</f>
        <v>-8.9605734767025089E-2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3149</v>
      </c>
      <c r="D63" s="296">
        <v>2918</v>
      </c>
      <c r="E63" s="296">
        <f>+D63-C63</f>
        <v>-231</v>
      </c>
      <c r="F63" s="316">
        <f>IF(C63=0,0,+E63/C63)</f>
        <v>-7.3356621149571297E-2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9164</v>
      </c>
      <c r="D64" s="296">
        <v>9335</v>
      </c>
      <c r="E64" s="296">
        <f>+D64-C64</f>
        <v>171</v>
      </c>
      <c r="F64" s="316">
        <f>IF(C64=0,0,+E64/C64)</f>
        <v>1.8659973810563071E-2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12313</v>
      </c>
      <c r="D65" s="300">
        <f>SUM(D63:D64)</f>
        <v>12253</v>
      </c>
      <c r="E65" s="300">
        <f>+D65-C65</f>
        <v>-60</v>
      </c>
      <c r="F65" s="309">
        <f>IF(C65=0,0,+E65/C65)</f>
        <v>-4.8728985624949244E-3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522</v>
      </c>
      <c r="D68" s="296">
        <v>488</v>
      </c>
      <c r="E68" s="296">
        <f>+D68-C68</f>
        <v>-34</v>
      </c>
      <c r="F68" s="316">
        <f>IF(C68=0,0,+E68/C68)</f>
        <v>-6.5134099616858232E-2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6436</v>
      </c>
      <c r="D69" s="296">
        <v>6070</v>
      </c>
      <c r="E69" s="296">
        <f>+D69-C69</f>
        <v>-366</v>
      </c>
      <c r="F69" s="318">
        <f>IF(C69=0,0,+E69/C69)</f>
        <v>-5.6867619639527654E-2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6958</v>
      </c>
      <c r="D70" s="300">
        <f>SUM(D68:D69)</f>
        <v>6558</v>
      </c>
      <c r="E70" s="300">
        <f>+D70-C70</f>
        <v>-400</v>
      </c>
      <c r="F70" s="309">
        <f>IF(C70=0,0,+E70/C70)</f>
        <v>-5.7487783845932741E-2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8068</v>
      </c>
      <c r="D73" s="319">
        <v>8175</v>
      </c>
      <c r="E73" s="296">
        <f>+D73-C73</f>
        <v>107</v>
      </c>
      <c r="F73" s="316">
        <f>IF(C73=0,0,+E73/C73)</f>
        <v>1.3262270699058007E-2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39642</v>
      </c>
      <c r="D74" s="319">
        <v>40316</v>
      </c>
      <c r="E74" s="296">
        <f>+D74-C74</f>
        <v>674</v>
      </c>
      <c r="F74" s="316">
        <f>IF(C74=0,0,+E74/C74)</f>
        <v>1.7002169416275668E-2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47710</v>
      </c>
      <c r="D75" s="300">
        <f>SUM(D73:D74)</f>
        <v>48491</v>
      </c>
      <c r="E75" s="300">
        <f>SUM(E73:E74)</f>
        <v>781</v>
      </c>
      <c r="F75" s="309">
        <f>IF(C75=0,0,+E75/C75)</f>
        <v>1.6369733808425907E-2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15927</v>
      </c>
      <c r="D83" s="319">
        <v>17352</v>
      </c>
      <c r="E83" s="296">
        <f t="shared" si="0"/>
        <v>1425</v>
      </c>
      <c r="F83" s="316">
        <f t="shared" si="1"/>
        <v>8.9470710114899224E-2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15927</v>
      </c>
      <c r="D84" s="320">
        <f>SUM(D79:D83)</f>
        <v>17352</v>
      </c>
      <c r="E84" s="300">
        <f t="shared" si="0"/>
        <v>1425</v>
      </c>
      <c r="F84" s="309">
        <f t="shared" si="1"/>
        <v>8.9470710114899224E-2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34021</v>
      </c>
      <c r="D87" s="322">
        <v>33033</v>
      </c>
      <c r="E87" s="323">
        <f t="shared" ref="E87:E92" si="2">+D87-C87</f>
        <v>-988</v>
      </c>
      <c r="F87" s="318">
        <f t="shared" ref="F87:F92" si="3">IF(C87=0,0,+E87/C87)</f>
        <v>-2.904088651127245E-2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7490</v>
      </c>
      <c r="D88" s="322">
        <v>6881</v>
      </c>
      <c r="E88" s="296">
        <f t="shared" si="2"/>
        <v>-609</v>
      </c>
      <c r="F88" s="316">
        <f t="shared" si="3"/>
        <v>-8.1308411214953275E-2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268311</v>
      </c>
      <c r="D91" s="322">
        <v>275807</v>
      </c>
      <c r="E91" s="296">
        <f t="shared" si="2"/>
        <v>7496</v>
      </c>
      <c r="F91" s="316">
        <f t="shared" si="3"/>
        <v>2.7937728978685183E-2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309822</v>
      </c>
      <c r="D92" s="320">
        <f>SUM(D87:D91)</f>
        <v>315721</v>
      </c>
      <c r="E92" s="300">
        <f t="shared" si="2"/>
        <v>5899</v>
      </c>
      <c r="F92" s="309">
        <f t="shared" si="3"/>
        <v>1.9039964883061887E-2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600.9</v>
      </c>
      <c r="D96" s="325">
        <v>599.4</v>
      </c>
      <c r="E96" s="326">
        <f>+D96-C96</f>
        <v>-1.5</v>
      </c>
      <c r="F96" s="316">
        <f>IF(C96=0,0,+E96/C96)</f>
        <v>-2.4962556165751375E-3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111.2</v>
      </c>
      <c r="D97" s="325">
        <v>117.3</v>
      </c>
      <c r="E97" s="326">
        <f>+D97-C97</f>
        <v>6.0999999999999943</v>
      </c>
      <c r="F97" s="316">
        <f>IF(C97=0,0,+E97/C97)</f>
        <v>5.4856115107913619E-2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1339.7</v>
      </c>
      <c r="D98" s="325">
        <v>1372.7</v>
      </c>
      <c r="E98" s="326">
        <f>+D98-C98</f>
        <v>33</v>
      </c>
      <c r="F98" s="316">
        <f>IF(C98=0,0,+E98/C98)</f>
        <v>2.4632380383667985E-2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2051.8000000000002</v>
      </c>
      <c r="D99" s="327">
        <f>SUM(D96:D98)</f>
        <v>2089.4</v>
      </c>
      <c r="E99" s="327">
        <f>+D99-C99</f>
        <v>37.599999999999909</v>
      </c>
      <c r="F99" s="309">
        <f>IF(C99=0,0,+E99/C99)</f>
        <v>1.8325372843357005E-2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2518</v>
      </c>
      <c r="D12" s="296">
        <v>2653</v>
      </c>
      <c r="E12" s="296">
        <f>+D12-C12</f>
        <v>135</v>
      </c>
      <c r="F12" s="316">
        <f>IF(C12=0,0,+E12/C12)</f>
        <v>5.3613979348689438E-2</v>
      </c>
    </row>
    <row r="13" spans="1:16" ht="15.75" customHeight="1" x14ac:dyDescent="0.2">
      <c r="A13" s="294">
        <v>2</v>
      </c>
      <c r="B13" s="295" t="s">
        <v>589</v>
      </c>
      <c r="C13" s="296">
        <v>6646</v>
      </c>
      <c r="D13" s="296">
        <v>6682</v>
      </c>
      <c r="E13" s="296">
        <f>+D13-C13</f>
        <v>36</v>
      </c>
      <c r="F13" s="316">
        <f>IF(C13=0,0,+E13/C13)</f>
        <v>5.4167920553716518E-3</v>
      </c>
    </row>
    <row r="14" spans="1:16" ht="15.75" customHeight="1" x14ac:dyDescent="0.25">
      <c r="A14" s="294"/>
      <c r="B14" s="135" t="s">
        <v>590</v>
      </c>
      <c r="C14" s="300">
        <f>SUM(C11:C13)</f>
        <v>9164</v>
      </c>
      <c r="D14" s="300">
        <f>SUM(D11:D13)</f>
        <v>9335</v>
      </c>
      <c r="E14" s="300">
        <f>+D14-C14</f>
        <v>171</v>
      </c>
      <c r="F14" s="309">
        <f>IF(C14=0,0,+E14/C14)</f>
        <v>1.8659973810563071E-2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588</v>
      </c>
      <c r="C17" s="296">
        <v>131</v>
      </c>
      <c r="D17" s="296">
        <v>113</v>
      </c>
      <c r="E17" s="296">
        <f>+D17-C17</f>
        <v>-18</v>
      </c>
      <c r="F17" s="316">
        <f>IF(C17=0,0,+E17/C17)</f>
        <v>-0.13740458015267176</v>
      </c>
    </row>
    <row r="18" spans="1:6" ht="15.75" customHeight="1" x14ac:dyDescent="0.2">
      <c r="A18" s="294">
        <v>2</v>
      </c>
      <c r="B18" s="295" t="s">
        <v>589</v>
      </c>
      <c r="C18" s="296">
        <v>6305</v>
      </c>
      <c r="D18" s="296">
        <v>5957</v>
      </c>
      <c r="E18" s="296">
        <f>+D18-C18</f>
        <v>-348</v>
      </c>
      <c r="F18" s="316">
        <f>IF(C18=0,0,+E18/C18)</f>
        <v>-5.5194290245836636E-2</v>
      </c>
    </row>
    <row r="19" spans="1:6" ht="15.75" customHeight="1" x14ac:dyDescent="0.25">
      <c r="A19" s="294"/>
      <c r="B19" s="135" t="s">
        <v>591</v>
      </c>
      <c r="C19" s="300">
        <f>SUM(C16:C18)</f>
        <v>6436</v>
      </c>
      <c r="D19" s="300">
        <f>SUM(D16:D18)</f>
        <v>6070</v>
      </c>
      <c r="E19" s="300">
        <f>+D19-C19</f>
        <v>-366</v>
      </c>
      <c r="F19" s="309">
        <f>IF(C19=0,0,+E19/C19)</f>
        <v>-5.6867619639527654E-2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592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588</v>
      </c>
      <c r="C22" s="296">
        <v>39642</v>
      </c>
      <c r="D22" s="296">
        <v>40316</v>
      </c>
      <c r="E22" s="296">
        <f>+D22-C22</f>
        <v>674</v>
      </c>
      <c r="F22" s="316">
        <f>IF(C22=0,0,+E22/C22)</f>
        <v>1.7002169416275668E-2</v>
      </c>
    </row>
    <row r="23" spans="1:6" ht="15.75" customHeight="1" x14ac:dyDescent="0.25">
      <c r="A23" s="294"/>
      <c r="B23" s="135" t="s">
        <v>593</v>
      </c>
      <c r="C23" s="300">
        <f>SUM(C21:C22)</f>
        <v>39642</v>
      </c>
      <c r="D23" s="300">
        <f>SUM(D21:D22)</f>
        <v>40316</v>
      </c>
      <c r="E23" s="300">
        <f>+D23-C23</f>
        <v>674</v>
      </c>
      <c r="F23" s="309">
        <f>IF(C23=0,0,+E23/C23)</f>
        <v>1.7002169416275668E-2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596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FILING&amp;RSTAMFORD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597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598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599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600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601</v>
      </c>
      <c r="D7" s="341" t="s">
        <v>601</v>
      </c>
      <c r="E7" s="341" t="s">
        <v>602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603</v>
      </c>
      <c r="D8" s="344" t="s">
        <v>604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605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606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607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608</v>
      </c>
      <c r="C15" s="361">
        <v>280073467</v>
      </c>
      <c r="D15" s="361">
        <v>274144530</v>
      </c>
      <c r="E15" s="361">
        <f t="shared" ref="E15:E24" si="0">D15-C15</f>
        <v>-5928937</v>
      </c>
      <c r="F15" s="362">
        <f t="shared" ref="F15:F24" si="1">IF(C15=0,0,E15/C15)</f>
        <v>-2.1169220574543037E-2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609</v>
      </c>
      <c r="C16" s="361">
        <v>76479069</v>
      </c>
      <c r="D16" s="361">
        <v>65375752</v>
      </c>
      <c r="E16" s="361">
        <f t="shared" si="0"/>
        <v>-11103317</v>
      </c>
      <c r="F16" s="362">
        <f t="shared" si="1"/>
        <v>-0.14518112138629721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610</v>
      </c>
      <c r="C17" s="366">
        <f>IF(C15=0,0,C16/C15)</f>
        <v>0.27306788400630611</v>
      </c>
      <c r="D17" s="366">
        <f>IF(LN_IA1=0,0,LN_IA2/LN_IA1)</f>
        <v>0.23847184548967656</v>
      </c>
      <c r="E17" s="367">
        <f t="shared" si="0"/>
        <v>-3.459603851662954E-2</v>
      </c>
      <c r="F17" s="362">
        <f t="shared" si="1"/>
        <v>-0.12669391218423401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5382</v>
      </c>
      <c r="D18" s="369">
        <v>5251</v>
      </c>
      <c r="E18" s="369">
        <f t="shared" si="0"/>
        <v>-131</v>
      </c>
      <c r="F18" s="362">
        <f t="shared" si="1"/>
        <v>-2.4340393905611296E-2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611</v>
      </c>
      <c r="C19" s="372">
        <v>1.5350900000000001</v>
      </c>
      <c r="D19" s="372">
        <v>1.5151699999999999</v>
      </c>
      <c r="E19" s="373">
        <f t="shared" si="0"/>
        <v>-1.992000000000016E-2</v>
      </c>
      <c r="F19" s="362">
        <f t="shared" si="1"/>
        <v>-1.2976437863578135E-2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612</v>
      </c>
      <c r="C20" s="376">
        <f>C18*C19</f>
        <v>8261.8543800000007</v>
      </c>
      <c r="D20" s="376">
        <f>LN_IA4*LN_IA5</f>
        <v>7956.1576699999996</v>
      </c>
      <c r="E20" s="376">
        <f t="shared" si="0"/>
        <v>-305.69671000000108</v>
      </c>
      <c r="F20" s="362">
        <f t="shared" si="1"/>
        <v>-3.7000980160098278E-2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613</v>
      </c>
      <c r="C21" s="378">
        <f>IF(C20=0,0,C16/C20)</f>
        <v>9256.8890084939976</v>
      </c>
      <c r="D21" s="378">
        <f>IF(LN_IA6=0,0,LN_IA2/LN_IA6)</f>
        <v>8217.0005562496608</v>
      </c>
      <c r="E21" s="378">
        <f t="shared" si="0"/>
        <v>-1039.8884522443368</v>
      </c>
      <c r="F21" s="362">
        <f t="shared" si="1"/>
        <v>-0.11233670958895035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35892</v>
      </c>
      <c r="D22" s="369">
        <v>33327</v>
      </c>
      <c r="E22" s="369">
        <f t="shared" si="0"/>
        <v>-2565</v>
      </c>
      <c r="F22" s="362">
        <f t="shared" si="1"/>
        <v>-7.1464393179538621E-2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614</v>
      </c>
      <c r="C23" s="378">
        <f>IF(C22=0,0,C16/C22)</f>
        <v>2130.8110163824808</v>
      </c>
      <c r="D23" s="378">
        <f>IF(LN_IA8=0,0,LN_IA2/LN_IA8)</f>
        <v>1961.6452726017944</v>
      </c>
      <c r="E23" s="378">
        <f t="shared" si="0"/>
        <v>-169.1657437806864</v>
      </c>
      <c r="F23" s="362">
        <f t="shared" si="1"/>
        <v>-7.9390308422509645E-2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615</v>
      </c>
      <c r="C24" s="379">
        <f>IF(C18=0,0,C22/C18)</f>
        <v>6.6688963210702346</v>
      </c>
      <c r="D24" s="379">
        <f>IF(LN_IA4=0,0,LN_IA8/LN_IA4)</f>
        <v>6.3467910874119218</v>
      </c>
      <c r="E24" s="379">
        <f t="shared" si="0"/>
        <v>-0.32210523365831278</v>
      </c>
      <c r="F24" s="362">
        <f t="shared" si="1"/>
        <v>-4.8299631325895445E-2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616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617</v>
      </c>
      <c r="C27" s="361">
        <v>198274157</v>
      </c>
      <c r="D27" s="361">
        <v>258650538</v>
      </c>
      <c r="E27" s="361">
        <f t="shared" ref="E27:E32" si="2">D27-C27</f>
        <v>60376381</v>
      </c>
      <c r="F27" s="362">
        <f t="shared" ref="F27:F32" si="3">IF(C27=0,0,E27/C27)</f>
        <v>0.30450958366702324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618</v>
      </c>
      <c r="C28" s="361">
        <v>26006219</v>
      </c>
      <c r="D28" s="361">
        <v>35815778</v>
      </c>
      <c r="E28" s="361">
        <f t="shared" si="2"/>
        <v>9809559</v>
      </c>
      <c r="F28" s="362">
        <f t="shared" si="3"/>
        <v>0.37720050730942473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619</v>
      </c>
      <c r="C29" s="366">
        <f>IF(C27=0,0,C28/C27)</f>
        <v>0.13116292810666194</v>
      </c>
      <c r="D29" s="366">
        <f>IF(LN_IA11=0,0,LN_IA12/LN_IA11)</f>
        <v>0.13847169341669802</v>
      </c>
      <c r="E29" s="367">
        <f t="shared" si="2"/>
        <v>7.308765310036075E-3</v>
      </c>
      <c r="F29" s="362">
        <f t="shared" si="3"/>
        <v>5.5722797710741657E-2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620</v>
      </c>
      <c r="C30" s="366">
        <f>IF(C15=0,0,C27/C15)</f>
        <v>0.70793623945819906</v>
      </c>
      <c r="D30" s="366">
        <f>IF(LN_IA1=0,0,LN_IA11/LN_IA1)</f>
        <v>0.94348239594640093</v>
      </c>
      <c r="E30" s="367">
        <f t="shared" si="2"/>
        <v>0.23554615648820187</v>
      </c>
      <c r="F30" s="362">
        <f t="shared" si="3"/>
        <v>0.33272227548129352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621</v>
      </c>
      <c r="C31" s="376">
        <f>C30*C18</f>
        <v>3810.1128407640272</v>
      </c>
      <c r="D31" s="376">
        <f>LN_IA14*LN_IA4</f>
        <v>4954.2260611145512</v>
      </c>
      <c r="E31" s="376">
        <f t="shared" si="2"/>
        <v>1144.113220350524</v>
      </c>
      <c r="F31" s="362">
        <f t="shared" si="3"/>
        <v>0.30028329032929624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622</v>
      </c>
      <c r="C32" s="378">
        <f>IF(C31=0,0,C28/C31)</f>
        <v>6825.5771119852379</v>
      </c>
      <c r="D32" s="378">
        <f>IF(LN_IA15=0,0,LN_IA12/LN_IA15)</f>
        <v>7229.3386612121067</v>
      </c>
      <c r="E32" s="378">
        <f t="shared" si="2"/>
        <v>403.76154922686874</v>
      </c>
      <c r="F32" s="362">
        <f t="shared" si="3"/>
        <v>5.9154199359625077E-2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623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624</v>
      </c>
      <c r="C35" s="361">
        <f>C15+C27</f>
        <v>478347624</v>
      </c>
      <c r="D35" s="361">
        <f>LN_IA1+LN_IA11</f>
        <v>532795068</v>
      </c>
      <c r="E35" s="361">
        <f>D35-C35</f>
        <v>54447444</v>
      </c>
      <c r="F35" s="362">
        <f>IF(C35=0,0,E35/C35)</f>
        <v>0.11382400845791596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625</v>
      </c>
      <c r="C36" s="361">
        <f>C16+C28</f>
        <v>102485288</v>
      </c>
      <c r="D36" s="361">
        <f>LN_IA2+LN_IA12</f>
        <v>101191530</v>
      </c>
      <c r="E36" s="361">
        <f>D36-C36</f>
        <v>-1293758</v>
      </c>
      <c r="F36" s="362">
        <f>IF(C36=0,0,E36/C36)</f>
        <v>-1.2623841189771551E-2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626</v>
      </c>
      <c r="C37" s="361">
        <f>C35-C36</f>
        <v>375862336</v>
      </c>
      <c r="D37" s="361">
        <f>LN_IA17-LN_IA18</f>
        <v>431603538</v>
      </c>
      <c r="E37" s="361">
        <f>D37-C37</f>
        <v>55741202</v>
      </c>
      <c r="F37" s="362">
        <f>IF(C37=0,0,E37/C37)</f>
        <v>0.1483021751878858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627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628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608</v>
      </c>
      <c r="C42" s="361">
        <v>215741210</v>
      </c>
      <c r="D42" s="361">
        <v>229079508</v>
      </c>
      <c r="E42" s="361">
        <f t="shared" ref="E42:E53" si="4">D42-C42</f>
        <v>13338298</v>
      </c>
      <c r="F42" s="362">
        <f t="shared" ref="F42:F53" si="5">IF(C42=0,0,E42/C42)</f>
        <v>6.1825452819143825E-2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609</v>
      </c>
      <c r="C43" s="361">
        <v>79357286</v>
      </c>
      <c r="D43" s="361">
        <v>80776141</v>
      </c>
      <c r="E43" s="361">
        <f t="shared" si="4"/>
        <v>1418855</v>
      </c>
      <c r="F43" s="362">
        <f t="shared" si="5"/>
        <v>1.7879328685711352E-2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610</v>
      </c>
      <c r="C44" s="366">
        <f>IF(C42=0,0,C43/C42)</f>
        <v>0.36783554704268134</v>
      </c>
      <c r="D44" s="366">
        <f>IF(LN_IB1=0,0,LN_IB2/LN_IB1)</f>
        <v>0.35261181458448043</v>
      </c>
      <c r="E44" s="367">
        <f t="shared" si="4"/>
        <v>-1.5223732458200911E-2</v>
      </c>
      <c r="F44" s="362">
        <f t="shared" si="5"/>
        <v>-4.1387333498886784E-2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6787</v>
      </c>
      <c r="D45" s="369">
        <v>6526</v>
      </c>
      <c r="E45" s="369">
        <f t="shared" si="4"/>
        <v>-261</v>
      </c>
      <c r="F45" s="362">
        <f t="shared" si="5"/>
        <v>-3.8455871519080594E-2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611</v>
      </c>
      <c r="C46" s="372">
        <v>1.06006</v>
      </c>
      <c r="D46" s="372">
        <v>1.1175999999999999</v>
      </c>
      <c r="E46" s="373">
        <f t="shared" si="4"/>
        <v>5.7539999999999925E-2</v>
      </c>
      <c r="F46" s="362">
        <f t="shared" si="5"/>
        <v>5.4279946418127202E-2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612</v>
      </c>
      <c r="C47" s="376">
        <f>C45*C46</f>
        <v>7194.6272200000003</v>
      </c>
      <c r="D47" s="376">
        <f>LN_IB4*LN_IB5</f>
        <v>7293.4575999999997</v>
      </c>
      <c r="E47" s="376">
        <f t="shared" si="4"/>
        <v>98.830379999999423</v>
      </c>
      <c r="F47" s="362">
        <f t="shared" si="5"/>
        <v>1.3736692253528518E-2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613</v>
      </c>
      <c r="C48" s="378">
        <f>IF(C47=0,0,C43/C47)</f>
        <v>11030.076135063464</v>
      </c>
      <c r="D48" s="378">
        <f>IF(LN_IB6=0,0,LN_IB2/LN_IB6)</f>
        <v>11075.150556849745</v>
      </c>
      <c r="E48" s="378">
        <f t="shared" si="4"/>
        <v>45.074421786281164</v>
      </c>
      <c r="F48" s="362">
        <f t="shared" si="5"/>
        <v>4.086501419785696E-3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629</v>
      </c>
      <c r="C49" s="378">
        <f>C21-C48</f>
        <v>-1773.1871265694663</v>
      </c>
      <c r="D49" s="378">
        <f>LN_IA7-LN_IB7</f>
        <v>-2858.1500006000842</v>
      </c>
      <c r="E49" s="378">
        <f t="shared" si="4"/>
        <v>-1084.962874030618</v>
      </c>
      <c r="F49" s="362">
        <f t="shared" si="5"/>
        <v>0.61187161680429303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630</v>
      </c>
      <c r="C50" s="391">
        <f>C49*C47</f>
        <v>-12757420.366970267</v>
      </c>
      <c r="D50" s="391">
        <f>LN_IB8*LN_IB6</f>
        <v>-20845795.843816686</v>
      </c>
      <c r="E50" s="391">
        <f t="shared" si="4"/>
        <v>-8088375.4768464193</v>
      </c>
      <c r="F50" s="362">
        <f t="shared" si="5"/>
        <v>0.63401340115653104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25956</v>
      </c>
      <c r="D51" s="369">
        <v>26482</v>
      </c>
      <c r="E51" s="369">
        <f t="shared" si="4"/>
        <v>526</v>
      </c>
      <c r="F51" s="362">
        <f t="shared" si="5"/>
        <v>2.0265063954384342E-2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614</v>
      </c>
      <c r="C52" s="378">
        <f>IF(C51=0,0,C43/C51)</f>
        <v>3057.3773308676223</v>
      </c>
      <c r="D52" s="378">
        <f>IF(LN_IB10=0,0,LN_IB2/LN_IB10)</f>
        <v>3050.2281172116909</v>
      </c>
      <c r="E52" s="378">
        <f t="shared" si="4"/>
        <v>-7.1492136559313622</v>
      </c>
      <c r="F52" s="362">
        <f t="shared" si="5"/>
        <v>-2.338348487035638E-3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615</v>
      </c>
      <c r="C53" s="379">
        <f>IF(C45=0,0,C51/C45)</f>
        <v>3.824370119345808</v>
      </c>
      <c r="D53" s="379">
        <f>IF(LN_IB4=0,0,LN_IB10/LN_IB4)</f>
        <v>4.057922157523751</v>
      </c>
      <c r="E53" s="379">
        <f t="shared" si="4"/>
        <v>0.23355203817794301</v>
      </c>
      <c r="F53" s="362">
        <f t="shared" si="5"/>
        <v>6.1069412972480322E-2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631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617</v>
      </c>
      <c r="C56" s="361">
        <v>439817321</v>
      </c>
      <c r="D56" s="361">
        <v>509317874</v>
      </c>
      <c r="E56" s="361">
        <f t="shared" ref="E56:E63" si="6">D56-C56</f>
        <v>69500553</v>
      </c>
      <c r="F56" s="362">
        <f t="shared" ref="F56:F63" si="7">IF(C56=0,0,E56/C56)</f>
        <v>0.15802140952970789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618</v>
      </c>
      <c r="C57" s="361">
        <v>189532545</v>
      </c>
      <c r="D57" s="361">
        <v>216516551</v>
      </c>
      <c r="E57" s="361">
        <f t="shared" si="6"/>
        <v>26984006</v>
      </c>
      <c r="F57" s="362">
        <f t="shared" si="7"/>
        <v>0.14237135896634534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619</v>
      </c>
      <c r="C58" s="366">
        <f>IF(C56=0,0,C57/C56)</f>
        <v>0.43093469936351142</v>
      </c>
      <c r="D58" s="366">
        <f>IF(LN_IB13=0,0,LN_IB14/LN_IB13)</f>
        <v>0.42511084344940936</v>
      </c>
      <c r="E58" s="367">
        <f t="shared" si="6"/>
        <v>-5.8238559141020607E-3</v>
      </c>
      <c r="F58" s="362">
        <f t="shared" si="7"/>
        <v>-1.3514474287412615E-2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620</v>
      </c>
      <c r="C59" s="366">
        <f>IF(C42=0,0,C56/C42)</f>
        <v>2.038633791847186</v>
      </c>
      <c r="D59" s="366">
        <f>IF(LN_IB1=0,0,LN_IB13/LN_IB1)</f>
        <v>2.2233235894674612</v>
      </c>
      <c r="E59" s="367">
        <f t="shared" si="6"/>
        <v>0.18468979762027526</v>
      </c>
      <c r="F59" s="362">
        <f t="shared" si="7"/>
        <v>9.0594886810411238E-2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621</v>
      </c>
      <c r="C60" s="376">
        <f>C59*C45</f>
        <v>13836.207545266851</v>
      </c>
      <c r="D60" s="376">
        <f>LN_IB16*LN_IB4</f>
        <v>14509.409744864652</v>
      </c>
      <c r="E60" s="376">
        <f t="shared" si="6"/>
        <v>673.20219959780115</v>
      </c>
      <c r="F60" s="362">
        <f t="shared" si="7"/>
        <v>4.8655109963863838E-2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622</v>
      </c>
      <c r="C61" s="378">
        <f>IF(C60=0,0,C57/C60)</f>
        <v>13698.301675507615</v>
      </c>
      <c r="D61" s="378">
        <f>IF(LN_IB17=0,0,LN_IB14/LN_IB17)</f>
        <v>14922.49201085745</v>
      </c>
      <c r="E61" s="378">
        <f t="shared" si="6"/>
        <v>1224.1903353498346</v>
      </c>
      <c r="F61" s="362">
        <f t="shared" si="7"/>
        <v>8.9368037319448951E-2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632</v>
      </c>
      <c r="C62" s="378">
        <f>C32-C61</f>
        <v>-6872.7245635223771</v>
      </c>
      <c r="D62" s="378">
        <f>LN_IA16-LN_IB18</f>
        <v>-7693.153349645343</v>
      </c>
      <c r="E62" s="378">
        <f t="shared" si="6"/>
        <v>-820.4287861229659</v>
      </c>
      <c r="F62" s="362">
        <f t="shared" si="7"/>
        <v>0.11937460588446505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633</v>
      </c>
      <c r="C63" s="361">
        <f>C62*C60</f>
        <v>-95092443.462349132</v>
      </c>
      <c r="D63" s="361">
        <f>LN_IB19*LN_IB17</f>
        <v>-111623114.18008228</v>
      </c>
      <c r="E63" s="361">
        <f t="shared" si="6"/>
        <v>-16530670.717733145</v>
      </c>
      <c r="F63" s="362">
        <f t="shared" si="7"/>
        <v>0.17383790042453051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634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624</v>
      </c>
      <c r="C66" s="361">
        <f>C42+C56</f>
        <v>655558531</v>
      </c>
      <c r="D66" s="361">
        <f>LN_IB1+LN_IB13</f>
        <v>738397382</v>
      </c>
      <c r="E66" s="361">
        <f>D66-C66</f>
        <v>82838851</v>
      </c>
      <c r="F66" s="362">
        <f>IF(C66=0,0,E66/C66)</f>
        <v>0.12636377544143346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625</v>
      </c>
      <c r="C67" s="361">
        <f>C43+C57</f>
        <v>268889831</v>
      </c>
      <c r="D67" s="361">
        <f>LN_IB2+LN_IB14</f>
        <v>297292692</v>
      </c>
      <c r="E67" s="361">
        <f>D67-C67</f>
        <v>28402861</v>
      </c>
      <c r="F67" s="362">
        <f>IF(C67=0,0,E67/C67)</f>
        <v>0.10563010469518276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626</v>
      </c>
      <c r="C68" s="361">
        <f>C66-C67</f>
        <v>386668700</v>
      </c>
      <c r="D68" s="361">
        <f>LN_IB21-LN_IB22</f>
        <v>441104690</v>
      </c>
      <c r="E68" s="361">
        <f>D68-C68</f>
        <v>54435990</v>
      </c>
      <c r="F68" s="362">
        <f>IF(C68=0,0,E68/C68)</f>
        <v>0.14078199243952252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635</v>
      </c>
      <c r="C70" s="353">
        <f>C50+C63</f>
        <v>-107849863.8293194</v>
      </c>
      <c r="D70" s="353">
        <f>LN_IB9+LN_IB20</f>
        <v>-132468910.02389896</v>
      </c>
      <c r="E70" s="361">
        <f>D70-C70</f>
        <v>-24619046.194579557</v>
      </c>
      <c r="F70" s="362">
        <f>IF(C70=0,0,E70/C70)</f>
        <v>0.22827146294353293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636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637</v>
      </c>
      <c r="C73" s="400">
        <v>568718927</v>
      </c>
      <c r="D73" s="400">
        <v>635946661</v>
      </c>
      <c r="E73" s="400">
        <f>D73-C73</f>
        <v>67227734</v>
      </c>
      <c r="F73" s="401">
        <f>IF(C73=0,0,E73/C73)</f>
        <v>0.1182090674467741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638</v>
      </c>
      <c r="C74" s="400">
        <v>330541616</v>
      </c>
      <c r="D74" s="400">
        <v>375096311</v>
      </c>
      <c r="E74" s="400">
        <f>D74-C74</f>
        <v>44554695</v>
      </c>
      <c r="F74" s="401">
        <f>IF(C74=0,0,E74/C74)</f>
        <v>0.13479299683704576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639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640</v>
      </c>
      <c r="C76" s="353">
        <f>C73-C74</f>
        <v>238177311</v>
      </c>
      <c r="D76" s="353">
        <f>LN_IB32-LN_IB33</f>
        <v>260850350</v>
      </c>
      <c r="E76" s="400">
        <f>D76-C76</f>
        <v>22673039</v>
      </c>
      <c r="F76" s="401">
        <f>IF(C76=0,0,E76/C76)</f>
        <v>9.51939498552824E-2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641</v>
      </c>
      <c r="C77" s="366">
        <f>IF(C73=0,0,C76/C73)</f>
        <v>0.41879617451170215</v>
      </c>
      <c r="D77" s="366">
        <f>IF(LN_IB1=0,0,LN_IB34/LN_IB32)</f>
        <v>0.4101764597518659</v>
      </c>
      <c r="E77" s="405">
        <f>D77-C77</f>
        <v>-8.61971475983625E-3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642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643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608</v>
      </c>
      <c r="C83" s="361">
        <v>19716942</v>
      </c>
      <c r="D83" s="361">
        <v>19215996</v>
      </c>
      <c r="E83" s="361">
        <f t="shared" ref="E83:E95" si="8">D83-C83</f>
        <v>-500946</v>
      </c>
      <c r="F83" s="362">
        <f t="shared" ref="F83:F95" si="9">IF(C83=0,0,E83/C83)</f>
        <v>-2.5406881046766784E-2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609</v>
      </c>
      <c r="C84" s="361">
        <v>577992</v>
      </c>
      <c r="D84" s="361">
        <v>237449</v>
      </c>
      <c r="E84" s="361">
        <f t="shared" si="8"/>
        <v>-340543</v>
      </c>
      <c r="F84" s="362">
        <f t="shared" si="9"/>
        <v>-0.58918289526498635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610</v>
      </c>
      <c r="C85" s="366">
        <f>IF(C83=0,0,C84/C83)</f>
        <v>2.9314484974394102E-2</v>
      </c>
      <c r="D85" s="366">
        <f>IF(LN_IC1=0,0,LN_IC2/LN_IC1)</f>
        <v>1.2356840623821945E-2</v>
      </c>
      <c r="E85" s="367">
        <f t="shared" si="8"/>
        <v>-1.6957644350572156E-2</v>
      </c>
      <c r="F85" s="362">
        <f t="shared" si="9"/>
        <v>-0.57847321436431454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490</v>
      </c>
      <c r="D86" s="369">
        <v>479</v>
      </c>
      <c r="E86" s="369">
        <f t="shared" si="8"/>
        <v>-11</v>
      </c>
      <c r="F86" s="362">
        <f t="shared" si="9"/>
        <v>-2.2448979591836733E-2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611</v>
      </c>
      <c r="C87" s="372">
        <v>1.1037699999999999</v>
      </c>
      <c r="D87" s="372">
        <v>1.1226700000000001</v>
      </c>
      <c r="E87" s="373">
        <f t="shared" si="8"/>
        <v>1.8900000000000139E-2</v>
      </c>
      <c r="F87" s="362">
        <f t="shared" si="9"/>
        <v>1.7123132536669906E-2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612</v>
      </c>
      <c r="C88" s="376">
        <f>C86*C87</f>
        <v>540.8472999999999</v>
      </c>
      <c r="D88" s="376">
        <f>LN_IC4*LN_IC5</f>
        <v>537.75893000000008</v>
      </c>
      <c r="E88" s="376">
        <f t="shared" si="8"/>
        <v>-3.0883699999998271</v>
      </c>
      <c r="F88" s="362">
        <f t="shared" si="9"/>
        <v>-5.7102439080306544E-3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613</v>
      </c>
      <c r="C89" s="378">
        <f>IF(C88=0,0,C84/C88)</f>
        <v>1068.6787194832998</v>
      </c>
      <c r="D89" s="378">
        <f>IF(LN_IC6=0,0,LN_IC2/LN_IC6)</f>
        <v>441.5528720276202</v>
      </c>
      <c r="E89" s="378">
        <f t="shared" si="8"/>
        <v>-627.1258474556796</v>
      </c>
      <c r="F89" s="362">
        <f t="shared" si="9"/>
        <v>-0.58682355699839461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644</v>
      </c>
      <c r="C90" s="378">
        <f>C48-C89</f>
        <v>9961.3974155801643</v>
      </c>
      <c r="D90" s="378">
        <f>LN_IB7-LN_IC7</f>
        <v>10633.597684822125</v>
      </c>
      <c r="E90" s="378">
        <f t="shared" si="8"/>
        <v>672.200269241961</v>
      </c>
      <c r="F90" s="362">
        <f t="shared" si="9"/>
        <v>6.7480519167983741E-2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645</v>
      </c>
      <c r="C91" s="378">
        <f>C21-C89</f>
        <v>8188.210289010698</v>
      </c>
      <c r="D91" s="378">
        <f>LN_IA7-LN_IC7</f>
        <v>7775.4476842220411</v>
      </c>
      <c r="E91" s="378">
        <f t="shared" si="8"/>
        <v>-412.76260478865697</v>
      </c>
      <c r="F91" s="362">
        <f t="shared" si="9"/>
        <v>-5.0409380098923554E-2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630</v>
      </c>
      <c r="C92" s="353">
        <f>C91*C88</f>
        <v>4428571.4266436547</v>
      </c>
      <c r="D92" s="353">
        <f>LN_IC9*LN_IC6</f>
        <v>4181316.4269382232</v>
      </c>
      <c r="E92" s="353">
        <f t="shared" si="8"/>
        <v>-247254.99970543152</v>
      </c>
      <c r="F92" s="362">
        <f t="shared" si="9"/>
        <v>-5.5831774151336708E-2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1826</v>
      </c>
      <c r="D93" s="369">
        <v>1752</v>
      </c>
      <c r="E93" s="369">
        <f t="shared" si="8"/>
        <v>-74</v>
      </c>
      <c r="F93" s="362">
        <f t="shared" si="9"/>
        <v>-4.0525739320920046E-2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614</v>
      </c>
      <c r="C94" s="411">
        <f>IF(C93=0,0,C84/C93)</f>
        <v>316.53450164293537</v>
      </c>
      <c r="D94" s="411">
        <f>IF(LN_IC11=0,0,LN_IC2/LN_IC11)</f>
        <v>135.5302511415525</v>
      </c>
      <c r="E94" s="411">
        <f t="shared" si="8"/>
        <v>-181.00425050138287</v>
      </c>
      <c r="F94" s="362">
        <f t="shared" si="9"/>
        <v>-0.57183103125220613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615</v>
      </c>
      <c r="C95" s="379">
        <f>IF(C86=0,0,C93/C86)</f>
        <v>3.7265306122448978</v>
      </c>
      <c r="D95" s="379">
        <f>IF(LN_IC4=0,0,LN_IC11/LN_IC4)</f>
        <v>3.6576200417536535</v>
      </c>
      <c r="E95" s="379">
        <f t="shared" si="8"/>
        <v>-6.8910570491244272E-2</v>
      </c>
      <c r="F95" s="362">
        <f t="shared" si="9"/>
        <v>-1.8491883647705199E-2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646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617</v>
      </c>
      <c r="C98" s="361">
        <v>43856299</v>
      </c>
      <c r="D98" s="361">
        <v>54022199</v>
      </c>
      <c r="E98" s="361">
        <f t="shared" ref="E98:E106" si="10">D98-C98</f>
        <v>10165900</v>
      </c>
      <c r="F98" s="362">
        <f t="shared" ref="F98:F106" si="11">IF(C98=0,0,E98/C98)</f>
        <v>0.23180022555026816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618</v>
      </c>
      <c r="C99" s="361">
        <v>1586852</v>
      </c>
      <c r="D99" s="361">
        <v>1800846</v>
      </c>
      <c r="E99" s="361">
        <f t="shared" si="10"/>
        <v>213994</v>
      </c>
      <c r="F99" s="362">
        <f t="shared" si="11"/>
        <v>0.13485441616483454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619</v>
      </c>
      <c r="C100" s="366">
        <f>IF(C98=0,0,C99/C98)</f>
        <v>3.6182989358039534E-2</v>
      </c>
      <c r="D100" s="366">
        <f>IF(LN_IC14=0,0,LN_IC15/LN_IC14)</f>
        <v>3.3335296106698657E-2</v>
      </c>
      <c r="E100" s="367">
        <f t="shared" si="10"/>
        <v>-2.847693251340877E-3</v>
      </c>
      <c r="F100" s="362">
        <f t="shared" si="11"/>
        <v>-7.8702542323472929E-2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620</v>
      </c>
      <c r="C101" s="366">
        <f>IF(C83=0,0,C98/C83)</f>
        <v>2.2242951772135862</v>
      </c>
      <c r="D101" s="366">
        <f>IF(LN_IC1=0,0,LN_IC14/LN_IC1)</f>
        <v>2.8113140219221529</v>
      </c>
      <c r="E101" s="367">
        <f t="shared" si="10"/>
        <v>0.58701884470856669</v>
      </c>
      <c r="F101" s="362">
        <f t="shared" si="11"/>
        <v>0.26391229487982598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621</v>
      </c>
      <c r="C102" s="376">
        <f>C101*C86</f>
        <v>1089.9046368346571</v>
      </c>
      <c r="D102" s="376">
        <f>LN_IC17*LN_IC4</f>
        <v>1346.6194165007112</v>
      </c>
      <c r="E102" s="376">
        <f t="shared" si="10"/>
        <v>256.71477966605403</v>
      </c>
      <c r="F102" s="362">
        <f t="shared" si="11"/>
        <v>0.23553875356619725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622</v>
      </c>
      <c r="C103" s="378">
        <f>IF(C102=0,0,C99/C102)</f>
        <v>1455.9549031818017</v>
      </c>
      <c r="D103" s="378">
        <f>IF(LN_IC18=0,0,LN_IC15/LN_IC18)</f>
        <v>1337.3088030169874</v>
      </c>
      <c r="E103" s="378">
        <f t="shared" si="10"/>
        <v>-118.64610016481424</v>
      </c>
      <c r="F103" s="362">
        <f t="shared" si="11"/>
        <v>-8.1490230161338439E-2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647</v>
      </c>
      <c r="C104" s="378">
        <f>C61-C103</f>
        <v>12242.346772325813</v>
      </c>
      <c r="D104" s="378">
        <f>LN_IB18-LN_IC19</f>
        <v>13585.183207840462</v>
      </c>
      <c r="E104" s="378">
        <f t="shared" si="10"/>
        <v>1342.8364355146496</v>
      </c>
      <c r="F104" s="362">
        <f t="shared" si="11"/>
        <v>0.10968782868903625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648</v>
      </c>
      <c r="C105" s="378">
        <f>C32-C103</f>
        <v>5369.6222088034365</v>
      </c>
      <c r="D105" s="378">
        <f>LN_IA16-LN_IC19</f>
        <v>5892.0298581951192</v>
      </c>
      <c r="E105" s="378">
        <f t="shared" si="10"/>
        <v>522.40764939168275</v>
      </c>
      <c r="F105" s="362">
        <f t="shared" si="11"/>
        <v>9.7289460799532823E-2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633</v>
      </c>
      <c r="C106" s="361">
        <f>C105*C102</f>
        <v>5852376.1434252188</v>
      </c>
      <c r="D106" s="361">
        <f>LN_IC21*LN_IC18</f>
        <v>7934321.8096474791</v>
      </c>
      <c r="E106" s="361">
        <f t="shared" si="10"/>
        <v>2081945.6662222603</v>
      </c>
      <c r="F106" s="362">
        <f t="shared" si="11"/>
        <v>0.3557436526975794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649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624</v>
      </c>
      <c r="C109" s="361">
        <f>C83+C98</f>
        <v>63573241</v>
      </c>
      <c r="D109" s="361">
        <f>LN_IC1+LN_IC14</f>
        <v>73238195</v>
      </c>
      <c r="E109" s="361">
        <f>D109-C109</f>
        <v>9664954</v>
      </c>
      <c r="F109" s="362">
        <f>IF(C109=0,0,E109/C109)</f>
        <v>0.15202864991577195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625</v>
      </c>
      <c r="C110" s="361">
        <f>C84+C99</f>
        <v>2164844</v>
      </c>
      <c r="D110" s="361">
        <f>LN_IC2+LN_IC15</f>
        <v>2038295</v>
      </c>
      <c r="E110" s="361">
        <f>D110-C110</f>
        <v>-126549</v>
      </c>
      <c r="F110" s="362">
        <f>IF(C110=0,0,E110/C110)</f>
        <v>-5.8456406096697958E-2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626</v>
      </c>
      <c r="C111" s="361">
        <f>C109-C110</f>
        <v>61408397</v>
      </c>
      <c r="D111" s="361">
        <f>LN_IC23-LN_IC24</f>
        <v>71199900</v>
      </c>
      <c r="E111" s="361">
        <f>D111-C111</f>
        <v>9791503</v>
      </c>
      <c r="F111" s="362">
        <f>IF(C111=0,0,E111/C111)</f>
        <v>0.15944892682999037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635</v>
      </c>
      <c r="C113" s="361">
        <f>C92+C106</f>
        <v>10280947.570068873</v>
      </c>
      <c r="D113" s="361">
        <f>LN_IC10+LN_IC22</f>
        <v>12115638.236585703</v>
      </c>
      <c r="E113" s="361">
        <f>D113-C113</f>
        <v>1834690.6665168293</v>
      </c>
      <c r="F113" s="362">
        <f>IF(C113=0,0,E113/C113)</f>
        <v>0.17845540540039331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650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651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608</v>
      </c>
      <c r="C118" s="361">
        <v>63392712</v>
      </c>
      <c r="D118" s="361">
        <v>89088317</v>
      </c>
      <c r="E118" s="361">
        <f t="shared" ref="E118:E130" si="12">D118-C118</f>
        <v>25695605</v>
      </c>
      <c r="F118" s="362">
        <f t="shared" ref="F118:F130" si="13">IF(C118=0,0,E118/C118)</f>
        <v>0.40534004918420274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609</v>
      </c>
      <c r="C119" s="361">
        <v>11714938</v>
      </c>
      <c r="D119" s="361">
        <v>13433933</v>
      </c>
      <c r="E119" s="361">
        <f t="shared" si="12"/>
        <v>1718995</v>
      </c>
      <c r="F119" s="362">
        <f t="shared" si="13"/>
        <v>0.14673530495850681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610</v>
      </c>
      <c r="C120" s="366">
        <f>IF(C118=0,0,C119/C118)</f>
        <v>0.18479944508447596</v>
      </c>
      <c r="D120" s="366">
        <f>IF(LN_ID1=0,0,LN_1D2/LN_ID1)</f>
        <v>0.15079343119704461</v>
      </c>
      <c r="E120" s="367">
        <f t="shared" si="12"/>
        <v>-3.4006013887431352E-2</v>
      </c>
      <c r="F120" s="362">
        <f t="shared" si="13"/>
        <v>-0.1840157792242636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2457</v>
      </c>
      <c r="D121" s="369">
        <v>3039</v>
      </c>
      <c r="E121" s="369">
        <f t="shared" si="12"/>
        <v>582</v>
      </c>
      <c r="F121" s="362">
        <f t="shared" si="13"/>
        <v>0.23687423687423687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611</v>
      </c>
      <c r="C122" s="372">
        <v>0.92154999999999998</v>
      </c>
      <c r="D122" s="372">
        <v>0.97350000000000003</v>
      </c>
      <c r="E122" s="373">
        <f t="shared" si="12"/>
        <v>5.1950000000000052E-2</v>
      </c>
      <c r="F122" s="362">
        <f t="shared" si="13"/>
        <v>5.6372416038196572E-2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612</v>
      </c>
      <c r="C123" s="376">
        <f>C121*C122</f>
        <v>2264.2483499999998</v>
      </c>
      <c r="D123" s="376">
        <f>LN_ID4*LN_ID5</f>
        <v>2958.4665</v>
      </c>
      <c r="E123" s="376">
        <f t="shared" si="12"/>
        <v>694.21815000000015</v>
      </c>
      <c r="F123" s="362">
        <f t="shared" si="13"/>
        <v>0.30659982594223828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613</v>
      </c>
      <c r="C124" s="378">
        <f>IF(C123=0,0,C119/C123)</f>
        <v>5173.8750300955289</v>
      </c>
      <c r="D124" s="378">
        <f>IF(LN_ID6=0,0,LN_1D2/LN_ID6)</f>
        <v>4540.8433727405736</v>
      </c>
      <c r="E124" s="378">
        <f t="shared" si="12"/>
        <v>-633.03165735495531</v>
      </c>
      <c r="F124" s="362">
        <f t="shared" si="13"/>
        <v>-0.12235155539566003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652</v>
      </c>
      <c r="C125" s="378">
        <f>C48-C124</f>
        <v>5856.201104967935</v>
      </c>
      <c r="D125" s="378">
        <f>LN_IB7-LN_ID7</f>
        <v>6534.3071841091714</v>
      </c>
      <c r="E125" s="378">
        <f t="shared" si="12"/>
        <v>678.10607914123648</v>
      </c>
      <c r="F125" s="362">
        <f t="shared" si="13"/>
        <v>0.11579282661006728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653</v>
      </c>
      <c r="C126" s="378">
        <f>C21-C124</f>
        <v>4083.0139783984687</v>
      </c>
      <c r="D126" s="378">
        <f>LN_IA7-LN_ID7</f>
        <v>3676.1571835090872</v>
      </c>
      <c r="E126" s="378">
        <f t="shared" si="12"/>
        <v>-406.85679488938149</v>
      </c>
      <c r="F126" s="362">
        <f t="shared" si="13"/>
        <v>-9.9646192014500035E-2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630</v>
      </c>
      <c r="C127" s="391">
        <f>C126*C123</f>
        <v>9244957.6636156682</v>
      </c>
      <c r="D127" s="391">
        <f>LN_ID9*LN_ID6</f>
        <v>10875787.876145987</v>
      </c>
      <c r="E127" s="391">
        <f t="shared" si="12"/>
        <v>1630830.2125303186</v>
      </c>
      <c r="F127" s="362">
        <f t="shared" si="13"/>
        <v>0.17640212880028561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10974</v>
      </c>
      <c r="D128" s="369">
        <v>13886</v>
      </c>
      <c r="E128" s="369">
        <f t="shared" si="12"/>
        <v>2912</v>
      </c>
      <c r="F128" s="362">
        <f t="shared" si="13"/>
        <v>0.26535447421177327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614</v>
      </c>
      <c r="C129" s="378">
        <f>IF(C128=0,0,C119/C128)</f>
        <v>1067.5175870238745</v>
      </c>
      <c r="D129" s="378">
        <f>IF(LN_ID11=0,0,LN_1D2/LN_ID11)</f>
        <v>967.44440443612268</v>
      </c>
      <c r="E129" s="378">
        <f t="shared" si="12"/>
        <v>-100.07318258775183</v>
      </c>
      <c r="F129" s="362">
        <f t="shared" si="13"/>
        <v>-9.3743825679486192E-2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615</v>
      </c>
      <c r="C130" s="379">
        <f>IF(C121=0,0,C128/C121)</f>
        <v>4.4664224664224665</v>
      </c>
      <c r="D130" s="379">
        <f>IF(LN_ID4=0,0,LN_ID11/LN_ID4)</f>
        <v>4.5692662059888125</v>
      </c>
      <c r="E130" s="379">
        <f t="shared" si="12"/>
        <v>0.10284373956634596</v>
      </c>
      <c r="F130" s="362">
        <f t="shared" si="13"/>
        <v>2.3025976682568984E-2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654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617</v>
      </c>
      <c r="C133" s="361">
        <v>58636260</v>
      </c>
      <c r="D133" s="361">
        <v>93020244</v>
      </c>
      <c r="E133" s="361">
        <f t="shared" ref="E133:E141" si="14">D133-C133</f>
        <v>34383984</v>
      </c>
      <c r="F133" s="362">
        <f t="shared" ref="F133:F141" si="15">IF(C133=0,0,E133/C133)</f>
        <v>0.58639456199969098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618</v>
      </c>
      <c r="C134" s="361">
        <v>9785294</v>
      </c>
      <c r="D134" s="361">
        <v>14645104</v>
      </c>
      <c r="E134" s="361">
        <f t="shared" si="14"/>
        <v>4859810</v>
      </c>
      <c r="F134" s="362">
        <f t="shared" si="15"/>
        <v>0.49664425003479712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619</v>
      </c>
      <c r="C135" s="366">
        <f>IF(C133=0,0,C134/C133)</f>
        <v>0.16688127789869273</v>
      </c>
      <c r="D135" s="366">
        <f>IF(LN_ID14=0,0,LN_ID15/LN_ID14)</f>
        <v>0.15743996543376085</v>
      </c>
      <c r="E135" s="367">
        <f t="shared" si="14"/>
        <v>-9.441312464931878E-3</v>
      </c>
      <c r="F135" s="362">
        <f t="shared" si="15"/>
        <v>-5.6575024974720889E-2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620</v>
      </c>
      <c r="C136" s="366">
        <f>IF(C118=0,0,C133/C118)</f>
        <v>0.92496847271654825</v>
      </c>
      <c r="D136" s="366">
        <f>IF(LN_ID1=0,0,LN_ID14/LN_ID1)</f>
        <v>1.0441351585977316</v>
      </c>
      <c r="E136" s="367">
        <f t="shared" si="14"/>
        <v>0.1191666858811834</v>
      </c>
      <c r="F136" s="362">
        <f t="shared" si="15"/>
        <v>0.12883324069543872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621</v>
      </c>
      <c r="C137" s="376">
        <f>C136*C121</f>
        <v>2272.6475374645593</v>
      </c>
      <c r="D137" s="376">
        <f>LN_ID17*LN_ID4</f>
        <v>3173.1267469785066</v>
      </c>
      <c r="E137" s="376">
        <f t="shared" si="14"/>
        <v>900.47920951394735</v>
      </c>
      <c r="F137" s="362">
        <f t="shared" si="15"/>
        <v>0.39622475314344247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622</v>
      </c>
      <c r="C138" s="378">
        <f>IF(C137=0,0,C134/C137)</f>
        <v>4305.680418406102</v>
      </c>
      <c r="D138" s="378">
        <f>IF(LN_ID18=0,0,LN_ID15/LN_ID18)</f>
        <v>4615.3542444988252</v>
      </c>
      <c r="E138" s="378">
        <f t="shared" si="14"/>
        <v>309.67382609272317</v>
      </c>
      <c r="F138" s="362">
        <f t="shared" si="15"/>
        <v>7.1922157707970294E-2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655</v>
      </c>
      <c r="C139" s="378">
        <f>C61-C138</f>
        <v>9392.621257101513</v>
      </c>
      <c r="D139" s="378">
        <f>LN_IB18-LN_ID19</f>
        <v>10307.137766358625</v>
      </c>
      <c r="E139" s="378">
        <f t="shared" si="14"/>
        <v>914.51650925711147</v>
      </c>
      <c r="F139" s="362">
        <f t="shared" si="15"/>
        <v>9.7365419537774903E-2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656</v>
      </c>
      <c r="C140" s="378">
        <f>C32-C138</f>
        <v>2519.8966935791359</v>
      </c>
      <c r="D140" s="378">
        <f>LN_IA16-LN_ID19</f>
        <v>2613.9844167132815</v>
      </c>
      <c r="E140" s="378">
        <f t="shared" si="14"/>
        <v>94.087723134145563</v>
      </c>
      <c r="F140" s="362">
        <f t="shared" si="15"/>
        <v>3.7337928722985879E-2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633</v>
      </c>
      <c r="C141" s="353">
        <f>C140*C137</f>
        <v>5726837.0153277079</v>
      </c>
      <c r="D141" s="353">
        <f>LN_ID21*LN_ID18</f>
        <v>8294503.8688579239</v>
      </c>
      <c r="E141" s="353">
        <f t="shared" si="14"/>
        <v>2567666.853530216</v>
      </c>
      <c r="F141" s="362">
        <f t="shared" si="15"/>
        <v>0.44835689345758095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657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624</v>
      </c>
      <c r="C144" s="361">
        <f>C118+C133</f>
        <v>122028972</v>
      </c>
      <c r="D144" s="361">
        <f>LN_ID1+LN_ID14</f>
        <v>182108561</v>
      </c>
      <c r="E144" s="361">
        <f>D144-C144</f>
        <v>60079589</v>
      </c>
      <c r="F144" s="362">
        <f>IF(C144=0,0,E144/C144)</f>
        <v>0.49233872919948879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625</v>
      </c>
      <c r="C145" s="361">
        <f>C119+C134</f>
        <v>21500232</v>
      </c>
      <c r="D145" s="361">
        <f>LN_1D2+LN_ID15</f>
        <v>28079037</v>
      </c>
      <c r="E145" s="361">
        <f>D145-C145</f>
        <v>6578805</v>
      </c>
      <c r="F145" s="362">
        <f>IF(C145=0,0,E145/C145)</f>
        <v>0.30598762841256782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626</v>
      </c>
      <c r="C146" s="361">
        <f>C144-C145</f>
        <v>100528740</v>
      </c>
      <c r="D146" s="361">
        <f>LN_ID23-LN_ID24</f>
        <v>154029524</v>
      </c>
      <c r="E146" s="361">
        <f>D146-C146</f>
        <v>53500784</v>
      </c>
      <c r="F146" s="362">
        <f>IF(C146=0,0,E146/C146)</f>
        <v>0.53219391787860859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635</v>
      </c>
      <c r="C148" s="361">
        <f>C127+C141</f>
        <v>14971794.678943377</v>
      </c>
      <c r="D148" s="361">
        <f>LN_ID10+LN_ID22</f>
        <v>19170291.745003909</v>
      </c>
      <c r="E148" s="361">
        <f>D148-C148</f>
        <v>4198497.0660605319</v>
      </c>
      <c r="F148" s="415">
        <f>IF(C148=0,0,E148/C148)</f>
        <v>0.28042710684280087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658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659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608</v>
      </c>
      <c r="C153" s="361">
        <v>19165732</v>
      </c>
      <c r="D153" s="361">
        <v>2840581</v>
      </c>
      <c r="E153" s="361">
        <f t="shared" ref="E153:E165" si="16">D153-C153</f>
        <v>-16325151</v>
      </c>
      <c r="F153" s="362">
        <f t="shared" ref="F153:F165" si="17">IF(C153=0,0,E153/C153)</f>
        <v>-0.85178854634928636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609</v>
      </c>
      <c r="C154" s="361">
        <v>1142274</v>
      </c>
      <c r="D154" s="361">
        <v>188215</v>
      </c>
      <c r="E154" s="361">
        <f t="shared" si="16"/>
        <v>-954059</v>
      </c>
      <c r="F154" s="362">
        <f t="shared" si="17"/>
        <v>-0.83522779998494234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610</v>
      </c>
      <c r="C155" s="366">
        <f>IF(C153=0,0,C154/C153)</f>
        <v>5.9599810745553573E-2</v>
      </c>
      <c r="D155" s="366">
        <f>IF(LN_IE1=0,0,LN_IE2/LN_IE1)</f>
        <v>6.6259332157752232E-2</v>
      </c>
      <c r="E155" s="367">
        <f t="shared" si="16"/>
        <v>6.6595214121986587E-3</v>
      </c>
      <c r="F155" s="362">
        <f t="shared" si="17"/>
        <v>0.1117372912580178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450</v>
      </c>
      <c r="D156" s="419">
        <v>108</v>
      </c>
      <c r="E156" s="419">
        <f t="shared" si="16"/>
        <v>-342</v>
      </c>
      <c r="F156" s="362">
        <f t="shared" si="17"/>
        <v>-0.76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611</v>
      </c>
      <c r="C157" s="372">
        <v>1.24499</v>
      </c>
      <c r="D157" s="372">
        <v>0.84397999999999995</v>
      </c>
      <c r="E157" s="373">
        <f t="shared" si="16"/>
        <v>-0.40101000000000009</v>
      </c>
      <c r="F157" s="362">
        <f t="shared" si="17"/>
        <v>-0.32209897268251159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612</v>
      </c>
      <c r="C158" s="376">
        <f>C156*C157</f>
        <v>560.24549999999999</v>
      </c>
      <c r="D158" s="376">
        <f>LN_IE4*LN_IE5</f>
        <v>91.149839999999998</v>
      </c>
      <c r="E158" s="376">
        <f t="shared" si="16"/>
        <v>-469.09566000000001</v>
      </c>
      <c r="F158" s="362">
        <f t="shared" si="17"/>
        <v>-0.83730375344380281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613</v>
      </c>
      <c r="C159" s="378">
        <f>IF(C158=0,0,C154/C158)</f>
        <v>2038.8811690589216</v>
      </c>
      <c r="D159" s="378">
        <f>IF(LN_IE6=0,0,LN_IE2/LN_IE6)</f>
        <v>2064.8966580742217</v>
      </c>
      <c r="E159" s="378">
        <f t="shared" si="16"/>
        <v>26.015489015300091</v>
      </c>
      <c r="F159" s="362">
        <f t="shared" si="17"/>
        <v>1.2759688700890772E-2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660</v>
      </c>
      <c r="C160" s="378">
        <f>C48-C159</f>
        <v>8991.1949660045429</v>
      </c>
      <c r="D160" s="378">
        <f>LN_IB7-LN_IE7</f>
        <v>9010.2538987755233</v>
      </c>
      <c r="E160" s="378">
        <f t="shared" si="16"/>
        <v>19.058932770980391</v>
      </c>
      <c r="F160" s="362">
        <f t="shared" si="17"/>
        <v>2.1197330102440981E-3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661</v>
      </c>
      <c r="C161" s="378">
        <f>C21-C159</f>
        <v>7218.0078394350758</v>
      </c>
      <c r="D161" s="378">
        <f>LN_IA7-LN_IE7</f>
        <v>6152.1038981754391</v>
      </c>
      <c r="E161" s="378">
        <f t="shared" si="16"/>
        <v>-1065.9039412596367</v>
      </c>
      <c r="F161" s="362">
        <f t="shared" si="17"/>
        <v>-0.14767287109833074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630</v>
      </c>
      <c r="C162" s="391">
        <f>C161*C158</f>
        <v>4043856.4110082239</v>
      </c>
      <c r="D162" s="391">
        <f>LN_IE9*LN_IE6</f>
        <v>560763.28598206758</v>
      </c>
      <c r="E162" s="391">
        <f t="shared" si="16"/>
        <v>-3483093.1250261562</v>
      </c>
      <c r="F162" s="362">
        <f t="shared" si="17"/>
        <v>-0.86132957528967824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3352</v>
      </c>
      <c r="D163" s="369">
        <v>682</v>
      </c>
      <c r="E163" s="419">
        <f t="shared" si="16"/>
        <v>-2670</v>
      </c>
      <c r="F163" s="362">
        <f t="shared" si="17"/>
        <v>-0.79653937947494036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614</v>
      </c>
      <c r="C164" s="378">
        <f>IF(C163=0,0,C154/C163)</f>
        <v>340.77386634844868</v>
      </c>
      <c r="D164" s="378">
        <f>IF(LN_IE11=0,0,LN_IE2/LN_IE11)</f>
        <v>275.97507331378301</v>
      </c>
      <c r="E164" s="378">
        <f t="shared" si="16"/>
        <v>-64.798793034665664</v>
      </c>
      <c r="F164" s="362">
        <f t="shared" si="17"/>
        <v>-0.19015188496998034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615</v>
      </c>
      <c r="C165" s="379">
        <f>IF(C156=0,0,C163/C156)</f>
        <v>7.4488888888888889</v>
      </c>
      <c r="D165" s="379">
        <f>IF(LN_IE4=0,0,LN_IE11/LN_IE4)</f>
        <v>6.3148148148148149</v>
      </c>
      <c r="E165" s="379">
        <f t="shared" si="16"/>
        <v>-1.134074074074074</v>
      </c>
      <c r="F165" s="362">
        <f t="shared" si="17"/>
        <v>-0.15224741447891804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662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617</v>
      </c>
      <c r="C168" s="424">
        <v>12848512</v>
      </c>
      <c r="D168" s="424">
        <v>1533842</v>
      </c>
      <c r="E168" s="424">
        <f t="shared" ref="E168:E176" si="18">D168-C168</f>
        <v>-11314670</v>
      </c>
      <c r="F168" s="362">
        <f t="shared" ref="F168:F176" si="19">IF(C168=0,0,E168/C168)</f>
        <v>-0.88062104000836827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618</v>
      </c>
      <c r="C169" s="424">
        <v>859141</v>
      </c>
      <c r="D169" s="424">
        <v>149887</v>
      </c>
      <c r="E169" s="424">
        <f t="shared" si="18"/>
        <v>-709254</v>
      </c>
      <c r="F169" s="362">
        <f t="shared" si="19"/>
        <v>-0.82553853209193839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619</v>
      </c>
      <c r="C170" s="366">
        <f>IF(C168=0,0,C169/C168)</f>
        <v>6.6866964828300735E-2</v>
      </c>
      <c r="D170" s="366">
        <f>IF(LN_IE14=0,0,LN_IE15/LN_IE14)</f>
        <v>9.7719973765224843E-2</v>
      </c>
      <c r="E170" s="367">
        <f t="shared" si="18"/>
        <v>3.0853008936924109E-2</v>
      </c>
      <c r="F170" s="362">
        <f t="shared" si="19"/>
        <v>0.4614088439059208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620</v>
      </c>
      <c r="C171" s="366">
        <f>IF(C153=0,0,C168/C153)</f>
        <v>0.67038983953234865</v>
      </c>
      <c r="D171" s="366">
        <f>IF(LN_IE1=0,0,LN_IE14/LN_IE1)</f>
        <v>0.53997474460330475</v>
      </c>
      <c r="E171" s="367">
        <f t="shared" si="18"/>
        <v>-0.13041509492904391</v>
      </c>
      <c r="F171" s="362">
        <f t="shared" si="19"/>
        <v>-0.19453620451649301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621</v>
      </c>
      <c r="C172" s="376">
        <f>C171*C156</f>
        <v>301.67542778955692</v>
      </c>
      <c r="D172" s="376">
        <f>LN_IE17*LN_IE4</f>
        <v>58.317272417156914</v>
      </c>
      <c r="E172" s="376">
        <f t="shared" si="18"/>
        <v>-243.35815537240001</v>
      </c>
      <c r="F172" s="362">
        <f t="shared" si="19"/>
        <v>-0.8066886890839583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622</v>
      </c>
      <c r="C173" s="378">
        <f>IF(C172=0,0,C169/C172)</f>
        <v>2847.8985056725287</v>
      </c>
      <c r="D173" s="378">
        <f>IF(LN_IE18=0,0,LN_IE15/LN_IE18)</f>
        <v>2570.1990814629271</v>
      </c>
      <c r="E173" s="378">
        <f t="shared" si="18"/>
        <v>-277.6994242096016</v>
      </c>
      <c r="F173" s="362">
        <f t="shared" si="19"/>
        <v>-9.7510295277894093E-2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663</v>
      </c>
      <c r="C174" s="378">
        <f>C61-C173</f>
        <v>10850.403169835086</v>
      </c>
      <c r="D174" s="378">
        <f>LN_IB18-LN_IE19</f>
        <v>12352.292929394524</v>
      </c>
      <c r="E174" s="378">
        <f t="shared" si="18"/>
        <v>1501.8897595594372</v>
      </c>
      <c r="F174" s="362">
        <f t="shared" si="19"/>
        <v>0.13841787591218735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664</v>
      </c>
      <c r="C175" s="378">
        <f>C32-C173</f>
        <v>3977.6786063127092</v>
      </c>
      <c r="D175" s="378">
        <f>LN_IA16-LN_IE19</f>
        <v>4659.1395797491796</v>
      </c>
      <c r="E175" s="378">
        <f t="shared" si="18"/>
        <v>681.46097343647034</v>
      </c>
      <c r="F175" s="362">
        <f t="shared" si="19"/>
        <v>0.17132127576998527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633</v>
      </c>
      <c r="C176" s="353">
        <f>C175*C172</f>
        <v>1199967.8951687552</v>
      </c>
      <c r="D176" s="353">
        <f>LN_IE21*LN_IE18</f>
        <v>271708.31210179091</v>
      </c>
      <c r="E176" s="353">
        <f t="shared" si="18"/>
        <v>-928259.58306696429</v>
      </c>
      <c r="F176" s="362">
        <f t="shared" si="19"/>
        <v>-0.77357034867705377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665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624</v>
      </c>
      <c r="C179" s="361">
        <f>C153+C168</f>
        <v>32014244</v>
      </c>
      <c r="D179" s="361">
        <f>LN_IE1+LN_IE14</f>
        <v>4374423</v>
      </c>
      <c r="E179" s="361">
        <f>D179-C179</f>
        <v>-27639821</v>
      </c>
      <c r="F179" s="362">
        <f>IF(C179=0,0,E179/C179)</f>
        <v>-0.86336010308411471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625</v>
      </c>
      <c r="C180" s="361">
        <f>C154+C169</f>
        <v>2001415</v>
      </c>
      <c r="D180" s="361">
        <f>LN_IE15+LN_IE2</f>
        <v>338102</v>
      </c>
      <c r="E180" s="361">
        <f>D180-C180</f>
        <v>-1663313</v>
      </c>
      <c r="F180" s="362">
        <f>IF(C180=0,0,E180/C180)</f>
        <v>-0.83106851902279133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626</v>
      </c>
      <c r="C181" s="361">
        <f>C179-C180</f>
        <v>30012829</v>
      </c>
      <c r="D181" s="361">
        <f>LN_IE23-LN_IE24</f>
        <v>4036321</v>
      </c>
      <c r="E181" s="361">
        <f>D181-C181</f>
        <v>-25976508</v>
      </c>
      <c r="F181" s="362">
        <f>IF(C181=0,0,E181/C181)</f>
        <v>-0.86551347758653474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666</v>
      </c>
      <c r="C183" s="361">
        <f>C162+C176</f>
        <v>5243824.3061769791</v>
      </c>
      <c r="D183" s="361">
        <f>LN_IE10+LN_IE22</f>
        <v>832471.59808385849</v>
      </c>
      <c r="E183" s="353">
        <f>D183-C183</f>
        <v>-4411352.7080931207</v>
      </c>
      <c r="F183" s="362">
        <f>IF(C183=0,0,E183/C183)</f>
        <v>-0.84124723684902147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667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668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608</v>
      </c>
      <c r="C188" s="361">
        <f>C118+C153</f>
        <v>82558444</v>
      </c>
      <c r="D188" s="361">
        <f>LN_ID1+LN_IE1</f>
        <v>91928898</v>
      </c>
      <c r="E188" s="361">
        <f t="shared" ref="E188:E200" si="20">D188-C188</f>
        <v>9370454</v>
      </c>
      <c r="F188" s="362">
        <f t="shared" ref="F188:F200" si="21">IF(C188=0,0,E188/C188)</f>
        <v>0.11350085522445166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609</v>
      </c>
      <c r="C189" s="361">
        <f>C119+C154</f>
        <v>12857212</v>
      </c>
      <c r="D189" s="361">
        <f>LN_1D2+LN_IE2</f>
        <v>13622148</v>
      </c>
      <c r="E189" s="361">
        <f t="shared" si="20"/>
        <v>764936</v>
      </c>
      <c r="F189" s="362">
        <f t="shared" si="21"/>
        <v>5.9494702272934442E-2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610</v>
      </c>
      <c r="C190" s="366">
        <f>IF(C188=0,0,C189/C188)</f>
        <v>0.15573466961174801</v>
      </c>
      <c r="D190" s="366">
        <f>IF(LN_IF1=0,0,LN_IF2/LN_IF1)</f>
        <v>0.14818134771940811</v>
      </c>
      <c r="E190" s="367">
        <f t="shared" si="20"/>
        <v>-7.5533218923398981E-3</v>
      </c>
      <c r="F190" s="362">
        <f t="shared" si="21"/>
        <v>-4.8501222696080419E-2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2907</v>
      </c>
      <c r="D191" s="369">
        <f>LN_ID4+LN_IE4</f>
        <v>3147</v>
      </c>
      <c r="E191" s="369">
        <f t="shared" si="20"/>
        <v>240</v>
      </c>
      <c r="F191" s="362">
        <f t="shared" si="21"/>
        <v>8.2559339525283798E-2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611</v>
      </c>
      <c r="C192" s="372">
        <f>IF((C121+C156)=0,0,(C123+C158)/(C121+C156))</f>
        <v>0.97161811145510835</v>
      </c>
      <c r="D192" s="372">
        <f>IF((LN_ID4+LN_IE4)=0,0,(LN_ID6+LN_IE6)/(LN_ID4+LN_IE4))</f>
        <v>0.96905508102955196</v>
      </c>
      <c r="E192" s="373">
        <f t="shared" si="20"/>
        <v>-2.5630304255563896E-3</v>
      </c>
      <c r="F192" s="362">
        <f t="shared" si="21"/>
        <v>-2.6378989804111009E-3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612</v>
      </c>
      <c r="C193" s="376">
        <f>C123+C158</f>
        <v>2824.4938499999998</v>
      </c>
      <c r="D193" s="376">
        <f>LN_IF4*LN_IF5</f>
        <v>3049.61634</v>
      </c>
      <c r="E193" s="376">
        <f t="shared" si="20"/>
        <v>225.1224900000002</v>
      </c>
      <c r="F193" s="362">
        <f t="shared" si="21"/>
        <v>7.970365734731559E-2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613</v>
      </c>
      <c r="C194" s="378">
        <f>IF(C193=0,0,C189/C193)</f>
        <v>4552.0410674641762</v>
      </c>
      <c r="D194" s="378">
        <f>IF(LN_IF6=0,0,LN_IF2/LN_IF6)</f>
        <v>4466.8399173123526</v>
      </c>
      <c r="E194" s="378">
        <f t="shared" si="20"/>
        <v>-85.20115015182364</v>
      </c>
      <c r="F194" s="362">
        <f t="shared" si="21"/>
        <v>-1.8717131258063756E-2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669</v>
      </c>
      <c r="C195" s="378">
        <f>C48-C194</f>
        <v>6478.0350675992877</v>
      </c>
      <c r="D195" s="378">
        <f>LN_IB7-LN_IF7</f>
        <v>6608.3106395373925</v>
      </c>
      <c r="E195" s="378">
        <f t="shared" si="20"/>
        <v>130.2755719381048</v>
      </c>
      <c r="F195" s="362">
        <f t="shared" si="21"/>
        <v>2.0110352997268349E-2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670</v>
      </c>
      <c r="C196" s="378">
        <f>C21-C194</f>
        <v>4704.8479410298214</v>
      </c>
      <c r="D196" s="378">
        <f>LN_IA7-LN_IF7</f>
        <v>3750.1606389373082</v>
      </c>
      <c r="E196" s="378">
        <f t="shared" si="20"/>
        <v>-954.68730209251316</v>
      </c>
      <c r="F196" s="362">
        <f t="shared" si="21"/>
        <v>-0.20291565509841883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630</v>
      </c>
      <c r="C197" s="391">
        <f>C127+C162</f>
        <v>13288814.074623892</v>
      </c>
      <c r="D197" s="391">
        <f>LN_IF9*LN_IF6</f>
        <v>11436551.162128055</v>
      </c>
      <c r="E197" s="391">
        <f t="shared" si="20"/>
        <v>-1852262.9124958366</v>
      </c>
      <c r="F197" s="362">
        <f t="shared" si="21"/>
        <v>-0.13938511759547365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14326</v>
      </c>
      <c r="D198" s="369">
        <f>LN_ID11+LN_IE11</f>
        <v>14568</v>
      </c>
      <c r="E198" s="369">
        <f t="shared" si="20"/>
        <v>242</v>
      </c>
      <c r="F198" s="362">
        <f t="shared" si="21"/>
        <v>1.6892363534831773E-2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614</v>
      </c>
      <c r="C199" s="432">
        <f>IF(C198=0,0,C189/C198)</f>
        <v>897.47396342314676</v>
      </c>
      <c r="D199" s="432">
        <f>IF(LN_IF11=0,0,LN_IF2/LN_IF11)</f>
        <v>935.0733113673806</v>
      </c>
      <c r="E199" s="432">
        <f t="shared" si="20"/>
        <v>37.599347944233841</v>
      </c>
      <c r="F199" s="362">
        <f t="shared" si="21"/>
        <v>4.1894639261536172E-2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615</v>
      </c>
      <c r="C200" s="379">
        <f>IF(C191=0,0,C198/C191)</f>
        <v>4.9281045751633989</v>
      </c>
      <c r="D200" s="379">
        <f>IF(LN_IF4=0,0,LN_IF11/LN_IF4)</f>
        <v>4.6291706387035267</v>
      </c>
      <c r="E200" s="379">
        <f t="shared" si="20"/>
        <v>-0.29893393645987221</v>
      </c>
      <c r="F200" s="362">
        <f t="shared" si="21"/>
        <v>-6.0659008326737991E-2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671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617</v>
      </c>
      <c r="C203" s="361">
        <f>C133+C168</f>
        <v>71484772</v>
      </c>
      <c r="D203" s="361">
        <f>LN_ID14+LN_IE14</f>
        <v>94554086</v>
      </c>
      <c r="E203" s="361">
        <f t="shared" ref="E203:E211" si="22">D203-C203</f>
        <v>23069314</v>
      </c>
      <c r="F203" s="362">
        <f t="shared" ref="F203:F211" si="23">IF(C203=0,0,E203/C203)</f>
        <v>0.32271648009173198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618</v>
      </c>
      <c r="C204" s="361">
        <f>C134+C169</f>
        <v>10644435</v>
      </c>
      <c r="D204" s="361">
        <f>LN_ID15+LN_IE15</f>
        <v>14794991</v>
      </c>
      <c r="E204" s="361">
        <f t="shared" si="22"/>
        <v>4150556</v>
      </c>
      <c r="F204" s="362">
        <f t="shared" si="23"/>
        <v>0.38992731882904069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619</v>
      </c>
      <c r="C205" s="366">
        <f>IF(C203=0,0,C204/C203)</f>
        <v>0.14890493040951436</v>
      </c>
      <c r="D205" s="366">
        <f>IF(LN_IF14=0,0,LN_IF15/LN_IF14)</f>
        <v>0.15647119681321864</v>
      </c>
      <c r="E205" s="367">
        <f t="shared" si="22"/>
        <v>7.5662664037042804E-3</v>
      </c>
      <c r="F205" s="362">
        <f t="shared" si="23"/>
        <v>5.0812732546167118E-2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620</v>
      </c>
      <c r="C206" s="366">
        <f>IF(C188=0,0,C203/C188)</f>
        <v>0.8658686929710061</v>
      </c>
      <c r="D206" s="366">
        <f>IF(LN_IF1=0,0,LN_IF14/LN_IF1)</f>
        <v>1.0285567221745657</v>
      </c>
      <c r="E206" s="367">
        <f t="shared" si="22"/>
        <v>0.16268802920355963</v>
      </c>
      <c r="F206" s="362">
        <f t="shared" si="23"/>
        <v>0.18788995435940456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621</v>
      </c>
      <c r="C207" s="376">
        <f>C137+C172</f>
        <v>2574.3229652541163</v>
      </c>
      <c r="D207" s="376">
        <f>LN_ID18+LN_IE18</f>
        <v>3231.4440193956634</v>
      </c>
      <c r="E207" s="376">
        <f t="shared" si="22"/>
        <v>657.12105414154712</v>
      </c>
      <c r="F207" s="362">
        <f t="shared" si="23"/>
        <v>0.25525975684122504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622</v>
      </c>
      <c r="C208" s="378">
        <f>IF(C207=0,0,C204/C207)</f>
        <v>4134.8483246542719</v>
      </c>
      <c r="D208" s="378">
        <f>IF(LN_IF18=0,0,LN_IF15/LN_IF18)</f>
        <v>4578.4457076149265</v>
      </c>
      <c r="E208" s="378">
        <f t="shared" si="22"/>
        <v>443.59738296065461</v>
      </c>
      <c r="F208" s="362">
        <f t="shared" si="23"/>
        <v>0.1072826251728944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672</v>
      </c>
      <c r="C209" s="378">
        <f>C61-C208</f>
        <v>9563.4533508533423</v>
      </c>
      <c r="D209" s="378">
        <f>LN_IB18-LN_IF19</f>
        <v>10344.046303242523</v>
      </c>
      <c r="E209" s="378">
        <f t="shared" si="22"/>
        <v>780.59295238918094</v>
      </c>
      <c r="F209" s="362">
        <f t="shared" si="23"/>
        <v>8.1622498040368335E-2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673</v>
      </c>
      <c r="C210" s="378">
        <f>C32-C208</f>
        <v>2690.728787330966</v>
      </c>
      <c r="D210" s="378">
        <f>LN_IA16-LN_IF19</f>
        <v>2650.8929535971802</v>
      </c>
      <c r="E210" s="378">
        <f t="shared" si="22"/>
        <v>-39.835833733785876</v>
      </c>
      <c r="F210" s="362">
        <f t="shared" si="23"/>
        <v>-1.4804849125392724E-2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633</v>
      </c>
      <c r="C211" s="391">
        <f>C141+C176</f>
        <v>6926804.9104964631</v>
      </c>
      <c r="D211" s="353">
        <f>LN_IF21*LN_IF18</f>
        <v>8566212.1809597146</v>
      </c>
      <c r="E211" s="353">
        <f t="shared" si="22"/>
        <v>1639407.2704632515</v>
      </c>
      <c r="F211" s="362">
        <f t="shared" si="23"/>
        <v>0.236675825528014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674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624</v>
      </c>
      <c r="C214" s="361">
        <f>C188+C203</f>
        <v>154043216</v>
      </c>
      <c r="D214" s="361">
        <f>LN_IF1+LN_IF14</f>
        <v>186482984</v>
      </c>
      <c r="E214" s="361">
        <f>D214-C214</f>
        <v>32439768</v>
      </c>
      <c r="F214" s="362">
        <f>IF(C214=0,0,E214/C214)</f>
        <v>0.21058874803029301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625</v>
      </c>
      <c r="C215" s="361">
        <f>C189+C204</f>
        <v>23501647</v>
      </c>
      <c r="D215" s="361">
        <f>LN_IF2+LN_IF15</f>
        <v>28417139</v>
      </c>
      <c r="E215" s="361">
        <f>D215-C215</f>
        <v>4915492</v>
      </c>
      <c r="F215" s="362">
        <f>IF(C215=0,0,E215/C215)</f>
        <v>0.20915521367502457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626</v>
      </c>
      <c r="C216" s="361">
        <f>C214-C215</f>
        <v>130541569</v>
      </c>
      <c r="D216" s="361">
        <f>LN_IF23-LN_IF24</f>
        <v>158065845</v>
      </c>
      <c r="E216" s="361">
        <f>D216-C216</f>
        <v>27524276</v>
      </c>
      <c r="F216" s="362">
        <f>IF(C216=0,0,E216/C216)</f>
        <v>0.21084682994732507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675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676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608</v>
      </c>
      <c r="C221" s="361">
        <v>230354</v>
      </c>
      <c r="D221" s="361">
        <v>1000373</v>
      </c>
      <c r="E221" s="361">
        <f t="shared" ref="E221:E230" si="24">D221-C221</f>
        <v>770019</v>
      </c>
      <c r="F221" s="362">
        <f t="shared" ref="F221:F230" si="25">IF(C221=0,0,E221/C221)</f>
        <v>3.3427637462340574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609</v>
      </c>
      <c r="C222" s="361">
        <v>59886</v>
      </c>
      <c r="D222" s="361">
        <v>248767</v>
      </c>
      <c r="E222" s="361">
        <f t="shared" si="24"/>
        <v>188881</v>
      </c>
      <c r="F222" s="362">
        <f t="shared" si="25"/>
        <v>3.1540092843068499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610</v>
      </c>
      <c r="C223" s="366">
        <f>IF(C221=0,0,C222/C221)</f>
        <v>0.259973779487224</v>
      </c>
      <c r="D223" s="366">
        <f>IF(LN_IG1=0,0,LN_IG2/LN_IG1)</f>
        <v>0.24867424450679895</v>
      </c>
      <c r="E223" s="367">
        <f t="shared" si="24"/>
        <v>-1.1299534980425047E-2</v>
      </c>
      <c r="F223" s="362">
        <f t="shared" si="25"/>
        <v>-4.3464133201095941E-2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13</v>
      </c>
      <c r="D224" s="369">
        <v>16</v>
      </c>
      <c r="E224" s="369">
        <f t="shared" si="24"/>
        <v>3</v>
      </c>
      <c r="F224" s="362">
        <f t="shared" si="25"/>
        <v>0.23076923076923078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611</v>
      </c>
      <c r="C225" s="372">
        <v>0.75034000000000001</v>
      </c>
      <c r="D225" s="372">
        <v>1.3145</v>
      </c>
      <c r="E225" s="373">
        <f t="shared" si="24"/>
        <v>0.56415999999999999</v>
      </c>
      <c r="F225" s="362">
        <f t="shared" si="25"/>
        <v>0.75187248447370525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612</v>
      </c>
      <c r="C226" s="376">
        <f>C224*C225</f>
        <v>9.7544199999999996</v>
      </c>
      <c r="D226" s="376">
        <f>LN_IG3*LN_IG4</f>
        <v>21.032</v>
      </c>
      <c r="E226" s="376">
        <f t="shared" si="24"/>
        <v>11.27758</v>
      </c>
      <c r="F226" s="362">
        <f t="shared" si="25"/>
        <v>1.1561507501214834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613</v>
      </c>
      <c r="C227" s="378">
        <f>IF(C226=0,0,C222/C226)</f>
        <v>6139.3706647858098</v>
      </c>
      <c r="D227" s="378">
        <f>IF(LN_IG5=0,0,LN_IG2/LN_IG5)</f>
        <v>11828.023963484215</v>
      </c>
      <c r="E227" s="378">
        <f t="shared" si="24"/>
        <v>5688.6532986984048</v>
      </c>
      <c r="F227" s="362">
        <f t="shared" si="25"/>
        <v>0.92658573806715583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51</v>
      </c>
      <c r="D228" s="369">
        <v>65</v>
      </c>
      <c r="E228" s="369">
        <f t="shared" si="24"/>
        <v>14</v>
      </c>
      <c r="F228" s="362">
        <f t="shared" si="25"/>
        <v>0.27450980392156865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614</v>
      </c>
      <c r="C229" s="378">
        <f>IF(C228=0,0,C222/C228)</f>
        <v>1174.2352941176471</v>
      </c>
      <c r="D229" s="378">
        <f>IF(LN_IG6=0,0,LN_IG2/LN_IG6)</f>
        <v>3827.1846153846154</v>
      </c>
      <c r="E229" s="378">
        <f t="shared" si="24"/>
        <v>2652.9493212669686</v>
      </c>
      <c r="F229" s="362">
        <f t="shared" si="25"/>
        <v>2.2592995923022978</v>
      </c>
      <c r="Q229" s="330"/>
      <c r="U229" s="375"/>
    </row>
    <row r="230" spans="1:21" ht="11.25" customHeight="1" x14ac:dyDescent="0.2">
      <c r="A230" s="364">
        <v>10</v>
      </c>
      <c r="B230" s="360" t="s">
        <v>615</v>
      </c>
      <c r="C230" s="379">
        <f>IF(C224=0,0,C228/C224)</f>
        <v>3.9230769230769229</v>
      </c>
      <c r="D230" s="379">
        <f>IF(LN_IG3=0,0,LN_IG6/LN_IG3)</f>
        <v>4.0625</v>
      </c>
      <c r="E230" s="379">
        <f t="shared" si="24"/>
        <v>0.13942307692307709</v>
      </c>
      <c r="F230" s="362">
        <f t="shared" si="25"/>
        <v>3.5539215686274557E-2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677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617</v>
      </c>
      <c r="C233" s="361">
        <v>445996</v>
      </c>
      <c r="D233" s="361">
        <v>656717</v>
      </c>
      <c r="E233" s="361">
        <f>D233-C233</f>
        <v>210721</v>
      </c>
      <c r="F233" s="362">
        <f>IF(C233=0,0,E233/C233)</f>
        <v>0.47247284729011024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618</v>
      </c>
      <c r="C234" s="361">
        <v>50252</v>
      </c>
      <c r="D234" s="361">
        <v>123693</v>
      </c>
      <c r="E234" s="361">
        <f>D234-C234</f>
        <v>73441</v>
      </c>
      <c r="F234" s="362">
        <f>IF(C234=0,0,E234/C234)</f>
        <v>1.461454270476797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678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624</v>
      </c>
      <c r="C237" s="361">
        <f>C221+C233</f>
        <v>676350</v>
      </c>
      <c r="D237" s="361">
        <f>LN_IG1+LN_IG9</f>
        <v>1657090</v>
      </c>
      <c r="E237" s="361">
        <f>D237-C237</f>
        <v>980740</v>
      </c>
      <c r="F237" s="362">
        <f>IF(C237=0,0,E237/C237)</f>
        <v>1.45004805204406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625</v>
      </c>
      <c r="C238" s="361">
        <f>C222+C234</f>
        <v>110138</v>
      </c>
      <c r="D238" s="361">
        <f>LN_IG2+LN_IG10</f>
        <v>372460</v>
      </c>
      <c r="E238" s="361">
        <f>D238-C238</f>
        <v>262322</v>
      </c>
      <c r="F238" s="362">
        <f>IF(C238=0,0,E238/C238)</f>
        <v>2.3817574315858288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626</v>
      </c>
      <c r="C239" s="361">
        <f>C237-C238</f>
        <v>566212</v>
      </c>
      <c r="D239" s="361">
        <f>LN_IG13-LN_IG14</f>
        <v>1284630</v>
      </c>
      <c r="E239" s="361">
        <f>D239-C239</f>
        <v>718418</v>
      </c>
      <c r="F239" s="362">
        <f>IF(C239=0,0,E239/C239)</f>
        <v>1.2688145076402477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679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680</v>
      </c>
      <c r="C243" s="361">
        <v>24062351</v>
      </c>
      <c r="D243" s="361">
        <v>24588226</v>
      </c>
      <c r="E243" s="353">
        <f>D243-C243</f>
        <v>525875</v>
      </c>
      <c r="F243" s="415">
        <f>IF(C243=0,0,E243/C243)</f>
        <v>2.1854680783270096E-2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681</v>
      </c>
      <c r="C244" s="361">
        <v>431680034</v>
      </c>
      <c r="D244" s="361">
        <v>461480665</v>
      </c>
      <c r="E244" s="353">
        <f>D244-C244</f>
        <v>29800631</v>
      </c>
      <c r="F244" s="415">
        <f>IF(C244=0,0,E244/C244)</f>
        <v>6.9034073046797428E-2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682</v>
      </c>
      <c r="C245" s="400">
        <v>2850410</v>
      </c>
      <c r="D245" s="400">
        <v>0</v>
      </c>
      <c r="E245" s="400">
        <f>D245-C245</f>
        <v>-2850410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683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684</v>
      </c>
      <c r="C248" s="353">
        <v>23197082</v>
      </c>
      <c r="D248" s="353">
        <v>27344589</v>
      </c>
      <c r="E248" s="353">
        <f>D248-C248</f>
        <v>4147507</v>
      </c>
      <c r="F248" s="362">
        <f>IF(C248=0,0,E248/C248)</f>
        <v>0.17879434146070614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685</v>
      </c>
      <c r="C249" s="353">
        <v>42704703</v>
      </c>
      <c r="D249" s="353">
        <v>46972113</v>
      </c>
      <c r="E249" s="353">
        <f>D249-C249</f>
        <v>4267410</v>
      </c>
      <c r="F249" s="362">
        <f>IF(C249=0,0,E249/C249)</f>
        <v>9.9928338103651024E-2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686</v>
      </c>
      <c r="C250" s="353">
        <f>C248+C249</f>
        <v>65901785</v>
      </c>
      <c r="D250" s="353">
        <f>LN_IH4+LN_IH5</f>
        <v>74316702</v>
      </c>
      <c r="E250" s="353">
        <f>D250-C250</f>
        <v>8414917</v>
      </c>
      <c r="F250" s="362">
        <f>IF(C250=0,0,E250/C250)</f>
        <v>0.12768875683716305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687</v>
      </c>
      <c r="C251" s="353">
        <f>C250*C313</f>
        <v>23866565.56902891</v>
      </c>
      <c r="D251" s="353">
        <f>LN_IH6*LN_III10</f>
        <v>26183182.184061017</v>
      </c>
      <c r="E251" s="353">
        <f>D251-C251</f>
        <v>2316616.6150321066</v>
      </c>
      <c r="F251" s="362">
        <f>IF(C251=0,0,E251/C251)</f>
        <v>9.7065353133101245E-2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688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624</v>
      </c>
      <c r="C254" s="353">
        <f>C188+C203</f>
        <v>154043216</v>
      </c>
      <c r="D254" s="353">
        <f>LN_IF23</f>
        <v>186482984</v>
      </c>
      <c r="E254" s="353">
        <f>D254-C254</f>
        <v>32439768</v>
      </c>
      <c r="F254" s="362">
        <f>IF(C254=0,0,E254/C254)</f>
        <v>0.21058874803029301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625</v>
      </c>
      <c r="C255" s="353">
        <f>C189+C204</f>
        <v>23501647</v>
      </c>
      <c r="D255" s="353">
        <f>LN_IF24</f>
        <v>28417139</v>
      </c>
      <c r="E255" s="353">
        <f>D255-C255</f>
        <v>4915492</v>
      </c>
      <c r="F255" s="362">
        <f>IF(C255=0,0,E255/C255)</f>
        <v>0.20915521367502457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689</v>
      </c>
      <c r="C256" s="353">
        <f>C254*C313</f>
        <v>55787297.948425576</v>
      </c>
      <c r="D256" s="353">
        <f>LN_IH8*LN_III10</f>
        <v>65701488.533483848</v>
      </c>
      <c r="E256" s="353">
        <f>D256-C256</f>
        <v>9914190.5850582719</v>
      </c>
      <c r="F256" s="362">
        <f>IF(C256=0,0,E256/C256)</f>
        <v>0.17771412041185031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690</v>
      </c>
      <c r="C257" s="353">
        <f>C256-C255</f>
        <v>32285650.948425576</v>
      </c>
      <c r="D257" s="353">
        <f>LN_IH10-LN_IH9</f>
        <v>37284349.533483848</v>
      </c>
      <c r="E257" s="353">
        <f>D257-C257</f>
        <v>4998698.5850582719</v>
      </c>
      <c r="F257" s="362">
        <f>IF(C257=0,0,E257/C257)</f>
        <v>0.1548272510609558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691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692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693</v>
      </c>
      <c r="C261" s="361">
        <f>C15+C42+C188+C221</f>
        <v>578603475</v>
      </c>
      <c r="D261" s="361">
        <f>LN_IA1+LN_IB1+LN_IF1+LN_IG1</f>
        <v>596153309</v>
      </c>
      <c r="E261" s="361">
        <f t="shared" ref="E261:E274" si="26">D261-C261</f>
        <v>17549834</v>
      </c>
      <c r="F261" s="415">
        <f t="shared" ref="F261:F274" si="27">IF(C261=0,0,E261/C261)</f>
        <v>3.0331366399069762E-2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694</v>
      </c>
      <c r="C262" s="361">
        <f>C16+C43+C189+C222</f>
        <v>168753453</v>
      </c>
      <c r="D262" s="361">
        <f>+LN_IA2+LN_IB2+LN_IF2+LN_IG2</f>
        <v>160022808</v>
      </c>
      <c r="E262" s="361">
        <f t="shared" si="26"/>
        <v>-8730645</v>
      </c>
      <c r="F262" s="415">
        <f t="shared" si="27"/>
        <v>-5.1736096920043467E-2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695</v>
      </c>
      <c r="C263" s="366">
        <f>IF(C261=0,0,C262/C261)</f>
        <v>0.29165648028643448</v>
      </c>
      <c r="D263" s="366">
        <f>IF(LN_IIA1=0,0,LN_IIA2/LN_IIA1)</f>
        <v>0.26842559721496068</v>
      </c>
      <c r="E263" s="367">
        <f t="shared" si="26"/>
        <v>-2.3230883071473807E-2</v>
      </c>
      <c r="F263" s="371">
        <f t="shared" si="27"/>
        <v>-7.9651523767477625E-2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696</v>
      </c>
      <c r="C264" s="369">
        <f>C18+C45+C191+C224</f>
        <v>15089</v>
      </c>
      <c r="D264" s="369">
        <f>LN_IA4+LN_IB4+LN_IF4+LN_IG3</f>
        <v>14940</v>
      </c>
      <c r="E264" s="369">
        <f t="shared" si="26"/>
        <v>-149</v>
      </c>
      <c r="F264" s="415">
        <f t="shared" si="27"/>
        <v>-9.8747431904036061E-3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697</v>
      </c>
      <c r="C265" s="439">
        <f>IF(C264=0,0,C266/C264)</f>
        <v>1.2121896659818412</v>
      </c>
      <c r="D265" s="439">
        <f>IF(LN_IIA4=0,0,LN_IIA6/LN_IIA4)</f>
        <v>1.2262559310575634</v>
      </c>
      <c r="E265" s="439">
        <f t="shared" si="26"/>
        <v>1.4066265075722173E-2</v>
      </c>
      <c r="F265" s="415">
        <f t="shared" si="27"/>
        <v>1.1604013357372482E-2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698</v>
      </c>
      <c r="C266" s="376">
        <f>C20+C47+C193+C226</f>
        <v>18290.729870000003</v>
      </c>
      <c r="D266" s="376">
        <f>LN_IA6+LN_IB6+LN_IF6+LN_IG5</f>
        <v>18320.263609999998</v>
      </c>
      <c r="E266" s="376">
        <f t="shared" si="26"/>
        <v>29.533739999995305</v>
      </c>
      <c r="F266" s="415">
        <f t="shared" si="27"/>
        <v>1.6146835150868313E-3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699</v>
      </c>
      <c r="C267" s="361">
        <f>C27+C56+C203+C233</f>
        <v>710022246</v>
      </c>
      <c r="D267" s="361">
        <f>LN_IA11+LN_IB13+LN_IF14+LN_IG9</f>
        <v>863179215</v>
      </c>
      <c r="E267" s="361">
        <f t="shared" si="26"/>
        <v>153156969</v>
      </c>
      <c r="F267" s="415">
        <f t="shared" si="27"/>
        <v>0.21570728221943627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620</v>
      </c>
      <c r="C268" s="366">
        <f>IF(C261=0,0,C267/C261)</f>
        <v>1.2271309742825172</v>
      </c>
      <c r="D268" s="366">
        <f>IF(LN_IIA1=0,0,LN_IIA7/LN_IIA1)</f>
        <v>1.4479148265534496</v>
      </c>
      <c r="E268" s="367">
        <f t="shared" si="26"/>
        <v>0.22078385227093245</v>
      </c>
      <c r="F268" s="371">
        <f t="shared" si="27"/>
        <v>0.17991873475447154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700</v>
      </c>
      <c r="C269" s="361">
        <f>C28+C57+C204+C234</f>
        <v>226233451</v>
      </c>
      <c r="D269" s="361">
        <f>LN_IA12+LN_IB14+LN_IF15+LN_IG10</f>
        <v>267251013</v>
      </c>
      <c r="E269" s="361">
        <f t="shared" si="26"/>
        <v>41017562</v>
      </c>
      <c r="F269" s="415">
        <f t="shared" si="27"/>
        <v>0.18130635332084466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619</v>
      </c>
      <c r="C270" s="366">
        <f>IF(C267=0,0,C269/C267)</f>
        <v>0.31862867998082417</v>
      </c>
      <c r="D270" s="366">
        <f>IF(LN_IIA7=0,0,LN_IIA9/LN_IIA7)</f>
        <v>0.30961242851520698</v>
      </c>
      <c r="E270" s="367">
        <f t="shared" si="26"/>
        <v>-9.0162514656171866E-3</v>
      </c>
      <c r="F270" s="371">
        <f t="shared" si="27"/>
        <v>-2.829704929939077E-2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701</v>
      </c>
      <c r="C271" s="353">
        <f>C261+C267</f>
        <v>1288625721</v>
      </c>
      <c r="D271" s="353">
        <f>LN_IIA1+LN_IIA7</f>
        <v>1459332524</v>
      </c>
      <c r="E271" s="353">
        <f t="shared" si="26"/>
        <v>170706803</v>
      </c>
      <c r="F271" s="415">
        <f t="shared" si="27"/>
        <v>0.13247198175396346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702</v>
      </c>
      <c r="C272" s="353">
        <f>C262+C269</f>
        <v>394986904</v>
      </c>
      <c r="D272" s="353">
        <f>LN_IIA2+LN_IIA9</f>
        <v>427273821</v>
      </c>
      <c r="E272" s="353">
        <f t="shared" si="26"/>
        <v>32286917</v>
      </c>
      <c r="F272" s="415">
        <f t="shared" si="27"/>
        <v>8.1741740480590713E-2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703</v>
      </c>
      <c r="C273" s="366">
        <f>IF(C271=0,0,C272/C271)</f>
        <v>0.30651794199287136</v>
      </c>
      <c r="D273" s="366">
        <f>IF(LN_IIA11=0,0,LN_IIA12/LN_IIA11)</f>
        <v>0.29278715712362208</v>
      </c>
      <c r="E273" s="367">
        <f t="shared" si="26"/>
        <v>-1.373078486924928E-2</v>
      </c>
      <c r="F273" s="371">
        <f t="shared" si="27"/>
        <v>-4.47960232930463E-2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76225</v>
      </c>
      <c r="D274" s="421">
        <f>LN_IA8+LN_IB10+LN_IF11+LN_IG6</f>
        <v>74442</v>
      </c>
      <c r="E274" s="442">
        <f t="shared" si="26"/>
        <v>-1783</v>
      </c>
      <c r="F274" s="371">
        <f t="shared" si="27"/>
        <v>-2.3391275828140375E-2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704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705</v>
      </c>
      <c r="C277" s="361">
        <f>C15+C188+C221</f>
        <v>362862265</v>
      </c>
      <c r="D277" s="361">
        <f>LN_IA1+LN_IF1+LN_IG1</f>
        <v>367073801</v>
      </c>
      <c r="E277" s="361">
        <f t="shared" ref="E277:E291" si="28">D277-C277</f>
        <v>4211536</v>
      </c>
      <c r="F277" s="415">
        <f t="shared" ref="F277:F291" si="29">IF(C277=0,0,E277/C277)</f>
        <v>1.1606431437559373E-2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706</v>
      </c>
      <c r="C278" s="361">
        <f>C16+C189+C222</f>
        <v>89396167</v>
      </c>
      <c r="D278" s="361">
        <f>LN_IA2+LN_IF2+LN_IG2</f>
        <v>79246667</v>
      </c>
      <c r="E278" s="361">
        <f t="shared" si="28"/>
        <v>-10149500</v>
      </c>
      <c r="F278" s="415">
        <f t="shared" si="29"/>
        <v>-0.11353395051042849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707</v>
      </c>
      <c r="C279" s="366">
        <f>IF(C277=0,0,C278/C277)</f>
        <v>0.24636391166218399</v>
      </c>
      <c r="D279" s="366">
        <f>IF(D277=0,0,LN_IIB2/D277)</f>
        <v>0.21588755935213147</v>
      </c>
      <c r="E279" s="367">
        <f t="shared" si="28"/>
        <v>-3.0476352310052524E-2</v>
      </c>
      <c r="F279" s="371">
        <f t="shared" si="29"/>
        <v>-0.12370461284054428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708</v>
      </c>
      <c r="C280" s="369">
        <f>C18+C191+C224</f>
        <v>8302</v>
      </c>
      <c r="D280" s="369">
        <f>LN_IA4+LN_IF4+LN_IG3</f>
        <v>8414</v>
      </c>
      <c r="E280" s="369">
        <f t="shared" si="28"/>
        <v>112</v>
      </c>
      <c r="F280" s="415">
        <f t="shared" si="29"/>
        <v>1.3490725126475547E-2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709</v>
      </c>
      <c r="C281" s="439">
        <f>IF(C280=0,0,C282/C280)</f>
        <v>1.3365577752348829</v>
      </c>
      <c r="D281" s="439">
        <f>IF(LN_IIB4=0,0,LN_IIB6/LN_IIB4)</f>
        <v>1.3105307832184452</v>
      </c>
      <c r="E281" s="439">
        <f t="shared" si="28"/>
        <v>-2.6026992016437767E-2</v>
      </c>
      <c r="F281" s="415">
        <f t="shared" si="29"/>
        <v>-1.9473151478142315E-2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710</v>
      </c>
      <c r="C282" s="376">
        <f>C20+C193+C226</f>
        <v>11096.102649999999</v>
      </c>
      <c r="D282" s="376">
        <f>LN_IA6+LN_IF6+LN_IG5</f>
        <v>11026.806009999998</v>
      </c>
      <c r="E282" s="376">
        <f t="shared" si="28"/>
        <v>-69.29664000000048</v>
      </c>
      <c r="F282" s="415">
        <f t="shared" si="29"/>
        <v>-6.2451332856046067E-3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711</v>
      </c>
      <c r="C283" s="361">
        <f>C27+C203+C233</f>
        <v>270204925</v>
      </c>
      <c r="D283" s="361">
        <f>LN_IA11+LN_IF14+LN_IG9</f>
        <v>353861341</v>
      </c>
      <c r="E283" s="361">
        <f t="shared" si="28"/>
        <v>83656416</v>
      </c>
      <c r="F283" s="415">
        <f t="shared" si="29"/>
        <v>0.30960359438304097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712</v>
      </c>
      <c r="C284" s="366">
        <f>IF(C277=0,0,C283/C277)</f>
        <v>0.74464873055896297</v>
      </c>
      <c r="D284" s="366">
        <f>IF(D277=0,0,LN_IIB7/D277)</f>
        <v>0.96400598472567101</v>
      </c>
      <c r="E284" s="367">
        <f t="shared" si="28"/>
        <v>0.21935725416670804</v>
      </c>
      <c r="F284" s="371">
        <f t="shared" si="29"/>
        <v>0.29457816170860823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713</v>
      </c>
      <c r="C285" s="361">
        <f>C28+C204+C234</f>
        <v>36700906</v>
      </c>
      <c r="D285" s="361">
        <f>LN_IA12+LN_IF15+LN_IG10</f>
        <v>50734462</v>
      </c>
      <c r="E285" s="361">
        <f t="shared" si="28"/>
        <v>14033556</v>
      </c>
      <c r="F285" s="415">
        <f t="shared" si="29"/>
        <v>0.38237628248196381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714</v>
      </c>
      <c r="C286" s="366">
        <f>IF(C283=0,0,C285/C283)</f>
        <v>0.13582619191711623</v>
      </c>
      <c r="D286" s="366">
        <f>IF(LN_IIB7=0,0,LN_IIB9/LN_IIB7)</f>
        <v>0.14337384766763769</v>
      </c>
      <c r="E286" s="367">
        <f t="shared" si="28"/>
        <v>7.5476557505214648E-3</v>
      </c>
      <c r="F286" s="371">
        <f t="shared" si="29"/>
        <v>5.5568485311928574E-2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715</v>
      </c>
      <c r="C287" s="353">
        <f>C277+C283</f>
        <v>633067190</v>
      </c>
      <c r="D287" s="353">
        <f>D277+LN_IIB7</f>
        <v>720935142</v>
      </c>
      <c r="E287" s="353">
        <f t="shared" si="28"/>
        <v>87867952</v>
      </c>
      <c r="F287" s="415">
        <f t="shared" si="29"/>
        <v>0.13879719781402666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716</v>
      </c>
      <c r="C288" s="353">
        <f>C278+C285</f>
        <v>126097073</v>
      </c>
      <c r="D288" s="353">
        <f>LN_IIB2+LN_IIB9</f>
        <v>129981129</v>
      </c>
      <c r="E288" s="353">
        <f t="shared" si="28"/>
        <v>3884056</v>
      </c>
      <c r="F288" s="415">
        <f t="shared" si="29"/>
        <v>3.0802110688167995E-2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717</v>
      </c>
      <c r="C289" s="366">
        <f>IF(C287=0,0,C288/C287)</f>
        <v>0.1991843440820239</v>
      </c>
      <c r="D289" s="366">
        <f>IF(LN_IIB11=0,0,LN_IIB12/LN_IIB11)</f>
        <v>0.18029517695504432</v>
      </c>
      <c r="E289" s="367">
        <f t="shared" si="28"/>
        <v>-1.8889167126979578E-2</v>
      </c>
      <c r="F289" s="371">
        <f t="shared" si="29"/>
        <v>-9.4832589448902868E-2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50269</v>
      </c>
      <c r="D290" s="421">
        <f>LN_IA8+LN_IF11+LN_IG6</f>
        <v>47960</v>
      </c>
      <c r="E290" s="442">
        <f t="shared" si="28"/>
        <v>-2309</v>
      </c>
      <c r="F290" s="371">
        <f t="shared" si="29"/>
        <v>-4.5932881099683701E-2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718</v>
      </c>
      <c r="C291" s="361">
        <f>C287-C288</f>
        <v>506970117</v>
      </c>
      <c r="D291" s="429">
        <f>LN_IIB11-LN_IIB12</f>
        <v>590954013</v>
      </c>
      <c r="E291" s="353">
        <f t="shared" si="28"/>
        <v>83983896</v>
      </c>
      <c r="F291" s="415">
        <f t="shared" si="29"/>
        <v>0.16565847410686732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615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606</v>
      </c>
      <c r="C294" s="379">
        <f>IF(C18=0,0,C22/C18)</f>
        <v>6.6688963210702346</v>
      </c>
      <c r="D294" s="379">
        <f>IF(LN_IA4=0,0,LN_IA8/LN_IA4)</f>
        <v>6.3467910874119218</v>
      </c>
      <c r="E294" s="379">
        <f t="shared" ref="E294:E300" si="30">D294-C294</f>
        <v>-0.32210523365831278</v>
      </c>
      <c r="F294" s="415">
        <f t="shared" ref="F294:F300" si="31">IF(C294=0,0,E294/C294)</f>
        <v>-4.8299631325895445E-2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627</v>
      </c>
      <c r="C295" s="379">
        <f>IF(C45=0,0,C51/C45)</f>
        <v>3.824370119345808</v>
      </c>
      <c r="D295" s="379">
        <f>IF(LN_IB4=0,0,(LN_IB10)/(LN_IB4))</f>
        <v>4.057922157523751</v>
      </c>
      <c r="E295" s="379">
        <f t="shared" si="30"/>
        <v>0.23355203817794301</v>
      </c>
      <c r="F295" s="415">
        <f t="shared" si="31"/>
        <v>6.1069412972480322E-2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642</v>
      </c>
      <c r="C296" s="379">
        <f>IF(C86=0,0,C93/C86)</f>
        <v>3.7265306122448978</v>
      </c>
      <c r="D296" s="379">
        <f>IF(LN_IC4=0,0,LN_IC11/LN_IC4)</f>
        <v>3.6576200417536535</v>
      </c>
      <c r="E296" s="379">
        <f t="shared" si="30"/>
        <v>-6.8910570491244272E-2</v>
      </c>
      <c r="F296" s="415">
        <f t="shared" si="31"/>
        <v>-1.8491883647705199E-2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4.4664224664224665</v>
      </c>
      <c r="D297" s="379">
        <f>IF(LN_ID4=0,0,LN_ID11/LN_ID4)</f>
        <v>4.5692662059888125</v>
      </c>
      <c r="E297" s="379">
        <f t="shared" si="30"/>
        <v>0.10284373956634596</v>
      </c>
      <c r="F297" s="415">
        <f t="shared" si="31"/>
        <v>2.3025976682568984E-2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719</v>
      </c>
      <c r="C298" s="379">
        <f>IF(C156=0,0,C163/C156)</f>
        <v>7.4488888888888889</v>
      </c>
      <c r="D298" s="379">
        <f>IF(LN_IE4=0,0,LN_IE11/LN_IE4)</f>
        <v>6.3148148148148149</v>
      </c>
      <c r="E298" s="379">
        <f t="shared" si="30"/>
        <v>-1.134074074074074</v>
      </c>
      <c r="F298" s="415">
        <f t="shared" si="31"/>
        <v>-0.15224741447891804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3.9230769230769229</v>
      </c>
      <c r="D299" s="379">
        <f>IF(LN_IG3=0,0,LN_IG6/LN_IG3)</f>
        <v>4.0625</v>
      </c>
      <c r="E299" s="379">
        <f t="shared" si="30"/>
        <v>0.13942307692307709</v>
      </c>
      <c r="F299" s="415">
        <f t="shared" si="31"/>
        <v>3.5539215686274557E-2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720</v>
      </c>
      <c r="C300" s="379">
        <f>IF(C264=0,0,C274/C264)</f>
        <v>5.0516932865000994</v>
      </c>
      <c r="D300" s="379">
        <f>IF(LN_IIA4=0,0,LN_IIA14/LN_IIA4)</f>
        <v>4.9827309236947794</v>
      </c>
      <c r="E300" s="379">
        <f t="shared" si="30"/>
        <v>-6.8962362805319977E-2</v>
      </c>
      <c r="F300" s="415">
        <f t="shared" si="31"/>
        <v>-1.3651336075690038E-2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721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715</v>
      </c>
      <c r="C304" s="353">
        <f>C35+C66+C214+C221+C233</f>
        <v>1288625721</v>
      </c>
      <c r="D304" s="353">
        <f>LN_IIA11</f>
        <v>1459332524</v>
      </c>
      <c r="E304" s="353">
        <f t="shared" ref="E304:E316" si="32">D304-C304</f>
        <v>170706803</v>
      </c>
      <c r="F304" s="362">
        <f>IF(C304=0,0,E304/C304)</f>
        <v>0.13247198175396346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718</v>
      </c>
      <c r="C305" s="353">
        <f>C291</f>
        <v>506970117</v>
      </c>
      <c r="D305" s="353">
        <f>LN_IIB14</f>
        <v>590954013</v>
      </c>
      <c r="E305" s="353">
        <f t="shared" si="32"/>
        <v>83983896</v>
      </c>
      <c r="F305" s="362">
        <f>IF(C305=0,0,E305/C305)</f>
        <v>0.16565847410686732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722</v>
      </c>
      <c r="C306" s="353">
        <f>C250</f>
        <v>65901785</v>
      </c>
      <c r="D306" s="353">
        <f>LN_IH6</f>
        <v>74316702</v>
      </c>
      <c r="E306" s="353">
        <f t="shared" si="32"/>
        <v>8414917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723</v>
      </c>
      <c r="C307" s="353">
        <f>C73-C74</f>
        <v>238177311</v>
      </c>
      <c r="D307" s="353">
        <f>LN_IB32-LN_IB33</f>
        <v>260850350</v>
      </c>
      <c r="E307" s="353">
        <f t="shared" si="32"/>
        <v>22673039</v>
      </c>
      <c r="F307" s="362">
        <f t="shared" ref="F307:F316" si="33">IF(C307=0,0,E307/C307)</f>
        <v>9.51939498552824E-2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724</v>
      </c>
      <c r="C308" s="353">
        <v>13746535</v>
      </c>
      <c r="D308" s="353">
        <v>19060961</v>
      </c>
      <c r="E308" s="353">
        <f t="shared" si="32"/>
        <v>5314426</v>
      </c>
      <c r="F308" s="362">
        <f t="shared" si="33"/>
        <v>0.38660113257631834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725</v>
      </c>
      <c r="C309" s="353">
        <f>C305+C307+C308+C306</f>
        <v>824795748</v>
      </c>
      <c r="D309" s="353">
        <f>LN_III2+LN_III3+LN_III4+LN_III5</f>
        <v>945182026</v>
      </c>
      <c r="E309" s="353">
        <f t="shared" si="32"/>
        <v>120386278</v>
      </c>
      <c r="F309" s="362">
        <f t="shared" si="33"/>
        <v>0.14595889745057222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726</v>
      </c>
      <c r="C310" s="353">
        <f>C304-C309</f>
        <v>463829973</v>
      </c>
      <c r="D310" s="353">
        <f>LN_III1-LN_III6</f>
        <v>514150498</v>
      </c>
      <c r="E310" s="353">
        <f t="shared" si="32"/>
        <v>50320525</v>
      </c>
      <c r="F310" s="362">
        <f t="shared" si="33"/>
        <v>0.10848916182482239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727</v>
      </c>
      <c r="C311" s="353">
        <f>C245</f>
        <v>2850410</v>
      </c>
      <c r="D311" s="353">
        <f>LN_IH3</f>
        <v>0</v>
      </c>
      <c r="E311" s="353">
        <f t="shared" si="32"/>
        <v>-2850410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728</v>
      </c>
      <c r="C312" s="353">
        <f>C310+C311</f>
        <v>466680383</v>
      </c>
      <c r="D312" s="353">
        <f>LN_III7+LN_III8</f>
        <v>514150498</v>
      </c>
      <c r="E312" s="353">
        <f t="shared" si="32"/>
        <v>47470115</v>
      </c>
      <c r="F312" s="362">
        <f t="shared" si="33"/>
        <v>0.10171868526987131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729</v>
      </c>
      <c r="C313" s="448">
        <f>IF(C304=0,0,C312/C304)</f>
        <v>0.36215355273045957</v>
      </c>
      <c r="D313" s="448">
        <f>IF(LN_III1=0,0,LN_III9/LN_III1)</f>
        <v>0.35231894687766174</v>
      </c>
      <c r="E313" s="448">
        <f t="shared" si="32"/>
        <v>-9.8346058527978286E-3</v>
      </c>
      <c r="F313" s="362">
        <f t="shared" si="33"/>
        <v>-2.7155900525204682E-2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687</v>
      </c>
      <c r="C314" s="353">
        <f>C306*C313</f>
        <v>23866565.56902891</v>
      </c>
      <c r="D314" s="353">
        <f>D313*LN_III5</f>
        <v>26183182.184061017</v>
      </c>
      <c r="E314" s="353">
        <f t="shared" si="32"/>
        <v>2316616.6150321066</v>
      </c>
      <c r="F314" s="362">
        <f t="shared" si="33"/>
        <v>9.7065353133101245E-2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690</v>
      </c>
      <c r="C315" s="353">
        <f>(C214*C313)-C215</f>
        <v>32285650.948425576</v>
      </c>
      <c r="D315" s="353">
        <f>D313*LN_IH8-LN_IH9</f>
        <v>37284349.533483848</v>
      </c>
      <c r="E315" s="353">
        <f t="shared" si="32"/>
        <v>4998698.5850582719</v>
      </c>
      <c r="F315" s="362">
        <f t="shared" si="33"/>
        <v>0.1548272510609558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730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731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732</v>
      </c>
      <c r="C318" s="353">
        <f>C314+C315+C316</f>
        <v>56152216.51745449</v>
      </c>
      <c r="D318" s="353">
        <f>D314+D315+D316</f>
        <v>63467531.717544869</v>
      </c>
      <c r="E318" s="353">
        <f>D318-C318</f>
        <v>7315315.2000903785</v>
      </c>
      <c r="F318" s="362">
        <f>IF(C318=0,0,E318/C318)</f>
        <v>0.13027651718461494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733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5726837.0153277079</v>
      </c>
      <c r="D322" s="353">
        <f>LN_ID22</f>
        <v>8294503.8688579239</v>
      </c>
      <c r="E322" s="353">
        <f>LN_IV2-C322</f>
        <v>2567666.853530216</v>
      </c>
      <c r="F322" s="362">
        <f>IF(C322=0,0,E322/C322)</f>
        <v>0.44835689345758095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719</v>
      </c>
      <c r="C323" s="353">
        <f>C162+C176</f>
        <v>5243824.3061769791</v>
      </c>
      <c r="D323" s="353">
        <f>LN_IE10+LN_IE22</f>
        <v>832471.59808385849</v>
      </c>
      <c r="E323" s="353">
        <f>LN_IV3-C323</f>
        <v>-4411352.7080931207</v>
      </c>
      <c r="F323" s="362">
        <f>IF(C323=0,0,E323/C323)</f>
        <v>-0.84124723684902147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734</v>
      </c>
      <c r="C324" s="353">
        <f>C92+C106</f>
        <v>10280947.570068873</v>
      </c>
      <c r="D324" s="353">
        <f>LN_IC10+LN_IC22</f>
        <v>12115638.236585703</v>
      </c>
      <c r="E324" s="353">
        <f>LN_IV1-C324</f>
        <v>1834690.6665168293</v>
      </c>
      <c r="F324" s="362">
        <f>IF(C324=0,0,E324/C324)</f>
        <v>0.17845540540039331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735</v>
      </c>
      <c r="C325" s="429">
        <f>C324+C322+C323</f>
        <v>21251608.891573559</v>
      </c>
      <c r="D325" s="429">
        <f>LN_IV1+LN_IV2+LN_IV3</f>
        <v>21242613.703527484</v>
      </c>
      <c r="E325" s="353">
        <f>LN_IV4-C325</f>
        <v>-8995.1880460754037</v>
      </c>
      <c r="F325" s="362">
        <f>IF(C325=0,0,E325/C325)</f>
        <v>-4.2327091995571551E-4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736</v>
      </c>
      <c r="B327" s="446" t="s">
        <v>737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738</v>
      </c>
      <c r="C329" s="431">
        <v>21493900</v>
      </c>
      <c r="D329" s="431">
        <v>28400531</v>
      </c>
      <c r="E329" s="431">
        <f t="shared" ref="E329:E335" si="34">D329-C329</f>
        <v>6906631</v>
      </c>
      <c r="F329" s="462">
        <f t="shared" ref="F329:F335" si="35">IF(C329=0,0,E329/C329)</f>
        <v>0.32132981915799369</v>
      </c>
    </row>
    <row r="330" spans="1:22" s="333" customFormat="1" ht="11.25" customHeight="1" x14ac:dyDescent="0.2">
      <c r="A330" s="364">
        <v>2</v>
      </c>
      <c r="B330" s="360" t="s">
        <v>739</v>
      </c>
      <c r="C330" s="429">
        <v>31916505</v>
      </c>
      <c r="D330" s="429">
        <v>47985146</v>
      </c>
      <c r="E330" s="431">
        <f t="shared" si="34"/>
        <v>16068641</v>
      </c>
      <c r="F330" s="463">
        <f t="shared" si="35"/>
        <v>0.50345866503866887</v>
      </c>
    </row>
    <row r="331" spans="1:22" s="333" customFormat="1" ht="11.25" customHeight="1" x14ac:dyDescent="0.2">
      <c r="A331" s="339">
        <v>3</v>
      </c>
      <c r="B331" s="360" t="s">
        <v>740</v>
      </c>
      <c r="C331" s="429">
        <v>429754000</v>
      </c>
      <c r="D331" s="429">
        <v>475259000</v>
      </c>
      <c r="E331" s="431">
        <f t="shared" si="34"/>
        <v>45505000</v>
      </c>
      <c r="F331" s="462">
        <f t="shared" si="35"/>
        <v>0.10588615812767305</v>
      </c>
    </row>
    <row r="332" spans="1:22" s="333" customFormat="1" ht="11.25" customHeight="1" x14ac:dyDescent="0.2">
      <c r="A332" s="364">
        <v>4</v>
      </c>
      <c r="B332" s="360" t="s">
        <v>741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742</v>
      </c>
      <c r="C333" s="429">
        <v>1288626000</v>
      </c>
      <c r="D333" s="429">
        <v>1459333000</v>
      </c>
      <c r="E333" s="431">
        <f t="shared" si="34"/>
        <v>170707000</v>
      </c>
      <c r="F333" s="462">
        <f t="shared" si="35"/>
        <v>0.13247210594850639</v>
      </c>
    </row>
    <row r="334" spans="1:22" s="333" customFormat="1" ht="11.25" customHeight="1" x14ac:dyDescent="0.2">
      <c r="A334" s="339">
        <v>6</v>
      </c>
      <c r="B334" s="360" t="s">
        <v>743</v>
      </c>
      <c r="C334" s="429">
        <v>410583</v>
      </c>
      <c r="D334" s="429">
        <v>387740</v>
      </c>
      <c r="E334" s="429">
        <f t="shared" si="34"/>
        <v>-22843</v>
      </c>
      <c r="F334" s="463">
        <f t="shared" si="35"/>
        <v>-5.5635523146355302E-2</v>
      </c>
    </row>
    <row r="335" spans="1:22" s="333" customFormat="1" ht="11.25" customHeight="1" x14ac:dyDescent="0.2">
      <c r="A335" s="364">
        <v>7</v>
      </c>
      <c r="B335" s="360" t="s">
        <v>744</v>
      </c>
      <c r="C335" s="429">
        <v>66312000</v>
      </c>
      <c r="D335" s="429">
        <v>74704000</v>
      </c>
      <c r="E335" s="429">
        <f t="shared" si="34"/>
        <v>8392000</v>
      </c>
      <c r="F335" s="462">
        <f t="shared" si="35"/>
        <v>0.12655326336108094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FILING&amp;RSTAMFORD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597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745</v>
      </c>
      <c r="B5" s="710"/>
      <c r="C5" s="710"/>
      <c r="D5" s="710"/>
      <c r="E5" s="710"/>
    </row>
    <row r="6" spans="1:5" s="338" customFormat="1" ht="15.75" customHeight="1" x14ac:dyDescent="0.25">
      <c r="A6" s="710" t="s">
        <v>746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747</v>
      </c>
      <c r="D9" s="494" t="s">
        <v>748</v>
      </c>
      <c r="E9" s="495" t="s">
        <v>749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750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751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627</v>
      </c>
      <c r="C14" s="513">
        <v>215741210</v>
      </c>
      <c r="D14" s="513">
        <v>229079508</v>
      </c>
      <c r="E14" s="514">
        <f t="shared" ref="E14:E22" si="0">D14-C14</f>
        <v>13338298</v>
      </c>
    </row>
    <row r="15" spans="1:5" s="506" customFormat="1" x14ac:dyDescent="0.2">
      <c r="A15" s="512">
        <v>2</v>
      </c>
      <c r="B15" s="511" t="s">
        <v>606</v>
      </c>
      <c r="C15" s="513">
        <v>280073467</v>
      </c>
      <c r="D15" s="515">
        <v>274144530</v>
      </c>
      <c r="E15" s="514">
        <f t="shared" si="0"/>
        <v>-5928937</v>
      </c>
    </row>
    <row r="16" spans="1:5" s="506" customFormat="1" x14ac:dyDescent="0.2">
      <c r="A16" s="512">
        <v>3</v>
      </c>
      <c r="B16" s="511" t="s">
        <v>752</v>
      </c>
      <c r="C16" s="513">
        <v>82558444</v>
      </c>
      <c r="D16" s="515">
        <v>91928898</v>
      </c>
      <c r="E16" s="514">
        <f t="shared" si="0"/>
        <v>9370454</v>
      </c>
    </row>
    <row r="17" spans="1:5" s="506" customFormat="1" x14ac:dyDescent="0.2">
      <c r="A17" s="512">
        <v>4</v>
      </c>
      <c r="B17" s="511" t="s">
        <v>114</v>
      </c>
      <c r="C17" s="513">
        <v>63392712</v>
      </c>
      <c r="D17" s="515">
        <v>89088317</v>
      </c>
      <c r="E17" s="514">
        <f t="shared" si="0"/>
        <v>25695605</v>
      </c>
    </row>
    <row r="18" spans="1:5" s="506" customFormat="1" x14ac:dyDescent="0.2">
      <c r="A18" s="512">
        <v>5</v>
      </c>
      <c r="B18" s="511" t="s">
        <v>719</v>
      </c>
      <c r="C18" s="513">
        <v>19165732</v>
      </c>
      <c r="D18" s="515">
        <v>2840581</v>
      </c>
      <c r="E18" s="514">
        <f t="shared" si="0"/>
        <v>-16325151</v>
      </c>
    </row>
    <row r="19" spans="1:5" s="506" customFormat="1" x14ac:dyDescent="0.2">
      <c r="A19" s="512">
        <v>6</v>
      </c>
      <c r="B19" s="511" t="s">
        <v>418</v>
      </c>
      <c r="C19" s="513">
        <v>230354</v>
      </c>
      <c r="D19" s="515">
        <v>1000373</v>
      </c>
      <c r="E19" s="514">
        <f t="shared" si="0"/>
        <v>770019</v>
      </c>
    </row>
    <row r="20" spans="1:5" s="506" customFormat="1" x14ac:dyDescent="0.2">
      <c r="A20" s="512">
        <v>7</v>
      </c>
      <c r="B20" s="511" t="s">
        <v>734</v>
      </c>
      <c r="C20" s="513">
        <v>19716942</v>
      </c>
      <c r="D20" s="515">
        <v>19215996</v>
      </c>
      <c r="E20" s="514">
        <f t="shared" si="0"/>
        <v>-500946</v>
      </c>
    </row>
    <row r="21" spans="1:5" s="506" customFormat="1" x14ac:dyDescent="0.2">
      <c r="A21" s="512"/>
      <c r="B21" s="516" t="s">
        <v>753</v>
      </c>
      <c r="C21" s="517">
        <f>SUM(C15+C16+C19)</f>
        <v>362862265</v>
      </c>
      <c r="D21" s="517">
        <f>SUM(D15+D16+D19)</f>
        <v>367073801</v>
      </c>
      <c r="E21" s="517">
        <f t="shared" si="0"/>
        <v>4211536</v>
      </c>
    </row>
    <row r="22" spans="1:5" s="506" customFormat="1" x14ac:dyDescent="0.2">
      <c r="A22" s="512"/>
      <c r="B22" s="516" t="s">
        <v>693</v>
      </c>
      <c r="C22" s="517">
        <f>SUM(C14+C21)</f>
        <v>578603475</v>
      </c>
      <c r="D22" s="517">
        <f>SUM(D14+D21)</f>
        <v>596153309</v>
      </c>
      <c r="E22" s="517">
        <f t="shared" si="0"/>
        <v>17549834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754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627</v>
      </c>
      <c r="C25" s="513">
        <v>439817321</v>
      </c>
      <c r="D25" s="513">
        <v>509317874</v>
      </c>
      <c r="E25" s="514">
        <f t="shared" ref="E25:E33" si="1">D25-C25</f>
        <v>69500553</v>
      </c>
    </row>
    <row r="26" spans="1:5" s="506" customFormat="1" x14ac:dyDescent="0.2">
      <c r="A26" s="512">
        <v>2</v>
      </c>
      <c r="B26" s="511" t="s">
        <v>606</v>
      </c>
      <c r="C26" s="513">
        <v>198274157</v>
      </c>
      <c r="D26" s="515">
        <v>258650538</v>
      </c>
      <c r="E26" s="514">
        <f t="shared" si="1"/>
        <v>60376381</v>
      </c>
    </row>
    <row r="27" spans="1:5" s="506" customFormat="1" x14ac:dyDescent="0.2">
      <c r="A27" s="512">
        <v>3</v>
      </c>
      <c r="B27" s="511" t="s">
        <v>752</v>
      </c>
      <c r="C27" s="513">
        <v>71484772</v>
      </c>
      <c r="D27" s="515">
        <v>94554086</v>
      </c>
      <c r="E27" s="514">
        <f t="shared" si="1"/>
        <v>23069314</v>
      </c>
    </row>
    <row r="28" spans="1:5" s="506" customFormat="1" x14ac:dyDescent="0.2">
      <c r="A28" s="512">
        <v>4</v>
      </c>
      <c r="B28" s="511" t="s">
        <v>114</v>
      </c>
      <c r="C28" s="513">
        <v>58636260</v>
      </c>
      <c r="D28" s="515">
        <v>93020244</v>
      </c>
      <c r="E28" s="514">
        <f t="shared" si="1"/>
        <v>34383984</v>
      </c>
    </row>
    <row r="29" spans="1:5" s="506" customFormat="1" x14ac:dyDescent="0.2">
      <c r="A29" s="512">
        <v>5</v>
      </c>
      <c r="B29" s="511" t="s">
        <v>719</v>
      </c>
      <c r="C29" s="513">
        <v>12848512</v>
      </c>
      <c r="D29" s="515">
        <v>1533842</v>
      </c>
      <c r="E29" s="514">
        <f t="shared" si="1"/>
        <v>-11314670</v>
      </c>
    </row>
    <row r="30" spans="1:5" s="506" customFormat="1" x14ac:dyDescent="0.2">
      <c r="A30" s="512">
        <v>6</v>
      </c>
      <c r="B30" s="511" t="s">
        <v>418</v>
      </c>
      <c r="C30" s="513">
        <v>445996</v>
      </c>
      <c r="D30" s="515">
        <v>656717</v>
      </c>
      <c r="E30" s="514">
        <f t="shared" si="1"/>
        <v>210721</v>
      </c>
    </row>
    <row r="31" spans="1:5" s="506" customFormat="1" x14ac:dyDescent="0.2">
      <c r="A31" s="512">
        <v>7</v>
      </c>
      <c r="B31" s="511" t="s">
        <v>734</v>
      </c>
      <c r="C31" s="514">
        <v>43856299</v>
      </c>
      <c r="D31" s="518">
        <v>54022199</v>
      </c>
      <c r="E31" s="514">
        <f t="shared" si="1"/>
        <v>10165900</v>
      </c>
    </row>
    <row r="32" spans="1:5" s="506" customFormat="1" x14ac:dyDescent="0.2">
      <c r="A32" s="512"/>
      <c r="B32" s="516" t="s">
        <v>755</v>
      </c>
      <c r="C32" s="517">
        <f>SUM(C26+C27+C30)</f>
        <v>270204925</v>
      </c>
      <c r="D32" s="517">
        <f>SUM(D26+D27+D30)</f>
        <v>353861341</v>
      </c>
      <c r="E32" s="517">
        <f t="shared" si="1"/>
        <v>83656416</v>
      </c>
    </row>
    <row r="33" spans="1:5" s="506" customFormat="1" x14ac:dyDescent="0.2">
      <c r="A33" s="512"/>
      <c r="B33" s="516" t="s">
        <v>699</v>
      </c>
      <c r="C33" s="517">
        <f>SUM(C25+C32)</f>
        <v>710022246</v>
      </c>
      <c r="D33" s="517">
        <f>SUM(D25+D32)</f>
        <v>863179215</v>
      </c>
      <c r="E33" s="517">
        <f t="shared" si="1"/>
        <v>153156969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624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756</v>
      </c>
      <c r="C36" s="514">
        <f t="shared" ref="C36:D42" si="2">C14+C25</f>
        <v>655558531</v>
      </c>
      <c r="D36" s="514">
        <f t="shared" si="2"/>
        <v>738397382</v>
      </c>
      <c r="E36" s="514">
        <f t="shared" ref="E36:E44" si="3">D36-C36</f>
        <v>82838851</v>
      </c>
    </row>
    <row r="37" spans="1:5" s="506" customFormat="1" x14ac:dyDescent="0.2">
      <c r="A37" s="512">
        <v>2</v>
      </c>
      <c r="B37" s="511" t="s">
        <v>757</v>
      </c>
      <c r="C37" s="514">
        <f t="shared" si="2"/>
        <v>478347624</v>
      </c>
      <c r="D37" s="514">
        <f t="shared" si="2"/>
        <v>532795068</v>
      </c>
      <c r="E37" s="514">
        <f t="shared" si="3"/>
        <v>54447444</v>
      </c>
    </row>
    <row r="38" spans="1:5" s="506" customFormat="1" x14ac:dyDescent="0.2">
      <c r="A38" s="512">
        <v>3</v>
      </c>
      <c r="B38" s="511" t="s">
        <v>758</v>
      </c>
      <c r="C38" s="514">
        <f t="shared" si="2"/>
        <v>154043216</v>
      </c>
      <c r="D38" s="514">
        <f t="shared" si="2"/>
        <v>186482984</v>
      </c>
      <c r="E38" s="514">
        <f t="shared" si="3"/>
        <v>32439768</v>
      </c>
    </row>
    <row r="39" spans="1:5" s="506" customFormat="1" x14ac:dyDescent="0.2">
      <c r="A39" s="512">
        <v>4</v>
      </c>
      <c r="B39" s="511" t="s">
        <v>759</v>
      </c>
      <c r="C39" s="514">
        <f t="shared" si="2"/>
        <v>122028972</v>
      </c>
      <c r="D39" s="514">
        <f t="shared" si="2"/>
        <v>182108561</v>
      </c>
      <c r="E39" s="514">
        <f t="shared" si="3"/>
        <v>60079589</v>
      </c>
    </row>
    <row r="40" spans="1:5" s="506" customFormat="1" x14ac:dyDescent="0.2">
      <c r="A40" s="512">
        <v>5</v>
      </c>
      <c r="B40" s="511" t="s">
        <v>760</v>
      </c>
      <c r="C40" s="514">
        <f t="shared" si="2"/>
        <v>32014244</v>
      </c>
      <c r="D40" s="514">
        <f t="shared" si="2"/>
        <v>4374423</v>
      </c>
      <c r="E40" s="514">
        <f t="shared" si="3"/>
        <v>-27639821</v>
      </c>
    </row>
    <row r="41" spans="1:5" s="506" customFormat="1" x14ac:dyDescent="0.2">
      <c r="A41" s="512">
        <v>6</v>
      </c>
      <c r="B41" s="511" t="s">
        <v>761</v>
      </c>
      <c r="C41" s="514">
        <f t="shared" si="2"/>
        <v>676350</v>
      </c>
      <c r="D41" s="514">
        <f t="shared" si="2"/>
        <v>1657090</v>
      </c>
      <c r="E41" s="514">
        <f t="shared" si="3"/>
        <v>980740</v>
      </c>
    </row>
    <row r="42" spans="1:5" s="506" customFormat="1" x14ac:dyDescent="0.2">
      <c r="A42" s="512">
        <v>7</v>
      </c>
      <c r="B42" s="511" t="s">
        <v>762</v>
      </c>
      <c r="C42" s="514">
        <f t="shared" si="2"/>
        <v>63573241</v>
      </c>
      <c r="D42" s="514">
        <f t="shared" si="2"/>
        <v>73238195</v>
      </c>
      <c r="E42" s="514">
        <f t="shared" si="3"/>
        <v>9664954</v>
      </c>
    </row>
    <row r="43" spans="1:5" s="506" customFormat="1" x14ac:dyDescent="0.2">
      <c r="A43" s="512"/>
      <c r="B43" s="516" t="s">
        <v>763</v>
      </c>
      <c r="C43" s="517">
        <f>SUM(C37+C38+C41)</f>
        <v>633067190</v>
      </c>
      <c r="D43" s="517">
        <f>SUM(D37+D38+D41)</f>
        <v>720935142</v>
      </c>
      <c r="E43" s="517">
        <f t="shared" si="3"/>
        <v>87867952</v>
      </c>
    </row>
    <row r="44" spans="1:5" s="506" customFormat="1" x14ac:dyDescent="0.2">
      <c r="A44" s="512"/>
      <c r="B44" s="516" t="s">
        <v>701</v>
      </c>
      <c r="C44" s="517">
        <f>SUM(C36+C43)</f>
        <v>1288625721</v>
      </c>
      <c r="D44" s="517">
        <f>SUM(D36+D43)</f>
        <v>1459332524</v>
      </c>
      <c r="E44" s="517">
        <f t="shared" si="3"/>
        <v>170706803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764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627</v>
      </c>
      <c r="C47" s="513">
        <v>79357286</v>
      </c>
      <c r="D47" s="513">
        <v>80776141</v>
      </c>
      <c r="E47" s="514">
        <f t="shared" ref="E47:E55" si="4">D47-C47</f>
        <v>1418855</v>
      </c>
    </row>
    <row r="48" spans="1:5" s="506" customFormat="1" x14ac:dyDescent="0.2">
      <c r="A48" s="512">
        <v>2</v>
      </c>
      <c r="B48" s="511" t="s">
        <v>606</v>
      </c>
      <c r="C48" s="513">
        <v>76479069</v>
      </c>
      <c r="D48" s="515">
        <v>65375752</v>
      </c>
      <c r="E48" s="514">
        <f t="shared" si="4"/>
        <v>-11103317</v>
      </c>
    </row>
    <row r="49" spans="1:5" s="506" customFormat="1" x14ac:dyDescent="0.2">
      <c r="A49" s="512">
        <v>3</v>
      </c>
      <c r="B49" s="511" t="s">
        <v>752</v>
      </c>
      <c r="C49" s="513">
        <v>12857212</v>
      </c>
      <c r="D49" s="515">
        <v>13622148</v>
      </c>
      <c r="E49" s="514">
        <f t="shared" si="4"/>
        <v>764936</v>
      </c>
    </row>
    <row r="50" spans="1:5" s="506" customFormat="1" x14ac:dyDescent="0.2">
      <c r="A50" s="512">
        <v>4</v>
      </c>
      <c r="B50" s="511" t="s">
        <v>114</v>
      </c>
      <c r="C50" s="513">
        <v>11714938</v>
      </c>
      <c r="D50" s="515">
        <v>13433933</v>
      </c>
      <c r="E50" s="514">
        <f t="shared" si="4"/>
        <v>1718995</v>
      </c>
    </row>
    <row r="51" spans="1:5" s="506" customFormat="1" x14ac:dyDescent="0.2">
      <c r="A51" s="512">
        <v>5</v>
      </c>
      <c r="B51" s="511" t="s">
        <v>719</v>
      </c>
      <c r="C51" s="513">
        <v>1142274</v>
      </c>
      <c r="D51" s="515">
        <v>188215</v>
      </c>
      <c r="E51" s="514">
        <f t="shared" si="4"/>
        <v>-954059</v>
      </c>
    </row>
    <row r="52" spans="1:5" s="506" customFormat="1" x14ac:dyDescent="0.2">
      <c r="A52" s="512">
        <v>6</v>
      </c>
      <c r="B52" s="511" t="s">
        <v>418</v>
      </c>
      <c r="C52" s="513">
        <v>59886</v>
      </c>
      <c r="D52" s="515">
        <v>248767</v>
      </c>
      <c r="E52" s="514">
        <f t="shared" si="4"/>
        <v>188881</v>
      </c>
    </row>
    <row r="53" spans="1:5" s="506" customFormat="1" x14ac:dyDescent="0.2">
      <c r="A53" s="512">
        <v>7</v>
      </c>
      <c r="B53" s="511" t="s">
        <v>734</v>
      </c>
      <c r="C53" s="513">
        <v>577992</v>
      </c>
      <c r="D53" s="515">
        <v>237449</v>
      </c>
      <c r="E53" s="514">
        <f t="shared" si="4"/>
        <v>-340543</v>
      </c>
    </row>
    <row r="54" spans="1:5" s="506" customFormat="1" x14ac:dyDescent="0.2">
      <c r="A54" s="512"/>
      <c r="B54" s="516" t="s">
        <v>765</v>
      </c>
      <c r="C54" s="517">
        <f>SUM(C48+C49+C52)</f>
        <v>89396167</v>
      </c>
      <c r="D54" s="517">
        <f>SUM(D48+D49+D52)</f>
        <v>79246667</v>
      </c>
      <c r="E54" s="517">
        <f t="shared" si="4"/>
        <v>-10149500</v>
      </c>
    </row>
    <row r="55" spans="1:5" s="506" customFormat="1" x14ac:dyDescent="0.2">
      <c r="A55" s="512"/>
      <c r="B55" s="516" t="s">
        <v>694</v>
      </c>
      <c r="C55" s="517">
        <f>SUM(C47+C54)</f>
        <v>168753453</v>
      </c>
      <c r="D55" s="517">
        <f>SUM(D47+D54)</f>
        <v>160022808</v>
      </c>
      <c r="E55" s="517">
        <f t="shared" si="4"/>
        <v>-8730645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766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627</v>
      </c>
      <c r="C58" s="513">
        <v>189532545</v>
      </c>
      <c r="D58" s="513">
        <v>216516551</v>
      </c>
      <c r="E58" s="514">
        <f t="shared" ref="E58:E66" si="5">D58-C58</f>
        <v>26984006</v>
      </c>
    </row>
    <row r="59" spans="1:5" s="506" customFormat="1" x14ac:dyDescent="0.2">
      <c r="A59" s="512">
        <v>2</v>
      </c>
      <c r="B59" s="511" t="s">
        <v>606</v>
      </c>
      <c r="C59" s="513">
        <v>26006219</v>
      </c>
      <c r="D59" s="515">
        <v>35815778</v>
      </c>
      <c r="E59" s="514">
        <f t="shared" si="5"/>
        <v>9809559</v>
      </c>
    </row>
    <row r="60" spans="1:5" s="506" customFormat="1" x14ac:dyDescent="0.2">
      <c r="A60" s="512">
        <v>3</v>
      </c>
      <c r="B60" s="511" t="s">
        <v>752</v>
      </c>
      <c r="C60" s="513">
        <f>C61+C62</f>
        <v>10644435</v>
      </c>
      <c r="D60" s="515">
        <f>D61+D62</f>
        <v>14794991</v>
      </c>
      <c r="E60" s="514">
        <f t="shared" si="5"/>
        <v>4150556</v>
      </c>
    </row>
    <row r="61" spans="1:5" s="506" customFormat="1" x14ac:dyDescent="0.2">
      <c r="A61" s="512">
        <v>4</v>
      </c>
      <c r="B61" s="511" t="s">
        <v>114</v>
      </c>
      <c r="C61" s="513">
        <v>9785294</v>
      </c>
      <c r="D61" s="515">
        <v>14645104</v>
      </c>
      <c r="E61" s="514">
        <f t="shared" si="5"/>
        <v>4859810</v>
      </c>
    </row>
    <row r="62" spans="1:5" s="506" customFormat="1" x14ac:dyDescent="0.2">
      <c r="A62" s="512">
        <v>5</v>
      </c>
      <c r="B62" s="511" t="s">
        <v>719</v>
      </c>
      <c r="C62" s="513">
        <v>859141</v>
      </c>
      <c r="D62" s="515">
        <v>149887</v>
      </c>
      <c r="E62" s="514">
        <f t="shared" si="5"/>
        <v>-709254</v>
      </c>
    </row>
    <row r="63" spans="1:5" s="506" customFormat="1" x14ac:dyDescent="0.2">
      <c r="A63" s="512">
        <v>6</v>
      </c>
      <c r="B63" s="511" t="s">
        <v>418</v>
      </c>
      <c r="C63" s="513">
        <v>50252</v>
      </c>
      <c r="D63" s="515">
        <v>123693</v>
      </c>
      <c r="E63" s="514">
        <f t="shared" si="5"/>
        <v>73441</v>
      </c>
    </row>
    <row r="64" spans="1:5" s="506" customFormat="1" x14ac:dyDescent="0.2">
      <c r="A64" s="512">
        <v>7</v>
      </c>
      <c r="B64" s="511" t="s">
        <v>734</v>
      </c>
      <c r="C64" s="513">
        <v>1586852</v>
      </c>
      <c r="D64" s="515">
        <v>1800846</v>
      </c>
      <c r="E64" s="514">
        <f t="shared" si="5"/>
        <v>213994</v>
      </c>
    </row>
    <row r="65" spans="1:5" s="506" customFormat="1" x14ac:dyDescent="0.2">
      <c r="A65" s="512"/>
      <c r="B65" s="516" t="s">
        <v>767</v>
      </c>
      <c r="C65" s="517">
        <f>SUM(C59+C60+C63)</f>
        <v>36700906</v>
      </c>
      <c r="D65" s="517">
        <f>SUM(D59+D60+D63)</f>
        <v>50734462</v>
      </c>
      <c r="E65" s="517">
        <f t="shared" si="5"/>
        <v>14033556</v>
      </c>
    </row>
    <row r="66" spans="1:5" s="506" customFormat="1" x14ac:dyDescent="0.2">
      <c r="A66" s="512"/>
      <c r="B66" s="516" t="s">
        <v>700</v>
      </c>
      <c r="C66" s="517">
        <f>SUM(C58+C65)</f>
        <v>226233451</v>
      </c>
      <c r="D66" s="517">
        <f>SUM(D58+D65)</f>
        <v>267251013</v>
      </c>
      <c r="E66" s="517">
        <f t="shared" si="5"/>
        <v>41017562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625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756</v>
      </c>
      <c r="C69" s="514">
        <f t="shared" ref="C69:D75" si="6">C47+C58</f>
        <v>268889831</v>
      </c>
      <c r="D69" s="514">
        <f t="shared" si="6"/>
        <v>297292692</v>
      </c>
      <c r="E69" s="514">
        <f t="shared" ref="E69:E77" si="7">D69-C69</f>
        <v>28402861</v>
      </c>
    </row>
    <row r="70" spans="1:5" s="506" customFormat="1" x14ac:dyDescent="0.2">
      <c r="A70" s="512">
        <v>2</v>
      </c>
      <c r="B70" s="511" t="s">
        <v>757</v>
      </c>
      <c r="C70" s="514">
        <f t="shared" si="6"/>
        <v>102485288</v>
      </c>
      <c r="D70" s="514">
        <f t="shared" si="6"/>
        <v>101191530</v>
      </c>
      <c r="E70" s="514">
        <f t="shared" si="7"/>
        <v>-1293758</v>
      </c>
    </row>
    <row r="71" spans="1:5" s="506" customFormat="1" x14ac:dyDescent="0.2">
      <c r="A71" s="512">
        <v>3</v>
      </c>
      <c r="B71" s="511" t="s">
        <v>758</v>
      </c>
      <c r="C71" s="514">
        <f t="shared" si="6"/>
        <v>23501647</v>
      </c>
      <c r="D71" s="514">
        <f t="shared" si="6"/>
        <v>28417139</v>
      </c>
      <c r="E71" s="514">
        <f t="shared" si="7"/>
        <v>4915492</v>
      </c>
    </row>
    <row r="72" spans="1:5" s="506" customFormat="1" x14ac:dyDescent="0.2">
      <c r="A72" s="512">
        <v>4</v>
      </c>
      <c r="B72" s="511" t="s">
        <v>759</v>
      </c>
      <c r="C72" s="514">
        <f t="shared" si="6"/>
        <v>21500232</v>
      </c>
      <c r="D72" s="514">
        <f t="shared" si="6"/>
        <v>28079037</v>
      </c>
      <c r="E72" s="514">
        <f t="shared" si="7"/>
        <v>6578805</v>
      </c>
    </row>
    <row r="73" spans="1:5" s="506" customFormat="1" x14ac:dyDescent="0.2">
      <c r="A73" s="512">
        <v>5</v>
      </c>
      <c r="B73" s="511" t="s">
        <v>760</v>
      </c>
      <c r="C73" s="514">
        <f t="shared" si="6"/>
        <v>2001415</v>
      </c>
      <c r="D73" s="514">
        <f t="shared" si="6"/>
        <v>338102</v>
      </c>
      <c r="E73" s="514">
        <f t="shared" si="7"/>
        <v>-1663313</v>
      </c>
    </row>
    <row r="74" spans="1:5" s="506" customFormat="1" x14ac:dyDescent="0.2">
      <c r="A74" s="512">
        <v>6</v>
      </c>
      <c r="B74" s="511" t="s">
        <v>761</v>
      </c>
      <c r="C74" s="514">
        <f t="shared" si="6"/>
        <v>110138</v>
      </c>
      <c r="D74" s="514">
        <f t="shared" si="6"/>
        <v>372460</v>
      </c>
      <c r="E74" s="514">
        <f t="shared" si="7"/>
        <v>262322</v>
      </c>
    </row>
    <row r="75" spans="1:5" s="506" customFormat="1" x14ac:dyDescent="0.2">
      <c r="A75" s="512">
        <v>7</v>
      </c>
      <c r="B75" s="511" t="s">
        <v>762</v>
      </c>
      <c r="C75" s="514">
        <f t="shared" si="6"/>
        <v>2164844</v>
      </c>
      <c r="D75" s="514">
        <f t="shared" si="6"/>
        <v>2038295</v>
      </c>
      <c r="E75" s="514">
        <f t="shared" si="7"/>
        <v>-126549</v>
      </c>
    </row>
    <row r="76" spans="1:5" s="506" customFormat="1" x14ac:dyDescent="0.2">
      <c r="A76" s="512"/>
      <c r="B76" s="516" t="s">
        <v>768</v>
      </c>
      <c r="C76" s="517">
        <f>SUM(C70+C71+C74)</f>
        <v>126097073</v>
      </c>
      <c r="D76" s="517">
        <f>SUM(D70+D71+D74)</f>
        <v>129981129</v>
      </c>
      <c r="E76" s="517">
        <f t="shared" si="7"/>
        <v>3884056</v>
      </c>
    </row>
    <row r="77" spans="1:5" s="506" customFormat="1" x14ac:dyDescent="0.2">
      <c r="A77" s="512"/>
      <c r="B77" s="516" t="s">
        <v>702</v>
      </c>
      <c r="C77" s="517">
        <f>SUM(C69+C76)</f>
        <v>394986904</v>
      </c>
      <c r="D77" s="517">
        <f>SUM(D69+D76)</f>
        <v>427273821</v>
      </c>
      <c r="E77" s="517">
        <f t="shared" si="7"/>
        <v>32286917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769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770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627</v>
      </c>
      <c r="C83" s="523">
        <f t="shared" ref="C83:D89" si="8">IF(C$44=0,0,C14/C$44)</f>
        <v>0.16741960561875205</v>
      </c>
      <c r="D83" s="523">
        <f t="shared" si="8"/>
        <v>0.15697553794805988</v>
      </c>
      <c r="E83" s="523">
        <f t="shared" ref="E83:E91" si="9">D83-C83</f>
        <v>-1.044406767069217E-2</v>
      </c>
    </row>
    <row r="84" spans="1:5" s="506" customFormat="1" x14ac:dyDescent="0.2">
      <c r="A84" s="512">
        <v>2</v>
      </c>
      <c r="B84" s="511" t="s">
        <v>606</v>
      </c>
      <c r="C84" s="523">
        <f t="shared" si="8"/>
        <v>0.21734275704403699</v>
      </c>
      <c r="D84" s="523">
        <f t="shared" si="8"/>
        <v>0.18785610920845891</v>
      </c>
      <c r="E84" s="523">
        <f t="shared" si="9"/>
        <v>-2.9486647835578084E-2</v>
      </c>
    </row>
    <row r="85" spans="1:5" s="506" customFormat="1" x14ac:dyDescent="0.2">
      <c r="A85" s="512">
        <v>3</v>
      </c>
      <c r="B85" s="511" t="s">
        <v>752</v>
      </c>
      <c r="C85" s="523">
        <f t="shared" si="8"/>
        <v>6.4067046508999484E-2</v>
      </c>
      <c r="D85" s="523">
        <f t="shared" si="8"/>
        <v>6.2993797841238278E-2</v>
      </c>
      <c r="E85" s="523">
        <f t="shared" si="9"/>
        <v>-1.0732486677612063E-3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4.919404522734961E-2</v>
      </c>
      <c r="D86" s="523">
        <f t="shared" si="8"/>
        <v>6.1047304527833572E-2</v>
      </c>
      <c r="E86" s="523">
        <f t="shared" si="9"/>
        <v>1.1853259300483962E-2</v>
      </c>
    </row>
    <row r="87" spans="1:5" s="506" customFormat="1" x14ac:dyDescent="0.2">
      <c r="A87" s="512">
        <v>5</v>
      </c>
      <c r="B87" s="511" t="s">
        <v>719</v>
      </c>
      <c r="C87" s="523">
        <f t="shared" si="8"/>
        <v>1.4873001281649879E-2</v>
      </c>
      <c r="D87" s="523">
        <f t="shared" si="8"/>
        <v>1.9464933134046973E-3</v>
      </c>
      <c r="E87" s="523">
        <f t="shared" si="9"/>
        <v>-1.2926507968245182E-2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1.7875943048943689E-4</v>
      </c>
      <c r="D88" s="523">
        <f t="shared" si="8"/>
        <v>6.8550038017243565E-4</v>
      </c>
      <c r="E88" s="523">
        <f t="shared" si="9"/>
        <v>5.0674094968299879E-4</v>
      </c>
    </row>
    <row r="89" spans="1:5" s="506" customFormat="1" x14ac:dyDescent="0.2">
      <c r="A89" s="512">
        <v>7</v>
      </c>
      <c r="B89" s="511" t="s">
        <v>734</v>
      </c>
      <c r="C89" s="523">
        <f t="shared" si="8"/>
        <v>1.5300751551582602E-2</v>
      </c>
      <c r="D89" s="523">
        <f t="shared" si="8"/>
        <v>1.3167661025829367E-2</v>
      </c>
      <c r="E89" s="523">
        <f t="shared" si="9"/>
        <v>-2.133090525753235E-3</v>
      </c>
    </row>
    <row r="90" spans="1:5" s="506" customFormat="1" x14ac:dyDescent="0.2">
      <c r="A90" s="512"/>
      <c r="B90" s="516" t="s">
        <v>771</v>
      </c>
      <c r="C90" s="524">
        <f>SUM(C84+C85+C88)</f>
        <v>0.28158856298352591</v>
      </c>
      <c r="D90" s="524">
        <f>SUM(D84+D85+D88)</f>
        <v>0.25153540742986963</v>
      </c>
      <c r="E90" s="525">
        <f t="shared" si="9"/>
        <v>-3.0053155553656286E-2</v>
      </c>
    </row>
    <row r="91" spans="1:5" s="506" customFormat="1" x14ac:dyDescent="0.2">
      <c r="A91" s="512"/>
      <c r="B91" s="516" t="s">
        <v>772</v>
      </c>
      <c r="C91" s="524">
        <f>SUM(C83+C90)</f>
        <v>0.44900816860227799</v>
      </c>
      <c r="D91" s="524">
        <f>SUM(D83+D90)</f>
        <v>0.40851094537792954</v>
      </c>
      <c r="E91" s="525">
        <f t="shared" si="9"/>
        <v>-4.0497223224348455E-2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773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627</v>
      </c>
      <c r="C95" s="523">
        <f t="shared" ref="C95:D101" si="10">IF(C$44=0,0,C25/C$44)</f>
        <v>0.34130726543211687</v>
      </c>
      <c r="D95" s="523">
        <f t="shared" si="10"/>
        <v>0.34900741648926614</v>
      </c>
      <c r="E95" s="523">
        <f t="shared" ref="E95:E103" si="11">D95-C95</f>
        <v>7.7001510571492737E-3</v>
      </c>
    </row>
    <row r="96" spans="1:5" s="506" customFormat="1" x14ac:dyDescent="0.2">
      <c r="A96" s="512">
        <v>2</v>
      </c>
      <c r="B96" s="511" t="s">
        <v>606</v>
      </c>
      <c r="C96" s="523">
        <f t="shared" si="10"/>
        <v>0.15386481409523253</v>
      </c>
      <c r="D96" s="523">
        <f t="shared" si="10"/>
        <v>0.17723893200916557</v>
      </c>
      <c r="E96" s="523">
        <f t="shared" si="11"/>
        <v>2.337411791393304E-2</v>
      </c>
    </row>
    <row r="97" spans="1:5" s="506" customFormat="1" x14ac:dyDescent="0.2">
      <c r="A97" s="512">
        <v>3</v>
      </c>
      <c r="B97" s="511" t="s">
        <v>752</v>
      </c>
      <c r="C97" s="523">
        <f t="shared" si="10"/>
        <v>5.5473649823260043E-2</v>
      </c>
      <c r="D97" s="523">
        <f t="shared" si="10"/>
        <v>6.4792694224911282E-2</v>
      </c>
      <c r="E97" s="523">
        <f t="shared" si="11"/>
        <v>9.3190444016512386E-3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4.5502940880690367E-2</v>
      </c>
      <c r="D98" s="523">
        <f t="shared" si="10"/>
        <v>6.3741636995133535E-2</v>
      </c>
      <c r="E98" s="523">
        <f t="shared" si="11"/>
        <v>1.8238696114443169E-2</v>
      </c>
    </row>
    <row r="99" spans="1:5" s="506" customFormat="1" x14ac:dyDescent="0.2">
      <c r="A99" s="512">
        <v>5</v>
      </c>
      <c r="B99" s="511" t="s">
        <v>719</v>
      </c>
      <c r="C99" s="523">
        <f t="shared" si="10"/>
        <v>9.9707089425696786E-3</v>
      </c>
      <c r="D99" s="523">
        <f t="shared" si="10"/>
        <v>1.051057229777742E-3</v>
      </c>
      <c r="E99" s="523">
        <f t="shared" si="11"/>
        <v>-8.9196517127919372E-3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3.4610204711256107E-4</v>
      </c>
      <c r="D100" s="523">
        <f t="shared" si="10"/>
        <v>4.5001189872747606E-4</v>
      </c>
      <c r="E100" s="523">
        <f t="shared" si="11"/>
        <v>1.0390985161491499E-4</v>
      </c>
    </row>
    <row r="101" spans="1:5" s="506" customFormat="1" x14ac:dyDescent="0.2">
      <c r="A101" s="512">
        <v>7</v>
      </c>
      <c r="B101" s="511" t="s">
        <v>734</v>
      </c>
      <c r="C101" s="523">
        <f t="shared" si="10"/>
        <v>3.4033387883928477E-2</v>
      </c>
      <c r="D101" s="523">
        <f t="shared" si="10"/>
        <v>3.701843007783194E-2</v>
      </c>
      <c r="E101" s="523">
        <f t="shared" si="11"/>
        <v>2.985042193903463E-3</v>
      </c>
    </row>
    <row r="102" spans="1:5" s="506" customFormat="1" x14ac:dyDescent="0.2">
      <c r="A102" s="512"/>
      <c r="B102" s="516" t="s">
        <v>774</v>
      </c>
      <c r="C102" s="524">
        <f>SUM(C96+C97+C100)</f>
        <v>0.20968456596560514</v>
      </c>
      <c r="D102" s="524">
        <f>SUM(D96+D97+D100)</f>
        <v>0.24248163813280435</v>
      </c>
      <c r="E102" s="525">
        <f t="shared" si="11"/>
        <v>3.2797072167199209E-2</v>
      </c>
    </row>
    <row r="103" spans="1:5" s="506" customFormat="1" x14ac:dyDescent="0.2">
      <c r="A103" s="512"/>
      <c r="B103" s="516" t="s">
        <v>775</v>
      </c>
      <c r="C103" s="524">
        <f>SUM(C95+C102)</f>
        <v>0.55099183139772201</v>
      </c>
      <c r="D103" s="524">
        <f>SUM(D95+D102)</f>
        <v>0.59148905462207046</v>
      </c>
      <c r="E103" s="525">
        <f t="shared" si="11"/>
        <v>4.0497223224348455E-2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776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777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627</v>
      </c>
      <c r="C109" s="523">
        <f t="shared" ref="C109:D115" si="12">IF(C$77=0,0,C47/C$77)</f>
        <v>0.20091118261480387</v>
      </c>
      <c r="D109" s="523">
        <f t="shared" si="12"/>
        <v>0.18905005883803025</v>
      </c>
      <c r="E109" s="523">
        <f t="shared" ref="E109:E117" si="13">D109-C109</f>
        <v>-1.1861123776773619E-2</v>
      </c>
    </row>
    <row r="110" spans="1:5" s="506" customFormat="1" x14ac:dyDescent="0.2">
      <c r="A110" s="512">
        <v>2</v>
      </c>
      <c r="B110" s="511" t="s">
        <v>606</v>
      </c>
      <c r="C110" s="523">
        <f t="shared" si="12"/>
        <v>0.19362431570642655</v>
      </c>
      <c r="D110" s="523">
        <f t="shared" si="12"/>
        <v>0.15300668748437082</v>
      </c>
      <c r="E110" s="523">
        <f t="shared" si="13"/>
        <v>-4.0617628222055724E-2</v>
      </c>
    </row>
    <row r="111" spans="1:5" s="506" customFormat="1" x14ac:dyDescent="0.2">
      <c r="A111" s="512">
        <v>3</v>
      </c>
      <c r="B111" s="511" t="s">
        <v>752</v>
      </c>
      <c r="C111" s="523">
        <f t="shared" si="12"/>
        <v>3.2550983006768244E-2</v>
      </c>
      <c r="D111" s="523">
        <f t="shared" si="12"/>
        <v>3.1881541368760806E-2</v>
      </c>
      <c r="E111" s="523">
        <f t="shared" si="13"/>
        <v>-6.6944163800743833E-4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2.9659054215124055E-2</v>
      </c>
      <c r="D112" s="523">
        <f t="shared" si="12"/>
        <v>3.1441039304863007E-2</v>
      </c>
      <c r="E112" s="523">
        <f t="shared" si="13"/>
        <v>1.7819850897389522E-3</v>
      </c>
    </row>
    <row r="113" spans="1:5" s="506" customFormat="1" x14ac:dyDescent="0.2">
      <c r="A113" s="512">
        <v>5</v>
      </c>
      <c r="B113" s="511" t="s">
        <v>719</v>
      </c>
      <c r="C113" s="523">
        <f t="shared" si="12"/>
        <v>2.8919287916441909E-3</v>
      </c>
      <c r="D113" s="523">
        <f t="shared" si="12"/>
        <v>4.4050206389780199E-4</v>
      </c>
      <c r="E113" s="523">
        <f t="shared" si="13"/>
        <v>-2.4514267277463888E-3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1.5161515329632295E-4</v>
      </c>
      <c r="D114" s="523">
        <f t="shared" si="12"/>
        <v>5.8221914794073001E-4</v>
      </c>
      <c r="E114" s="523">
        <f t="shared" si="13"/>
        <v>4.3060399464440709E-4</v>
      </c>
    </row>
    <row r="115" spans="1:5" s="506" customFormat="1" x14ac:dyDescent="0.2">
      <c r="A115" s="512">
        <v>7</v>
      </c>
      <c r="B115" s="511" t="s">
        <v>734</v>
      </c>
      <c r="C115" s="523">
        <f t="shared" si="12"/>
        <v>1.4633194015971729E-3</v>
      </c>
      <c r="D115" s="523">
        <f t="shared" si="12"/>
        <v>5.5573027957638433E-4</v>
      </c>
      <c r="E115" s="523">
        <f t="shared" si="13"/>
        <v>-9.0758912202078853E-4</v>
      </c>
    </row>
    <row r="116" spans="1:5" s="506" customFormat="1" x14ac:dyDescent="0.2">
      <c r="A116" s="512"/>
      <c r="B116" s="516" t="s">
        <v>771</v>
      </c>
      <c r="C116" s="524">
        <f>SUM(C110+C111+C114)</f>
        <v>0.22632691386649112</v>
      </c>
      <c r="D116" s="524">
        <f>SUM(D110+D111+D114)</f>
        <v>0.18547044800107237</v>
      </c>
      <c r="E116" s="525">
        <f t="shared" si="13"/>
        <v>-4.0856465865418745E-2</v>
      </c>
    </row>
    <row r="117" spans="1:5" s="506" customFormat="1" x14ac:dyDescent="0.2">
      <c r="A117" s="512"/>
      <c r="B117" s="516" t="s">
        <v>772</v>
      </c>
      <c r="C117" s="524">
        <f>SUM(C109+C116)</f>
        <v>0.42723809648129496</v>
      </c>
      <c r="D117" s="524">
        <f>SUM(D109+D116)</f>
        <v>0.37452050683910265</v>
      </c>
      <c r="E117" s="525">
        <f t="shared" si="13"/>
        <v>-5.2717589642192308E-2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778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627</v>
      </c>
      <c r="C121" s="523">
        <f t="shared" ref="C121:D127" si="14">IF(C$77=0,0,C58/C$77)</f>
        <v>0.47984513684028368</v>
      </c>
      <c r="D121" s="523">
        <f t="shared" si="14"/>
        <v>0.50673956689707889</v>
      </c>
      <c r="E121" s="523">
        <f t="shared" ref="E121:E129" si="15">D121-C121</f>
        <v>2.6894430056795204E-2</v>
      </c>
    </row>
    <row r="122" spans="1:5" s="506" customFormat="1" x14ac:dyDescent="0.2">
      <c r="A122" s="512">
        <v>2</v>
      </c>
      <c r="B122" s="511" t="s">
        <v>606</v>
      </c>
      <c r="C122" s="523">
        <f t="shared" si="14"/>
        <v>6.5840712025227038E-2</v>
      </c>
      <c r="D122" s="523">
        <f t="shared" si="14"/>
        <v>8.3823946705127064E-2</v>
      </c>
      <c r="E122" s="523">
        <f t="shared" si="15"/>
        <v>1.7983234679900026E-2</v>
      </c>
    </row>
    <row r="123" spans="1:5" s="506" customFormat="1" x14ac:dyDescent="0.2">
      <c r="A123" s="512">
        <v>3</v>
      </c>
      <c r="B123" s="511" t="s">
        <v>752</v>
      </c>
      <c r="C123" s="523">
        <f t="shared" si="14"/>
        <v>2.6948830181974845E-2</v>
      </c>
      <c r="D123" s="523">
        <f t="shared" si="14"/>
        <v>3.462648604441413E-2</v>
      </c>
      <c r="E123" s="523">
        <f t="shared" si="15"/>
        <v>7.6776558624392852E-3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2.4773717561025772E-2</v>
      </c>
      <c r="D124" s="523">
        <f t="shared" si="14"/>
        <v>3.4275687580681426E-2</v>
      </c>
      <c r="E124" s="523">
        <f t="shared" si="15"/>
        <v>9.501970019655654E-3</v>
      </c>
    </row>
    <row r="125" spans="1:5" s="506" customFormat="1" x14ac:dyDescent="0.2">
      <c r="A125" s="512">
        <v>5</v>
      </c>
      <c r="B125" s="511" t="s">
        <v>719</v>
      </c>
      <c r="C125" s="523">
        <f t="shared" si="14"/>
        <v>2.1751126209490733E-3</v>
      </c>
      <c r="D125" s="523">
        <f t="shared" si="14"/>
        <v>3.5079846373269849E-4</v>
      </c>
      <c r="E125" s="523">
        <f t="shared" si="15"/>
        <v>-1.8243141572163747E-3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1.2722447121943061E-4</v>
      </c>
      <c r="D126" s="523">
        <f t="shared" si="14"/>
        <v>2.8949351427734677E-4</v>
      </c>
      <c r="E126" s="523">
        <f t="shared" si="15"/>
        <v>1.6226904305791616E-4</v>
      </c>
    </row>
    <row r="127" spans="1:5" s="506" customFormat="1" x14ac:dyDescent="0.2">
      <c r="A127" s="512">
        <v>7</v>
      </c>
      <c r="B127" s="511" t="s">
        <v>734</v>
      </c>
      <c r="C127" s="523">
        <f t="shared" si="14"/>
        <v>4.0174800327050847E-3</v>
      </c>
      <c r="D127" s="523">
        <f t="shared" si="14"/>
        <v>4.2147351686215289E-3</v>
      </c>
      <c r="E127" s="523">
        <f t="shared" si="15"/>
        <v>1.9725513591644424E-4</v>
      </c>
    </row>
    <row r="128" spans="1:5" s="506" customFormat="1" x14ac:dyDescent="0.2">
      <c r="A128" s="512"/>
      <c r="B128" s="516" t="s">
        <v>774</v>
      </c>
      <c r="C128" s="524">
        <f>SUM(C122+C123+C126)</f>
        <v>9.2916766678421317E-2</v>
      </c>
      <c r="D128" s="524">
        <f>SUM(D122+D123+D126)</f>
        <v>0.11873992626381855</v>
      </c>
      <c r="E128" s="525">
        <f t="shared" si="15"/>
        <v>2.5823159585397229E-2</v>
      </c>
    </row>
    <row r="129" spans="1:5" s="506" customFormat="1" x14ac:dyDescent="0.2">
      <c r="A129" s="512"/>
      <c r="B129" s="516" t="s">
        <v>775</v>
      </c>
      <c r="C129" s="524">
        <f>SUM(C121+C128)</f>
        <v>0.57276190351870504</v>
      </c>
      <c r="D129" s="524">
        <f>SUM(D121+D128)</f>
        <v>0.62547949316089746</v>
      </c>
      <c r="E129" s="525">
        <f t="shared" si="15"/>
        <v>5.2717589642192419E-2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779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780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781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627</v>
      </c>
      <c r="C137" s="530">
        <v>6787</v>
      </c>
      <c r="D137" s="530">
        <v>6526</v>
      </c>
      <c r="E137" s="531">
        <f t="shared" ref="E137:E145" si="16">D137-C137</f>
        <v>-261</v>
      </c>
    </row>
    <row r="138" spans="1:5" s="506" customFormat="1" x14ac:dyDescent="0.2">
      <c r="A138" s="512">
        <v>2</v>
      </c>
      <c r="B138" s="511" t="s">
        <v>606</v>
      </c>
      <c r="C138" s="530">
        <v>5382</v>
      </c>
      <c r="D138" s="530">
        <v>5251</v>
      </c>
      <c r="E138" s="531">
        <f t="shared" si="16"/>
        <v>-131</v>
      </c>
    </row>
    <row r="139" spans="1:5" s="506" customFormat="1" x14ac:dyDescent="0.2">
      <c r="A139" s="512">
        <v>3</v>
      </c>
      <c r="B139" s="511" t="s">
        <v>752</v>
      </c>
      <c r="C139" s="530">
        <f>C140+C141</f>
        <v>2907</v>
      </c>
      <c r="D139" s="530">
        <f>D140+D141</f>
        <v>3147</v>
      </c>
      <c r="E139" s="531">
        <f t="shared" si="16"/>
        <v>240</v>
      </c>
    </row>
    <row r="140" spans="1:5" s="506" customFormat="1" x14ac:dyDescent="0.2">
      <c r="A140" s="512">
        <v>4</v>
      </c>
      <c r="B140" s="511" t="s">
        <v>114</v>
      </c>
      <c r="C140" s="530">
        <v>2457</v>
      </c>
      <c r="D140" s="530">
        <v>3039</v>
      </c>
      <c r="E140" s="531">
        <f t="shared" si="16"/>
        <v>582</v>
      </c>
    </row>
    <row r="141" spans="1:5" s="506" customFormat="1" x14ac:dyDescent="0.2">
      <c r="A141" s="512">
        <v>5</v>
      </c>
      <c r="B141" s="511" t="s">
        <v>719</v>
      </c>
      <c r="C141" s="530">
        <v>450</v>
      </c>
      <c r="D141" s="530">
        <v>108</v>
      </c>
      <c r="E141" s="531">
        <f t="shared" si="16"/>
        <v>-342</v>
      </c>
    </row>
    <row r="142" spans="1:5" s="506" customFormat="1" x14ac:dyDescent="0.2">
      <c r="A142" s="512">
        <v>6</v>
      </c>
      <c r="B142" s="511" t="s">
        <v>418</v>
      </c>
      <c r="C142" s="530">
        <v>13</v>
      </c>
      <c r="D142" s="530">
        <v>16</v>
      </c>
      <c r="E142" s="531">
        <f t="shared" si="16"/>
        <v>3</v>
      </c>
    </row>
    <row r="143" spans="1:5" s="506" customFormat="1" x14ac:dyDescent="0.2">
      <c r="A143" s="512">
        <v>7</v>
      </c>
      <c r="B143" s="511" t="s">
        <v>734</v>
      </c>
      <c r="C143" s="530">
        <v>490</v>
      </c>
      <c r="D143" s="530">
        <v>479</v>
      </c>
      <c r="E143" s="531">
        <f t="shared" si="16"/>
        <v>-11</v>
      </c>
    </row>
    <row r="144" spans="1:5" s="506" customFormat="1" x14ac:dyDescent="0.2">
      <c r="A144" s="512"/>
      <c r="B144" s="516" t="s">
        <v>782</v>
      </c>
      <c r="C144" s="532">
        <f>SUM(C138+C139+C142)</f>
        <v>8302</v>
      </c>
      <c r="D144" s="532">
        <f>SUM(D138+D139+D142)</f>
        <v>8414</v>
      </c>
      <c r="E144" s="533">
        <f t="shared" si="16"/>
        <v>112</v>
      </c>
    </row>
    <row r="145" spans="1:5" s="506" customFormat="1" x14ac:dyDescent="0.2">
      <c r="A145" s="512"/>
      <c r="B145" s="516" t="s">
        <v>696</v>
      </c>
      <c r="C145" s="532">
        <f>SUM(C137+C144)</f>
        <v>15089</v>
      </c>
      <c r="D145" s="532">
        <f>SUM(D137+D144)</f>
        <v>14940</v>
      </c>
      <c r="E145" s="533">
        <f t="shared" si="16"/>
        <v>-149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627</v>
      </c>
      <c r="C149" s="534">
        <v>25956</v>
      </c>
      <c r="D149" s="534">
        <v>26482</v>
      </c>
      <c r="E149" s="531">
        <f t="shared" ref="E149:E157" si="17">D149-C149</f>
        <v>526</v>
      </c>
    </row>
    <row r="150" spans="1:5" s="506" customFormat="1" x14ac:dyDescent="0.2">
      <c r="A150" s="512">
        <v>2</v>
      </c>
      <c r="B150" s="511" t="s">
        <v>606</v>
      </c>
      <c r="C150" s="534">
        <v>35892</v>
      </c>
      <c r="D150" s="534">
        <v>33327</v>
      </c>
      <c r="E150" s="531">
        <f t="shared" si="17"/>
        <v>-2565</v>
      </c>
    </row>
    <row r="151" spans="1:5" s="506" customFormat="1" x14ac:dyDescent="0.2">
      <c r="A151" s="512">
        <v>3</v>
      </c>
      <c r="B151" s="511" t="s">
        <v>752</v>
      </c>
      <c r="C151" s="534">
        <f>C152+C153</f>
        <v>14326</v>
      </c>
      <c r="D151" s="534">
        <f>D152+D153</f>
        <v>14568</v>
      </c>
      <c r="E151" s="531">
        <f t="shared" si="17"/>
        <v>242</v>
      </c>
    </row>
    <row r="152" spans="1:5" s="506" customFormat="1" x14ac:dyDescent="0.2">
      <c r="A152" s="512">
        <v>4</v>
      </c>
      <c r="B152" s="511" t="s">
        <v>114</v>
      </c>
      <c r="C152" s="534">
        <v>10974</v>
      </c>
      <c r="D152" s="534">
        <v>13886</v>
      </c>
      <c r="E152" s="531">
        <f t="shared" si="17"/>
        <v>2912</v>
      </c>
    </row>
    <row r="153" spans="1:5" s="506" customFormat="1" x14ac:dyDescent="0.2">
      <c r="A153" s="512">
        <v>5</v>
      </c>
      <c r="B153" s="511" t="s">
        <v>719</v>
      </c>
      <c r="C153" s="535">
        <v>3352</v>
      </c>
      <c r="D153" s="534">
        <v>682</v>
      </c>
      <c r="E153" s="531">
        <f t="shared" si="17"/>
        <v>-2670</v>
      </c>
    </row>
    <row r="154" spans="1:5" s="506" customFormat="1" x14ac:dyDescent="0.2">
      <c r="A154" s="512">
        <v>6</v>
      </c>
      <c r="B154" s="511" t="s">
        <v>418</v>
      </c>
      <c r="C154" s="534">
        <v>51</v>
      </c>
      <c r="D154" s="534">
        <v>65</v>
      </c>
      <c r="E154" s="531">
        <f t="shared" si="17"/>
        <v>14</v>
      </c>
    </row>
    <row r="155" spans="1:5" s="506" customFormat="1" x14ac:dyDescent="0.2">
      <c r="A155" s="512">
        <v>7</v>
      </c>
      <c r="B155" s="511" t="s">
        <v>734</v>
      </c>
      <c r="C155" s="534">
        <v>1826</v>
      </c>
      <c r="D155" s="534">
        <v>1752</v>
      </c>
      <c r="E155" s="531">
        <f t="shared" si="17"/>
        <v>-74</v>
      </c>
    </row>
    <row r="156" spans="1:5" s="506" customFormat="1" x14ac:dyDescent="0.2">
      <c r="A156" s="512"/>
      <c r="B156" s="516" t="s">
        <v>783</v>
      </c>
      <c r="C156" s="532">
        <f>SUM(C150+C151+C154)</f>
        <v>50269</v>
      </c>
      <c r="D156" s="532">
        <f>SUM(D150+D151+D154)</f>
        <v>47960</v>
      </c>
      <c r="E156" s="533">
        <f t="shared" si="17"/>
        <v>-2309</v>
      </c>
    </row>
    <row r="157" spans="1:5" s="506" customFormat="1" x14ac:dyDescent="0.2">
      <c r="A157" s="512"/>
      <c r="B157" s="516" t="s">
        <v>784</v>
      </c>
      <c r="C157" s="532">
        <f>SUM(C149+C156)</f>
        <v>76225</v>
      </c>
      <c r="D157" s="532">
        <f>SUM(D149+D156)</f>
        <v>74442</v>
      </c>
      <c r="E157" s="533">
        <f t="shared" si="17"/>
        <v>-1783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785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627</v>
      </c>
      <c r="C161" s="536">
        <f t="shared" ref="C161:D169" si="18">IF(C137=0,0,C149/C137)</f>
        <v>3.824370119345808</v>
      </c>
      <c r="D161" s="536">
        <f t="shared" si="18"/>
        <v>4.057922157523751</v>
      </c>
      <c r="E161" s="537">
        <f t="shared" ref="E161:E169" si="19">D161-C161</f>
        <v>0.23355203817794301</v>
      </c>
    </row>
    <row r="162" spans="1:5" s="506" customFormat="1" x14ac:dyDescent="0.2">
      <c r="A162" s="512">
        <v>2</v>
      </c>
      <c r="B162" s="511" t="s">
        <v>606</v>
      </c>
      <c r="C162" s="536">
        <f t="shared" si="18"/>
        <v>6.6688963210702346</v>
      </c>
      <c r="D162" s="536">
        <f t="shared" si="18"/>
        <v>6.3467910874119218</v>
      </c>
      <c r="E162" s="537">
        <f t="shared" si="19"/>
        <v>-0.32210523365831278</v>
      </c>
    </row>
    <row r="163" spans="1:5" s="506" customFormat="1" x14ac:dyDescent="0.2">
      <c r="A163" s="512">
        <v>3</v>
      </c>
      <c r="B163" s="511" t="s">
        <v>752</v>
      </c>
      <c r="C163" s="536">
        <f t="shared" si="18"/>
        <v>4.9281045751633989</v>
      </c>
      <c r="D163" s="536">
        <f t="shared" si="18"/>
        <v>4.6291706387035267</v>
      </c>
      <c r="E163" s="537">
        <f t="shared" si="19"/>
        <v>-0.29893393645987221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4.4664224664224665</v>
      </c>
      <c r="D164" s="536">
        <f t="shared" si="18"/>
        <v>4.5692662059888125</v>
      </c>
      <c r="E164" s="537">
        <f t="shared" si="19"/>
        <v>0.10284373956634596</v>
      </c>
    </row>
    <row r="165" spans="1:5" s="506" customFormat="1" x14ac:dyDescent="0.2">
      <c r="A165" s="512">
        <v>5</v>
      </c>
      <c r="B165" s="511" t="s">
        <v>719</v>
      </c>
      <c r="C165" s="536">
        <f t="shared" si="18"/>
        <v>7.4488888888888889</v>
      </c>
      <c r="D165" s="536">
        <f t="shared" si="18"/>
        <v>6.3148148148148149</v>
      </c>
      <c r="E165" s="537">
        <f t="shared" si="19"/>
        <v>-1.134074074074074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3.9230769230769229</v>
      </c>
      <c r="D166" s="536">
        <f t="shared" si="18"/>
        <v>4.0625</v>
      </c>
      <c r="E166" s="537">
        <f t="shared" si="19"/>
        <v>0.13942307692307709</v>
      </c>
    </row>
    <row r="167" spans="1:5" s="506" customFormat="1" x14ac:dyDescent="0.2">
      <c r="A167" s="512">
        <v>7</v>
      </c>
      <c r="B167" s="511" t="s">
        <v>734</v>
      </c>
      <c r="C167" s="536">
        <f t="shared" si="18"/>
        <v>3.7265306122448978</v>
      </c>
      <c r="D167" s="536">
        <f t="shared" si="18"/>
        <v>3.6576200417536535</v>
      </c>
      <c r="E167" s="537">
        <f t="shared" si="19"/>
        <v>-6.8910570491244272E-2</v>
      </c>
    </row>
    <row r="168" spans="1:5" s="506" customFormat="1" x14ac:dyDescent="0.2">
      <c r="A168" s="512"/>
      <c r="B168" s="516" t="s">
        <v>786</v>
      </c>
      <c r="C168" s="538">
        <f t="shared" si="18"/>
        <v>6.0550469766321369</v>
      </c>
      <c r="D168" s="538">
        <f t="shared" si="18"/>
        <v>5.7000237699072978</v>
      </c>
      <c r="E168" s="539">
        <f t="shared" si="19"/>
        <v>-0.35502320672483911</v>
      </c>
    </row>
    <row r="169" spans="1:5" s="506" customFormat="1" x14ac:dyDescent="0.2">
      <c r="A169" s="512"/>
      <c r="B169" s="516" t="s">
        <v>720</v>
      </c>
      <c r="C169" s="538">
        <f t="shared" si="18"/>
        <v>5.0516932865000994</v>
      </c>
      <c r="D169" s="538">
        <f t="shared" si="18"/>
        <v>4.9827309236947794</v>
      </c>
      <c r="E169" s="539">
        <f t="shared" si="19"/>
        <v>-6.8962362805319977E-2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787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627</v>
      </c>
      <c r="C173" s="541">
        <f t="shared" ref="C173:D181" si="20">IF(C137=0,0,C203/C137)</f>
        <v>1.06006</v>
      </c>
      <c r="D173" s="541">
        <f t="shared" si="20"/>
        <v>1.1175999999999999</v>
      </c>
      <c r="E173" s="542">
        <f t="shared" ref="E173:E181" si="21">D173-C173</f>
        <v>5.7539999999999925E-2</v>
      </c>
    </row>
    <row r="174" spans="1:5" s="506" customFormat="1" x14ac:dyDescent="0.2">
      <c r="A174" s="512">
        <v>2</v>
      </c>
      <c r="B174" s="511" t="s">
        <v>606</v>
      </c>
      <c r="C174" s="541">
        <f t="shared" si="20"/>
        <v>1.5350900000000001</v>
      </c>
      <c r="D174" s="541">
        <f t="shared" si="20"/>
        <v>1.5151699999999999</v>
      </c>
      <c r="E174" s="542">
        <f t="shared" si="21"/>
        <v>-1.992000000000016E-2</v>
      </c>
    </row>
    <row r="175" spans="1:5" s="506" customFormat="1" x14ac:dyDescent="0.2">
      <c r="A175" s="512">
        <v>0</v>
      </c>
      <c r="B175" s="511" t="s">
        <v>752</v>
      </c>
      <c r="C175" s="541">
        <f t="shared" si="20"/>
        <v>0.97161811145510835</v>
      </c>
      <c r="D175" s="541">
        <f t="shared" si="20"/>
        <v>0.96905508102955196</v>
      </c>
      <c r="E175" s="542">
        <f t="shared" si="21"/>
        <v>-2.5630304255563896E-3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0.92154999999999998</v>
      </c>
      <c r="D176" s="541">
        <f t="shared" si="20"/>
        <v>0.97350000000000003</v>
      </c>
      <c r="E176" s="542">
        <f t="shared" si="21"/>
        <v>5.1950000000000052E-2</v>
      </c>
    </row>
    <row r="177" spans="1:5" s="506" customFormat="1" x14ac:dyDescent="0.2">
      <c r="A177" s="512">
        <v>5</v>
      </c>
      <c r="B177" s="511" t="s">
        <v>719</v>
      </c>
      <c r="C177" s="541">
        <f t="shared" si="20"/>
        <v>1.24499</v>
      </c>
      <c r="D177" s="541">
        <f t="shared" si="20"/>
        <v>0.84397999999999995</v>
      </c>
      <c r="E177" s="542">
        <f t="shared" si="21"/>
        <v>-0.40101000000000009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0.75034000000000001</v>
      </c>
      <c r="D178" s="541">
        <f t="shared" si="20"/>
        <v>1.3145</v>
      </c>
      <c r="E178" s="542">
        <f t="shared" si="21"/>
        <v>0.56415999999999999</v>
      </c>
    </row>
    <row r="179" spans="1:5" s="506" customFormat="1" x14ac:dyDescent="0.2">
      <c r="A179" s="512">
        <v>7</v>
      </c>
      <c r="B179" s="511" t="s">
        <v>734</v>
      </c>
      <c r="C179" s="541">
        <f t="shared" si="20"/>
        <v>1.1037699999999997</v>
      </c>
      <c r="D179" s="541">
        <f t="shared" si="20"/>
        <v>1.1226700000000001</v>
      </c>
      <c r="E179" s="542">
        <f t="shared" si="21"/>
        <v>1.8900000000000361E-2</v>
      </c>
    </row>
    <row r="180" spans="1:5" s="506" customFormat="1" x14ac:dyDescent="0.2">
      <c r="A180" s="512"/>
      <c r="B180" s="516" t="s">
        <v>788</v>
      </c>
      <c r="C180" s="543">
        <f t="shared" si="20"/>
        <v>1.3365577752348829</v>
      </c>
      <c r="D180" s="543">
        <f t="shared" si="20"/>
        <v>1.3105307832184452</v>
      </c>
      <c r="E180" s="544">
        <f t="shared" si="21"/>
        <v>-2.6026992016437767E-2</v>
      </c>
    </row>
    <row r="181" spans="1:5" s="506" customFormat="1" x14ac:dyDescent="0.2">
      <c r="A181" s="512"/>
      <c r="B181" s="516" t="s">
        <v>697</v>
      </c>
      <c r="C181" s="543">
        <f t="shared" si="20"/>
        <v>1.212189665981841</v>
      </c>
      <c r="D181" s="543">
        <f t="shared" si="20"/>
        <v>1.2262559310575634</v>
      </c>
      <c r="E181" s="544">
        <f t="shared" si="21"/>
        <v>1.4066265075722395E-2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789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790</v>
      </c>
      <c r="C185" s="513">
        <v>568718927</v>
      </c>
      <c r="D185" s="513">
        <v>635946661</v>
      </c>
      <c r="E185" s="514">
        <f>D185-C185</f>
        <v>67227734</v>
      </c>
    </row>
    <row r="186" spans="1:5" s="506" customFormat="1" ht="25.5" x14ac:dyDescent="0.2">
      <c r="A186" s="512">
        <v>2</v>
      </c>
      <c r="B186" s="511" t="s">
        <v>791</v>
      </c>
      <c r="C186" s="513">
        <v>330541616</v>
      </c>
      <c r="D186" s="513">
        <v>375096311</v>
      </c>
      <c r="E186" s="514">
        <f>D186-C186</f>
        <v>44554695</v>
      </c>
    </row>
    <row r="187" spans="1:5" s="506" customFormat="1" x14ac:dyDescent="0.2">
      <c r="A187" s="512"/>
      <c r="B187" s="511" t="s">
        <v>639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723</v>
      </c>
      <c r="C188" s="546">
        <f>+C185-C186</f>
        <v>238177311</v>
      </c>
      <c r="D188" s="546">
        <f>+D185-D186</f>
        <v>260850350</v>
      </c>
      <c r="E188" s="514">
        <f t="shared" ref="E188:E197" si="22">D188-C188</f>
        <v>22673039</v>
      </c>
    </row>
    <row r="189" spans="1:5" s="506" customFormat="1" x14ac:dyDescent="0.2">
      <c r="A189" s="512">
        <v>4</v>
      </c>
      <c r="B189" s="511" t="s">
        <v>641</v>
      </c>
      <c r="C189" s="547">
        <f>IF(C185=0,0,+C188/C185)</f>
        <v>0.41879617451170215</v>
      </c>
      <c r="D189" s="547">
        <f>IF(D185=0,0,+D188/D185)</f>
        <v>0.4101764597518659</v>
      </c>
      <c r="E189" s="523">
        <f t="shared" si="22"/>
        <v>-8.61971475983625E-3</v>
      </c>
    </row>
    <row r="190" spans="1:5" s="506" customFormat="1" x14ac:dyDescent="0.2">
      <c r="A190" s="512">
        <v>5</v>
      </c>
      <c r="B190" s="511" t="s">
        <v>738</v>
      </c>
      <c r="C190" s="513">
        <v>21493900</v>
      </c>
      <c r="D190" s="513">
        <v>28400531</v>
      </c>
      <c r="E190" s="546">
        <f t="shared" si="22"/>
        <v>6906631</v>
      </c>
    </row>
    <row r="191" spans="1:5" s="506" customFormat="1" x14ac:dyDescent="0.2">
      <c r="A191" s="512">
        <v>6</v>
      </c>
      <c r="B191" s="511" t="s">
        <v>724</v>
      </c>
      <c r="C191" s="513">
        <v>13746535</v>
      </c>
      <c r="D191" s="513">
        <v>19060961</v>
      </c>
      <c r="E191" s="546">
        <f t="shared" si="22"/>
        <v>5314426</v>
      </c>
    </row>
    <row r="192" spans="1:5" ht="29.25" x14ac:dyDescent="0.2">
      <c r="A192" s="512">
        <v>7</v>
      </c>
      <c r="B192" s="548" t="s">
        <v>792</v>
      </c>
      <c r="C192" s="513">
        <v>2850410</v>
      </c>
      <c r="D192" s="513">
        <v>0</v>
      </c>
      <c r="E192" s="546">
        <f t="shared" si="22"/>
        <v>-2850410</v>
      </c>
    </row>
    <row r="193" spans="1:5" s="506" customFormat="1" x14ac:dyDescent="0.2">
      <c r="A193" s="512">
        <v>8</v>
      </c>
      <c r="B193" s="511" t="s">
        <v>793</v>
      </c>
      <c r="C193" s="513">
        <v>23197082</v>
      </c>
      <c r="D193" s="513">
        <v>27344589</v>
      </c>
      <c r="E193" s="546">
        <f t="shared" si="22"/>
        <v>4147507</v>
      </c>
    </row>
    <row r="194" spans="1:5" s="506" customFormat="1" x14ac:dyDescent="0.2">
      <c r="A194" s="512">
        <v>9</v>
      </c>
      <c r="B194" s="511" t="s">
        <v>794</v>
      </c>
      <c r="C194" s="513">
        <v>42704703</v>
      </c>
      <c r="D194" s="513">
        <v>46972113</v>
      </c>
      <c r="E194" s="546">
        <f t="shared" si="22"/>
        <v>4267410</v>
      </c>
    </row>
    <row r="195" spans="1:5" s="506" customFormat="1" x14ac:dyDescent="0.2">
      <c r="A195" s="512">
        <v>10</v>
      </c>
      <c r="B195" s="511" t="s">
        <v>795</v>
      </c>
      <c r="C195" s="513">
        <f>+C193+C194</f>
        <v>65901785</v>
      </c>
      <c r="D195" s="513">
        <f>+D193+D194</f>
        <v>74316702</v>
      </c>
      <c r="E195" s="549">
        <f t="shared" si="22"/>
        <v>8414917</v>
      </c>
    </row>
    <row r="196" spans="1:5" s="506" customFormat="1" x14ac:dyDescent="0.2">
      <c r="A196" s="512">
        <v>11</v>
      </c>
      <c r="B196" s="511" t="s">
        <v>796</v>
      </c>
      <c r="C196" s="513">
        <v>568718927</v>
      </c>
      <c r="D196" s="513">
        <v>635946661</v>
      </c>
      <c r="E196" s="546">
        <f t="shared" si="22"/>
        <v>67227734</v>
      </c>
    </row>
    <row r="197" spans="1:5" s="506" customFormat="1" x14ac:dyDescent="0.2">
      <c r="A197" s="512">
        <v>12</v>
      </c>
      <c r="B197" s="511" t="s">
        <v>681</v>
      </c>
      <c r="C197" s="513">
        <v>431680034</v>
      </c>
      <c r="D197" s="513">
        <v>461480665</v>
      </c>
      <c r="E197" s="546">
        <f t="shared" si="22"/>
        <v>29800631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797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798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627</v>
      </c>
      <c r="C203" s="553">
        <v>7194.6272200000003</v>
      </c>
      <c r="D203" s="553">
        <v>7293.4575999999997</v>
      </c>
      <c r="E203" s="554">
        <f t="shared" ref="E203:E211" si="23">D203-C203</f>
        <v>98.830379999999423</v>
      </c>
    </row>
    <row r="204" spans="1:5" s="506" customFormat="1" x14ac:dyDescent="0.2">
      <c r="A204" s="512">
        <v>2</v>
      </c>
      <c r="B204" s="511" t="s">
        <v>606</v>
      </c>
      <c r="C204" s="553">
        <v>8261.8543800000007</v>
      </c>
      <c r="D204" s="553">
        <v>7956.1576699999996</v>
      </c>
      <c r="E204" s="554">
        <f t="shared" si="23"/>
        <v>-305.69671000000108</v>
      </c>
    </row>
    <row r="205" spans="1:5" s="506" customFormat="1" x14ac:dyDescent="0.2">
      <c r="A205" s="512">
        <v>3</v>
      </c>
      <c r="B205" s="511" t="s">
        <v>752</v>
      </c>
      <c r="C205" s="553">
        <f>C206+C207</f>
        <v>2824.4938499999998</v>
      </c>
      <c r="D205" s="553">
        <f>D206+D207</f>
        <v>3049.61634</v>
      </c>
      <c r="E205" s="554">
        <f t="shared" si="23"/>
        <v>225.1224900000002</v>
      </c>
    </row>
    <row r="206" spans="1:5" s="506" customFormat="1" x14ac:dyDescent="0.2">
      <c r="A206" s="512">
        <v>4</v>
      </c>
      <c r="B206" s="511" t="s">
        <v>114</v>
      </c>
      <c r="C206" s="553">
        <v>2264.2483499999998</v>
      </c>
      <c r="D206" s="553">
        <v>2958.4665</v>
      </c>
      <c r="E206" s="554">
        <f t="shared" si="23"/>
        <v>694.21815000000015</v>
      </c>
    </row>
    <row r="207" spans="1:5" s="506" customFormat="1" x14ac:dyDescent="0.2">
      <c r="A207" s="512">
        <v>5</v>
      </c>
      <c r="B207" s="511" t="s">
        <v>719</v>
      </c>
      <c r="C207" s="553">
        <v>560.24549999999999</v>
      </c>
      <c r="D207" s="553">
        <v>91.149839999999998</v>
      </c>
      <c r="E207" s="554">
        <f t="shared" si="23"/>
        <v>-469.09566000000001</v>
      </c>
    </row>
    <row r="208" spans="1:5" s="506" customFormat="1" x14ac:dyDescent="0.2">
      <c r="A208" s="512">
        <v>6</v>
      </c>
      <c r="B208" s="511" t="s">
        <v>418</v>
      </c>
      <c r="C208" s="553">
        <v>9.7544199999999996</v>
      </c>
      <c r="D208" s="553">
        <v>21.032</v>
      </c>
      <c r="E208" s="554">
        <f t="shared" si="23"/>
        <v>11.27758</v>
      </c>
    </row>
    <row r="209" spans="1:5" s="506" customFormat="1" x14ac:dyDescent="0.2">
      <c r="A209" s="512">
        <v>7</v>
      </c>
      <c r="B209" s="511" t="s">
        <v>734</v>
      </c>
      <c r="C209" s="553">
        <v>540.8472999999999</v>
      </c>
      <c r="D209" s="553">
        <v>537.75893000000008</v>
      </c>
      <c r="E209" s="554">
        <f t="shared" si="23"/>
        <v>-3.0883699999998271</v>
      </c>
    </row>
    <row r="210" spans="1:5" s="506" customFormat="1" x14ac:dyDescent="0.2">
      <c r="A210" s="512"/>
      <c r="B210" s="516" t="s">
        <v>799</v>
      </c>
      <c r="C210" s="555">
        <f>C204+C205+C208</f>
        <v>11096.102649999999</v>
      </c>
      <c r="D210" s="555">
        <f>D204+D205+D208</f>
        <v>11026.806009999998</v>
      </c>
      <c r="E210" s="556">
        <f t="shared" si="23"/>
        <v>-69.29664000000048</v>
      </c>
    </row>
    <row r="211" spans="1:5" s="506" customFormat="1" x14ac:dyDescent="0.2">
      <c r="A211" s="512"/>
      <c r="B211" s="516" t="s">
        <v>698</v>
      </c>
      <c r="C211" s="555">
        <f>C210+C203</f>
        <v>18290.729869999999</v>
      </c>
      <c r="D211" s="555">
        <f>D210+D203</f>
        <v>18320.263609999998</v>
      </c>
      <c r="E211" s="556">
        <f t="shared" si="23"/>
        <v>29.533739999998943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800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627</v>
      </c>
      <c r="C215" s="557">
        <f>IF(C14*C137=0,0,C25/C14*C137)</f>
        <v>13836.207545266851</v>
      </c>
      <c r="D215" s="557">
        <f>IF(D14*D137=0,0,D25/D14*D137)</f>
        <v>14509.409744864652</v>
      </c>
      <c r="E215" s="557">
        <f t="shared" ref="E215:E223" si="24">D215-C215</f>
        <v>673.20219959780115</v>
      </c>
    </row>
    <row r="216" spans="1:5" s="506" customFormat="1" x14ac:dyDescent="0.2">
      <c r="A216" s="512">
        <v>2</v>
      </c>
      <c r="B216" s="511" t="s">
        <v>606</v>
      </c>
      <c r="C216" s="557">
        <f>IF(C15*C138=0,0,C26/C15*C138)</f>
        <v>3810.1128407640272</v>
      </c>
      <c r="D216" s="557">
        <f>IF(D15*D138=0,0,D26/D15*D138)</f>
        <v>4954.2260611145512</v>
      </c>
      <c r="E216" s="557">
        <f t="shared" si="24"/>
        <v>1144.113220350524</v>
      </c>
    </row>
    <row r="217" spans="1:5" s="506" customFormat="1" x14ac:dyDescent="0.2">
      <c r="A217" s="512">
        <v>3</v>
      </c>
      <c r="B217" s="511" t="s">
        <v>752</v>
      </c>
      <c r="C217" s="557">
        <f>C218+C219</f>
        <v>2574.3229652541163</v>
      </c>
      <c r="D217" s="557">
        <f>D218+D219</f>
        <v>3231.4440193956634</v>
      </c>
      <c r="E217" s="557">
        <f t="shared" si="24"/>
        <v>657.12105414154712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2272.6475374645593</v>
      </c>
      <c r="D218" s="557">
        <f t="shared" si="25"/>
        <v>3173.1267469785066</v>
      </c>
      <c r="E218" s="557">
        <f t="shared" si="24"/>
        <v>900.47920951394735</v>
      </c>
    </row>
    <row r="219" spans="1:5" s="506" customFormat="1" x14ac:dyDescent="0.2">
      <c r="A219" s="512">
        <v>5</v>
      </c>
      <c r="B219" s="511" t="s">
        <v>719</v>
      </c>
      <c r="C219" s="557">
        <f t="shared" si="25"/>
        <v>301.67542778955692</v>
      </c>
      <c r="D219" s="557">
        <f t="shared" si="25"/>
        <v>58.317272417156914</v>
      </c>
      <c r="E219" s="557">
        <f t="shared" si="24"/>
        <v>-243.35815537240001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25.16973006763503</v>
      </c>
      <c r="D220" s="557">
        <f t="shared" si="25"/>
        <v>10.503554174292988</v>
      </c>
      <c r="E220" s="557">
        <f t="shared" si="24"/>
        <v>-14.666175893342041</v>
      </c>
    </row>
    <row r="221" spans="1:5" s="506" customFormat="1" x14ac:dyDescent="0.2">
      <c r="A221" s="512">
        <v>7</v>
      </c>
      <c r="B221" s="511" t="s">
        <v>734</v>
      </c>
      <c r="C221" s="557">
        <f t="shared" si="25"/>
        <v>1089.9046368346571</v>
      </c>
      <c r="D221" s="557">
        <f t="shared" si="25"/>
        <v>1346.6194165007112</v>
      </c>
      <c r="E221" s="557">
        <f t="shared" si="24"/>
        <v>256.71477966605403</v>
      </c>
    </row>
    <row r="222" spans="1:5" s="506" customFormat="1" x14ac:dyDescent="0.2">
      <c r="A222" s="512"/>
      <c r="B222" s="516" t="s">
        <v>801</v>
      </c>
      <c r="C222" s="558">
        <f>C216+C218+C219+C220</f>
        <v>6409.6055360857781</v>
      </c>
      <c r="D222" s="558">
        <f>D216+D218+D219+D220</f>
        <v>8196.1736346845082</v>
      </c>
      <c r="E222" s="558">
        <f t="shared" si="24"/>
        <v>1786.5680985987301</v>
      </c>
    </row>
    <row r="223" spans="1:5" s="506" customFormat="1" x14ac:dyDescent="0.2">
      <c r="A223" s="512"/>
      <c r="B223" s="516" t="s">
        <v>802</v>
      </c>
      <c r="C223" s="558">
        <f>C215+C222</f>
        <v>20245.81308135263</v>
      </c>
      <c r="D223" s="558">
        <f>D215+D222</f>
        <v>22705.58337954916</v>
      </c>
      <c r="E223" s="558">
        <f t="shared" si="24"/>
        <v>2459.7702981965303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803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627</v>
      </c>
      <c r="C227" s="560">
        <f t="shared" ref="C227:D235" si="26">IF(C203=0,0,C47/C203)</f>
        <v>11030.076135063464</v>
      </c>
      <c r="D227" s="560">
        <f t="shared" si="26"/>
        <v>11075.150556849745</v>
      </c>
      <c r="E227" s="560">
        <f t="shared" ref="E227:E235" si="27">D227-C227</f>
        <v>45.074421786281164</v>
      </c>
    </row>
    <row r="228" spans="1:5" s="506" customFormat="1" x14ac:dyDescent="0.2">
      <c r="A228" s="512">
        <v>2</v>
      </c>
      <c r="B228" s="511" t="s">
        <v>606</v>
      </c>
      <c r="C228" s="560">
        <f t="shared" si="26"/>
        <v>9256.8890084939976</v>
      </c>
      <c r="D228" s="560">
        <f t="shared" si="26"/>
        <v>8217.0005562496608</v>
      </c>
      <c r="E228" s="560">
        <f t="shared" si="27"/>
        <v>-1039.8884522443368</v>
      </c>
    </row>
    <row r="229" spans="1:5" s="506" customFormat="1" x14ac:dyDescent="0.2">
      <c r="A229" s="512">
        <v>3</v>
      </c>
      <c r="B229" s="511" t="s">
        <v>752</v>
      </c>
      <c r="C229" s="560">
        <f t="shared" si="26"/>
        <v>4552.0410674641762</v>
      </c>
      <c r="D229" s="560">
        <f t="shared" si="26"/>
        <v>4466.8399173123526</v>
      </c>
      <c r="E229" s="560">
        <f t="shared" si="27"/>
        <v>-85.20115015182364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5173.8750300955289</v>
      </c>
      <c r="D230" s="560">
        <f t="shared" si="26"/>
        <v>4540.8433727405736</v>
      </c>
      <c r="E230" s="560">
        <f t="shared" si="27"/>
        <v>-633.03165735495531</v>
      </c>
    </row>
    <row r="231" spans="1:5" s="506" customFormat="1" x14ac:dyDescent="0.2">
      <c r="A231" s="512">
        <v>5</v>
      </c>
      <c r="B231" s="511" t="s">
        <v>719</v>
      </c>
      <c r="C231" s="560">
        <f t="shared" si="26"/>
        <v>2038.8811690589216</v>
      </c>
      <c r="D231" s="560">
        <f t="shared" si="26"/>
        <v>2064.8966580742217</v>
      </c>
      <c r="E231" s="560">
        <f t="shared" si="27"/>
        <v>26.015489015300091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6139.3706647858098</v>
      </c>
      <c r="D232" s="560">
        <f t="shared" si="26"/>
        <v>11828.023963484215</v>
      </c>
      <c r="E232" s="560">
        <f t="shared" si="27"/>
        <v>5688.6532986984048</v>
      </c>
    </row>
    <row r="233" spans="1:5" s="506" customFormat="1" x14ac:dyDescent="0.2">
      <c r="A233" s="512">
        <v>7</v>
      </c>
      <c r="B233" s="511" t="s">
        <v>734</v>
      </c>
      <c r="C233" s="560">
        <f t="shared" si="26"/>
        <v>1068.6787194832998</v>
      </c>
      <c r="D233" s="560">
        <f t="shared" si="26"/>
        <v>441.5528720276202</v>
      </c>
      <c r="E233" s="560">
        <f t="shared" si="27"/>
        <v>-627.1258474556796</v>
      </c>
    </row>
    <row r="234" spans="1:5" x14ac:dyDescent="0.2">
      <c r="A234" s="512"/>
      <c r="B234" s="516" t="s">
        <v>804</v>
      </c>
      <c r="C234" s="561">
        <f t="shared" si="26"/>
        <v>8056.5374906656989</v>
      </c>
      <c r="D234" s="561">
        <f t="shared" si="26"/>
        <v>7186.7290426740728</v>
      </c>
      <c r="E234" s="561">
        <f t="shared" si="27"/>
        <v>-869.80844799162605</v>
      </c>
    </row>
    <row r="235" spans="1:5" s="506" customFormat="1" x14ac:dyDescent="0.2">
      <c r="A235" s="512"/>
      <c r="B235" s="516" t="s">
        <v>805</v>
      </c>
      <c r="C235" s="561">
        <f t="shared" si="26"/>
        <v>9226.1738158839253</v>
      </c>
      <c r="D235" s="561">
        <f t="shared" si="26"/>
        <v>8734.7437464083523</v>
      </c>
      <c r="E235" s="561">
        <f t="shared" si="27"/>
        <v>-491.43006947557296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806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627</v>
      </c>
      <c r="C239" s="560">
        <f t="shared" ref="C239:D247" si="28">IF(C215=0,0,C58/C215)</f>
        <v>13698.301675507615</v>
      </c>
      <c r="D239" s="560">
        <f t="shared" si="28"/>
        <v>14922.49201085745</v>
      </c>
      <c r="E239" s="562">
        <f t="shared" ref="E239:E247" si="29">D239-C239</f>
        <v>1224.1903353498346</v>
      </c>
    </row>
    <row r="240" spans="1:5" s="506" customFormat="1" x14ac:dyDescent="0.2">
      <c r="A240" s="512">
        <v>2</v>
      </c>
      <c r="B240" s="511" t="s">
        <v>606</v>
      </c>
      <c r="C240" s="560">
        <f t="shared" si="28"/>
        <v>6825.5771119852379</v>
      </c>
      <c r="D240" s="560">
        <f t="shared" si="28"/>
        <v>7229.3386612121067</v>
      </c>
      <c r="E240" s="562">
        <f t="shared" si="29"/>
        <v>403.76154922686874</v>
      </c>
    </row>
    <row r="241" spans="1:5" x14ac:dyDescent="0.2">
      <c r="A241" s="512">
        <v>3</v>
      </c>
      <c r="B241" s="511" t="s">
        <v>752</v>
      </c>
      <c r="C241" s="560">
        <f t="shared" si="28"/>
        <v>4134.8483246542719</v>
      </c>
      <c r="D241" s="560">
        <f t="shared" si="28"/>
        <v>4578.4457076149265</v>
      </c>
      <c r="E241" s="562">
        <f t="shared" si="29"/>
        <v>443.59738296065461</v>
      </c>
    </row>
    <row r="242" spans="1:5" x14ac:dyDescent="0.2">
      <c r="A242" s="512">
        <v>4</v>
      </c>
      <c r="B242" s="511" t="s">
        <v>114</v>
      </c>
      <c r="C242" s="560">
        <f t="shared" si="28"/>
        <v>4305.680418406102</v>
      </c>
      <c r="D242" s="560">
        <f t="shared" si="28"/>
        <v>4615.3542444988252</v>
      </c>
      <c r="E242" s="562">
        <f t="shared" si="29"/>
        <v>309.67382609272317</v>
      </c>
    </row>
    <row r="243" spans="1:5" x14ac:dyDescent="0.2">
      <c r="A243" s="512">
        <v>5</v>
      </c>
      <c r="B243" s="511" t="s">
        <v>719</v>
      </c>
      <c r="C243" s="560">
        <f t="shared" si="28"/>
        <v>2847.8985056725287</v>
      </c>
      <c r="D243" s="560">
        <f t="shared" si="28"/>
        <v>2570.1990814629271</v>
      </c>
      <c r="E243" s="562">
        <f t="shared" si="29"/>
        <v>-277.6994242096016</v>
      </c>
    </row>
    <row r="244" spans="1:5" x14ac:dyDescent="0.2">
      <c r="A244" s="512">
        <v>6</v>
      </c>
      <c r="B244" s="511" t="s">
        <v>418</v>
      </c>
      <c r="C244" s="560">
        <f t="shared" si="28"/>
        <v>1996.5251858071167</v>
      </c>
      <c r="D244" s="560">
        <f t="shared" si="28"/>
        <v>11776.299521806959</v>
      </c>
      <c r="E244" s="562">
        <f t="shared" si="29"/>
        <v>9779.7743359998422</v>
      </c>
    </row>
    <row r="245" spans="1:5" x14ac:dyDescent="0.2">
      <c r="A245" s="512">
        <v>7</v>
      </c>
      <c r="B245" s="511" t="s">
        <v>734</v>
      </c>
      <c r="C245" s="560">
        <f t="shared" si="28"/>
        <v>1455.9549031818017</v>
      </c>
      <c r="D245" s="560">
        <f t="shared" si="28"/>
        <v>1337.3088030169874</v>
      </c>
      <c r="E245" s="562">
        <f t="shared" si="29"/>
        <v>-118.64610016481424</v>
      </c>
    </row>
    <row r="246" spans="1:5" ht="25.5" x14ac:dyDescent="0.2">
      <c r="A246" s="512"/>
      <c r="B246" s="516" t="s">
        <v>807</v>
      </c>
      <c r="C246" s="561">
        <f t="shared" si="28"/>
        <v>5725.9227254119805</v>
      </c>
      <c r="D246" s="561">
        <f t="shared" si="28"/>
        <v>6190.0179597589622</v>
      </c>
      <c r="E246" s="563">
        <f t="shared" si="29"/>
        <v>464.09523434698167</v>
      </c>
    </row>
    <row r="247" spans="1:5" x14ac:dyDescent="0.2">
      <c r="A247" s="512"/>
      <c r="B247" s="516" t="s">
        <v>808</v>
      </c>
      <c r="C247" s="561">
        <f t="shared" si="28"/>
        <v>11174.332692440588</v>
      </c>
      <c r="D247" s="561">
        <f t="shared" si="28"/>
        <v>11770.277316050468</v>
      </c>
      <c r="E247" s="563">
        <f t="shared" si="29"/>
        <v>595.94462360987927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736</v>
      </c>
      <c r="B249" s="550" t="s">
        <v>733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5726837.0153277079</v>
      </c>
      <c r="D251" s="546">
        <f>((IF((IF(D15=0,0,D26/D15)*D138)=0,0,D59/(IF(D15=0,0,D26/D15)*D138)))-(IF((IF(D17=0,0,D28/D17)*D140)=0,0,D61/(IF(D17=0,0,D28/D17)*D140))))*(IF(D17=0,0,D28/D17)*D140)</f>
        <v>8294503.8688579239</v>
      </c>
      <c r="E251" s="546">
        <f>D251-C251</f>
        <v>2567666.853530216</v>
      </c>
    </row>
    <row r="252" spans="1:5" x14ac:dyDescent="0.2">
      <c r="A252" s="512">
        <v>2</v>
      </c>
      <c r="B252" s="511" t="s">
        <v>719</v>
      </c>
      <c r="C252" s="546">
        <f>IF(C231=0,0,(C228-C231)*C207)+IF(C243=0,0,(C240-C243)*C219)</f>
        <v>5243824.3061769791</v>
      </c>
      <c r="D252" s="546">
        <f>IF(D231=0,0,(D228-D231)*D207)+IF(D243=0,0,(D240-D243)*D219)</f>
        <v>832471.59808385849</v>
      </c>
      <c r="E252" s="546">
        <f>D252-C252</f>
        <v>-4411352.7080931207</v>
      </c>
    </row>
    <row r="253" spans="1:5" x14ac:dyDescent="0.2">
      <c r="A253" s="512">
        <v>3</v>
      </c>
      <c r="B253" s="511" t="s">
        <v>734</v>
      </c>
      <c r="C253" s="546">
        <f>IF(C233=0,0,(C228-C233)*C209+IF(C221=0,0,(C240-C245)*C221))</f>
        <v>10280947.570068873</v>
      </c>
      <c r="D253" s="546">
        <f>IF(D233=0,0,(D228-D233)*D209+IF(D221=0,0,(D240-D245)*D221))</f>
        <v>12115638.236585703</v>
      </c>
      <c r="E253" s="546">
        <f>D253-C253</f>
        <v>1834690.6665168293</v>
      </c>
    </row>
    <row r="254" spans="1:5" ht="15" customHeight="1" x14ac:dyDescent="0.2">
      <c r="A254" s="512"/>
      <c r="B254" s="516" t="s">
        <v>735</v>
      </c>
      <c r="C254" s="564">
        <f>+C251+C252+C253</f>
        <v>21251608.891573559</v>
      </c>
      <c r="D254" s="564">
        <f>+D251+D252+D253</f>
        <v>21242613.703527488</v>
      </c>
      <c r="E254" s="564">
        <f>D254-C254</f>
        <v>-8995.1880460716784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809</v>
      </c>
      <c r="B256" s="550" t="s">
        <v>810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701</v>
      </c>
      <c r="C258" s="546">
        <f>+C44</f>
        <v>1288625721</v>
      </c>
      <c r="D258" s="549">
        <f>+D44</f>
        <v>1459332524</v>
      </c>
      <c r="E258" s="546">
        <f t="shared" ref="E258:E271" si="30">D258-C258</f>
        <v>170706803</v>
      </c>
    </row>
    <row r="259" spans="1:5" x14ac:dyDescent="0.2">
      <c r="A259" s="512">
        <v>2</v>
      </c>
      <c r="B259" s="511" t="s">
        <v>718</v>
      </c>
      <c r="C259" s="546">
        <f>+(C43-C76)</f>
        <v>506970117</v>
      </c>
      <c r="D259" s="549">
        <f>+(D43-D76)</f>
        <v>590954013</v>
      </c>
      <c r="E259" s="546">
        <f t="shared" si="30"/>
        <v>83983896</v>
      </c>
    </row>
    <row r="260" spans="1:5" x14ac:dyDescent="0.2">
      <c r="A260" s="512">
        <v>3</v>
      </c>
      <c r="B260" s="511" t="s">
        <v>722</v>
      </c>
      <c r="C260" s="546">
        <f>C195</f>
        <v>65901785</v>
      </c>
      <c r="D260" s="546">
        <f>D195</f>
        <v>74316702</v>
      </c>
      <c r="E260" s="546">
        <f t="shared" si="30"/>
        <v>8414917</v>
      </c>
    </row>
    <row r="261" spans="1:5" x14ac:dyDescent="0.2">
      <c r="A261" s="512">
        <v>4</v>
      </c>
      <c r="B261" s="511" t="s">
        <v>723</v>
      </c>
      <c r="C261" s="546">
        <f>C188</f>
        <v>238177311</v>
      </c>
      <c r="D261" s="546">
        <f>D188</f>
        <v>260850350</v>
      </c>
      <c r="E261" s="546">
        <f t="shared" si="30"/>
        <v>22673039</v>
      </c>
    </row>
    <row r="262" spans="1:5" x14ac:dyDescent="0.2">
      <c r="A262" s="512">
        <v>5</v>
      </c>
      <c r="B262" s="511" t="s">
        <v>724</v>
      </c>
      <c r="C262" s="546">
        <f>C191</f>
        <v>13746535</v>
      </c>
      <c r="D262" s="546">
        <f>D191</f>
        <v>19060961</v>
      </c>
      <c r="E262" s="546">
        <f t="shared" si="30"/>
        <v>5314426</v>
      </c>
    </row>
    <row r="263" spans="1:5" x14ac:dyDescent="0.2">
      <c r="A263" s="512">
        <v>6</v>
      </c>
      <c r="B263" s="511" t="s">
        <v>725</v>
      </c>
      <c r="C263" s="546">
        <f>+C259+C260+C261+C262</f>
        <v>824795748</v>
      </c>
      <c r="D263" s="546">
        <f>+D259+D260+D261+D262</f>
        <v>945182026</v>
      </c>
      <c r="E263" s="546">
        <f t="shared" si="30"/>
        <v>120386278</v>
      </c>
    </row>
    <row r="264" spans="1:5" x14ac:dyDescent="0.2">
      <c r="A264" s="512">
        <v>7</v>
      </c>
      <c r="B264" s="511" t="s">
        <v>625</v>
      </c>
      <c r="C264" s="546">
        <f>+C258-C263</f>
        <v>463829973</v>
      </c>
      <c r="D264" s="546">
        <f>+D258-D263</f>
        <v>514150498</v>
      </c>
      <c r="E264" s="546">
        <f t="shared" si="30"/>
        <v>50320525</v>
      </c>
    </row>
    <row r="265" spans="1:5" x14ac:dyDescent="0.2">
      <c r="A265" s="512">
        <v>8</v>
      </c>
      <c r="B265" s="511" t="s">
        <v>811</v>
      </c>
      <c r="C265" s="565">
        <f>C192</f>
        <v>2850410</v>
      </c>
      <c r="D265" s="565">
        <f>D192</f>
        <v>0</v>
      </c>
      <c r="E265" s="546">
        <f t="shared" si="30"/>
        <v>-2850410</v>
      </c>
    </row>
    <row r="266" spans="1:5" x14ac:dyDescent="0.2">
      <c r="A266" s="512">
        <v>9</v>
      </c>
      <c r="B266" s="511" t="s">
        <v>812</v>
      </c>
      <c r="C266" s="546">
        <f>+C264+C265</f>
        <v>466680383</v>
      </c>
      <c r="D266" s="546">
        <f>+D264+D265</f>
        <v>514150498</v>
      </c>
      <c r="E266" s="565">
        <f t="shared" si="30"/>
        <v>47470115</v>
      </c>
    </row>
    <row r="267" spans="1:5" x14ac:dyDescent="0.2">
      <c r="A267" s="512">
        <v>10</v>
      </c>
      <c r="B267" s="511" t="s">
        <v>813</v>
      </c>
      <c r="C267" s="566">
        <f>IF(C258=0,0,C266/C258)</f>
        <v>0.36215355273045957</v>
      </c>
      <c r="D267" s="566">
        <f>IF(D258=0,0,D266/D258)</f>
        <v>0.35231894687766174</v>
      </c>
      <c r="E267" s="567">
        <f t="shared" si="30"/>
        <v>-9.8346058527978286E-3</v>
      </c>
    </row>
    <row r="268" spans="1:5" x14ac:dyDescent="0.2">
      <c r="A268" s="512">
        <v>11</v>
      </c>
      <c r="B268" s="511" t="s">
        <v>687</v>
      </c>
      <c r="C268" s="546">
        <f>+C260*C267</f>
        <v>23866565.56902891</v>
      </c>
      <c r="D268" s="568">
        <f>+D260*D267</f>
        <v>26183182.184061017</v>
      </c>
      <c r="E268" s="546">
        <f t="shared" si="30"/>
        <v>2316616.6150321066</v>
      </c>
    </row>
    <row r="269" spans="1:5" x14ac:dyDescent="0.2">
      <c r="A269" s="512">
        <v>12</v>
      </c>
      <c r="B269" s="511" t="s">
        <v>814</v>
      </c>
      <c r="C269" s="546">
        <f>((C17+C18+C28+C29)*C267)-(C50+C51+C61+C62)</f>
        <v>32285650.948425576</v>
      </c>
      <c r="D269" s="568">
        <f>((D17+D18+D28+D29)*D267)-(D50+D51+D61+D62)</f>
        <v>37284349.533483848</v>
      </c>
      <c r="E269" s="546">
        <f t="shared" si="30"/>
        <v>4998698.5850582719</v>
      </c>
    </row>
    <row r="270" spans="1:5" s="569" customFormat="1" x14ac:dyDescent="0.2">
      <c r="A270" s="570">
        <v>13</v>
      </c>
      <c r="B270" s="571" t="s">
        <v>815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816</v>
      </c>
      <c r="C271" s="546">
        <f>+C268+C269+C270</f>
        <v>56152216.51745449</v>
      </c>
      <c r="D271" s="546">
        <f>+D268+D269+D270</f>
        <v>63467531.717544869</v>
      </c>
      <c r="E271" s="549">
        <f t="shared" si="30"/>
        <v>7315315.2000903785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817</v>
      </c>
      <c r="B273" s="550" t="s">
        <v>818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819</v>
      </c>
      <c r="C275" s="340"/>
      <c r="D275" s="340"/>
      <c r="E275" s="520"/>
    </row>
    <row r="276" spans="1:5" x14ac:dyDescent="0.2">
      <c r="A276" s="512">
        <v>1</v>
      </c>
      <c r="B276" s="511" t="s">
        <v>627</v>
      </c>
      <c r="C276" s="547">
        <f t="shared" ref="C276:D284" si="31">IF(C14=0,0,+C47/C14)</f>
        <v>0.36783554704268134</v>
      </c>
      <c r="D276" s="547">
        <f t="shared" si="31"/>
        <v>0.35261181458448043</v>
      </c>
      <c r="E276" s="574">
        <f t="shared" ref="E276:E284" si="32">D276-C276</f>
        <v>-1.5223732458200911E-2</v>
      </c>
    </row>
    <row r="277" spans="1:5" x14ac:dyDescent="0.2">
      <c r="A277" s="512">
        <v>2</v>
      </c>
      <c r="B277" s="511" t="s">
        <v>606</v>
      </c>
      <c r="C277" s="547">
        <f t="shared" si="31"/>
        <v>0.27306788400630611</v>
      </c>
      <c r="D277" s="547">
        <f t="shared" si="31"/>
        <v>0.23847184548967656</v>
      </c>
      <c r="E277" s="574">
        <f t="shared" si="32"/>
        <v>-3.459603851662954E-2</v>
      </c>
    </row>
    <row r="278" spans="1:5" x14ac:dyDescent="0.2">
      <c r="A278" s="512">
        <v>3</v>
      </c>
      <c r="B278" s="511" t="s">
        <v>752</v>
      </c>
      <c r="C278" s="547">
        <f t="shared" si="31"/>
        <v>0.15573466961174801</v>
      </c>
      <c r="D278" s="547">
        <f t="shared" si="31"/>
        <v>0.14818134771940811</v>
      </c>
      <c r="E278" s="574">
        <f t="shared" si="32"/>
        <v>-7.5533218923398981E-3</v>
      </c>
    </row>
    <row r="279" spans="1:5" x14ac:dyDescent="0.2">
      <c r="A279" s="512">
        <v>4</v>
      </c>
      <c r="B279" s="511" t="s">
        <v>114</v>
      </c>
      <c r="C279" s="547">
        <f t="shared" si="31"/>
        <v>0.18479944508447596</v>
      </c>
      <c r="D279" s="547">
        <f t="shared" si="31"/>
        <v>0.15079343119704461</v>
      </c>
      <c r="E279" s="574">
        <f t="shared" si="32"/>
        <v>-3.4006013887431352E-2</v>
      </c>
    </row>
    <row r="280" spans="1:5" x14ac:dyDescent="0.2">
      <c r="A280" s="512">
        <v>5</v>
      </c>
      <c r="B280" s="511" t="s">
        <v>719</v>
      </c>
      <c r="C280" s="547">
        <f t="shared" si="31"/>
        <v>5.9599810745553573E-2</v>
      </c>
      <c r="D280" s="547">
        <f t="shared" si="31"/>
        <v>6.6259332157752232E-2</v>
      </c>
      <c r="E280" s="574">
        <f t="shared" si="32"/>
        <v>6.6595214121986587E-3</v>
      </c>
    </row>
    <row r="281" spans="1:5" x14ac:dyDescent="0.2">
      <c r="A281" s="512">
        <v>6</v>
      </c>
      <c r="B281" s="511" t="s">
        <v>418</v>
      </c>
      <c r="C281" s="547">
        <f t="shared" si="31"/>
        <v>0.259973779487224</v>
      </c>
      <c r="D281" s="547">
        <f t="shared" si="31"/>
        <v>0.24867424450679895</v>
      </c>
      <c r="E281" s="574">
        <f t="shared" si="32"/>
        <v>-1.1299534980425047E-2</v>
      </c>
    </row>
    <row r="282" spans="1:5" x14ac:dyDescent="0.2">
      <c r="A282" s="512">
        <v>7</v>
      </c>
      <c r="B282" s="511" t="s">
        <v>734</v>
      </c>
      <c r="C282" s="547">
        <f t="shared" si="31"/>
        <v>2.9314484974394102E-2</v>
      </c>
      <c r="D282" s="547">
        <f t="shared" si="31"/>
        <v>1.2356840623821945E-2</v>
      </c>
      <c r="E282" s="574">
        <f t="shared" si="32"/>
        <v>-1.6957644350572156E-2</v>
      </c>
    </row>
    <row r="283" spans="1:5" ht="29.25" customHeight="1" x14ac:dyDescent="0.2">
      <c r="A283" s="512"/>
      <c r="B283" s="516" t="s">
        <v>820</v>
      </c>
      <c r="C283" s="575">
        <f t="shared" si="31"/>
        <v>0.24636391166218399</v>
      </c>
      <c r="D283" s="575">
        <f t="shared" si="31"/>
        <v>0.21588755935213147</v>
      </c>
      <c r="E283" s="576">
        <f t="shared" si="32"/>
        <v>-3.0476352310052524E-2</v>
      </c>
    </row>
    <row r="284" spans="1:5" x14ac:dyDescent="0.2">
      <c r="A284" s="512"/>
      <c r="B284" s="516" t="s">
        <v>821</v>
      </c>
      <c r="C284" s="575">
        <f t="shared" si="31"/>
        <v>0.29165648028643448</v>
      </c>
      <c r="D284" s="575">
        <f t="shared" si="31"/>
        <v>0.26842559721496068</v>
      </c>
      <c r="E284" s="576">
        <f t="shared" si="32"/>
        <v>-2.3230883071473807E-2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822</v>
      </c>
      <c r="C286" s="520"/>
      <c r="D286" s="520"/>
      <c r="E286" s="520"/>
    </row>
    <row r="287" spans="1:5" x14ac:dyDescent="0.2">
      <c r="A287" s="512">
        <v>1</v>
      </c>
      <c r="B287" s="511" t="s">
        <v>627</v>
      </c>
      <c r="C287" s="547">
        <f t="shared" ref="C287:D295" si="33">IF(C25=0,0,+C58/C25)</f>
        <v>0.43093469936351142</v>
      </c>
      <c r="D287" s="547">
        <f t="shared" si="33"/>
        <v>0.42511084344940936</v>
      </c>
      <c r="E287" s="574">
        <f t="shared" ref="E287:E295" si="34">D287-C287</f>
        <v>-5.8238559141020607E-3</v>
      </c>
    </row>
    <row r="288" spans="1:5" x14ac:dyDescent="0.2">
      <c r="A288" s="512">
        <v>2</v>
      </c>
      <c r="B288" s="511" t="s">
        <v>606</v>
      </c>
      <c r="C288" s="547">
        <f t="shared" si="33"/>
        <v>0.13116292810666194</v>
      </c>
      <c r="D288" s="547">
        <f t="shared" si="33"/>
        <v>0.13847169341669802</v>
      </c>
      <c r="E288" s="574">
        <f t="shared" si="34"/>
        <v>7.308765310036075E-3</v>
      </c>
    </row>
    <row r="289" spans="1:5" x14ac:dyDescent="0.2">
      <c r="A289" s="512">
        <v>3</v>
      </c>
      <c r="B289" s="511" t="s">
        <v>752</v>
      </c>
      <c r="C289" s="547">
        <f t="shared" si="33"/>
        <v>0.14890493040951436</v>
      </c>
      <c r="D289" s="547">
        <f t="shared" si="33"/>
        <v>0.15647119681321864</v>
      </c>
      <c r="E289" s="574">
        <f t="shared" si="34"/>
        <v>7.5662664037042804E-3</v>
      </c>
    </row>
    <row r="290" spans="1:5" x14ac:dyDescent="0.2">
      <c r="A290" s="512">
        <v>4</v>
      </c>
      <c r="B290" s="511" t="s">
        <v>114</v>
      </c>
      <c r="C290" s="547">
        <f t="shared" si="33"/>
        <v>0.16688127789869273</v>
      </c>
      <c r="D290" s="547">
        <f t="shared" si="33"/>
        <v>0.15743996543376085</v>
      </c>
      <c r="E290" s="574">
        <f t="shared" si="34"/>
        <v>-9.441312464931878E-3</v>
      </c>
    </row>
    <row r="291" spans="1:5" x14ac:dyDescent="0.2">
      <c r="A291" s="512">
        <v>5</v>
      </c>
      <c r="B291" s="511" t="s">
        <v>719</v>
      </c>
      <c r="C291" s="547">
        <f t="shared" si="33"/>
        <v>6.6866964828300735E-2</v>
      </c>
      <c r="D291" s="547">
        <f t="shared" si="33"/>
        <v>9.7719973765224843E-2</v>
      </c>
      <c r="E291" s="574">
        <f t="shared" si="34"/>
        <v>3.0853008936924109E-2</v>
      </c>
    </row>
    <row r="292" spans="1:5" x14ac:dyDescent="0.2">
      <c r="A292" s="512">
        <v>6</v>
      </c>
      <c r="B292" s="511" t="s">
        <v>418</v>
      </c>
      <c r="C292" s="547">
        <f t="shared" si="33"/>
        <v>0.11267365626597547</v>
      </c>
      <c r="D292" s="547">
        <f t="shared" si="33"/>
        <v>0.18835053759838713</v>
      </c>
      <c r="E292" s="574">
        <f t="shared" si="34"/>
        <v>7.5676881332411655E-2</v>
      </c>
    </row>
    <row r="293" spans="1:5" x14ac:dyDescent="0.2">
      <c r="A293" s="512">
        <v>7</v>
      </c>
      <c r="B293" s="511" t="s">
        <v>734</v>
      </c>
      <c r="C293" s="547">
        <f t="shared" si="33"/>
        <v>3.6182989358039534E-2</v>
      </c>
      <c r="D293" s="547">
        <f t="shared" si="33"/>
        <v>3.3335296106698657E-2</v>
      </c>
      <c r="E293" s="574">
        <f t="shared" si="34"/>
        <v>-2.847693251340877E-3</v>
      </c>
    </row>
    <row r="294" spans="1:5" ht="29.25" customHeight="1" x14ac:dyDescent="0.2">
      <c r="A294" s="512"/>
      <c r="B294" s="516" t="s">
        <v>823</v>
      </c>
      <c r="C294" s="575">
        <f t="shared" si="33"/>
        <v>0.13582619191711623</v>
      </c>
      <c r="D294" s="575">
        <f t="shared" si="33"/>
        <v>0.14337384766763769</v>
      </c>
      <c r="E294" s="576">
        <f t="shared" si="34"/>
        <v>7.5476557505214648E-3</v>
      </c>
    </row>
    <row r="295" spans="1:5" x14ac:dyDescent="0.2">
      <c r="A295" s="512"/>
      <c r="B295" s="516" t="s">
        <v>824</v>
      </c>
      <c r="C295" s="575">
        <f t="shared" si="33"/>
        <v>0.31862867998082417</v>
      </c>
      <c r="D295" s="575">
        <f t="shared" si="33"/>
        <v>0.30961242851520698</v>
      </c>
      <c r="E295" s="576">
        <f t="shared" si="34"/>
        <v>-9.0162514656171866E-3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825</v>
      </c>
      <c r="B297" s="501" t="s">
        <v>826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827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625</v>
      </c>
      <c r="C301" s="514">
        <f>+C48+C47+C50+C51+C52+C59+C58+C61+C62+C63</f>
        <v>394986904</v>
      </c>
      <c r="D301" s="514">
        <f>+D48+D47+D50+D51+D52+D59+D58+D61+D62+D63</f>
        <v>427273821</v>
      </c>
      <c r="E301" s="514">
        <f>D301-C301</f>
        <v>32286917</v>
      </c>
    </row>
    <row r="302" spans="1:5" ht="25.5" x14ac:dyDescent="0.2">
      <c r="A302" s="512">
        <v>2</v>
      </c>
      <c r="B302" s="511" t="s">
        <v>828</v>
      </c>
      <c r="C302" s="546">
        <f>C265</f>
        <v>2850410</v>
      </c>
      <c r="D302" s="546">
        <f>D265</f>
        <v>0</v>
      </c>
      <c r="E302" s="514">
        <f>D302-C302</f>
        <v>-2850410</v>
      </c>
    </row>
    <row r="303" spans="1:5" x14ac:dyDescent="0.2">
      <c r="A303" s="512"/>
      <c r="B303" s="516" t="s">
        <v>829</v>
      </c>
      <c r="C303" s="517">
        <f>+C301+C302</f>
        <v>397837314</v>
      </c>
      <c r="D303" s="517">
        <f>+D301+D302</f>
        <v>427273821</v>
      </c>
      <c r="E303" s="517">
        <f>D303-C303</f>
        <v>29436507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830</v>
      </c>
      <c r="C305" s="513">
        <v>31916505</v>
      </c>
      <c r="D305" s="578">
        <v>47985146</v>
      </c>
      <c r="E305" s="579">
        <f>D305-C305</f>
        <v>16068641</v>
      </c>
    </row>
    <row r="306" spans="1:5" x14ac:dyDescent="0.2">
      <c r="A306" s="512">
        <v>4</v>
      </c>
      <c r="B306" s="516" t="s">
        <v>831</v>
      </c>
      <c r="C306" s="580">
        <f>+C303+C305</f>
        <v>429753819</v>
      </c>
      <c r="D306" s="580">
        <f>+D303+D305</f>
        <v>475258967</v>
      </c>
      <c r="E306" s="580">
        <f>D306-C306</f>
        <v>45505148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832</v>
      </c>
      <c r="C308" s="513">
        <v>429754000</v>
      </c>
      <c r="D308" s="513">
        <v>475259000</v>
      </c>
      <c r="E308" s="514">
        <f>D308-C308</f>
        <v>45505000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833</v>
      </c>
      <c r="C310" s="581">
        <f>C306-C308</f>
        <v>-181</v>
      </c>
      <c r="D310" s="582">
        <f>D306-D308</f>
        <v>-33</v>
      </c>
      <c r="E310" s="580">
        <f>D310-C310</f>
        <v>148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834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835</v>
      </c>
      <c r="C314" s="514">
        <f>+C14+C15+C16+C19+C25+C26+C27+C30</f>
        <v>1288625721</v>
      </c>
      <c r="D314" s="514">
        <f>+D14+D15+D16+D19+D25+D26+D27+D30</f>
        <v>1459332524</v>
      </c>
      <c r="E314" s="514">
        <f>D314-C314</f>
        <v>170706803</v>
      </c>
    </row>
    <row r="315" spans="1:5" x14ac:dyDescent="0.2">
      <c r="A315" s="512">
        <v>2</v>
      </c>
      <c r="B315" s="583" t="s">
        <v>836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837</v>
      </c>
      <c r="C316" s="581">
        <f>C314+C315</f>
        <v>1288625721</v>
      </c>
      <c r="D316" s="581">
        <f>D314+D315</f>
        <v>1459332524</v>
      </c>
      <c r="E316" s="517">
        <f>D316-C316</f>
        <v>170706803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838</v>
      </c>
      <c r="C318" s="513">
        <v>1288626000</v>
      </c>
      <c r="D318" s="513">
        <v>1459333000</v>
      </c>
      <c r="E318" s="514">
        <f>D318-C318</f>
        <v>170707000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833</v>
      </c>
      <c r="C320" s="581">
        <f>C316-C318</f>
        <v>-279</v>
      </c>
      <c r="D320" s="581">
        <f>D316-D318</f>
        <v>-476</v>
      </c>
      <c r="E320" s="517">
        <f>D320-C320</f>
        <v>-197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839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840</v>
      </c>
      <c r="C324" s="513">
        <f>+C193+C194</f>
        <v>65901785</v>
      </c>
      <c r="D324" s="513">
        <f>+D193+D194</f>
        <v>74316702</v>
      </c>
      <c r="E324" s="514">
        <f>D324-C324</f>
        <v>8414917</v>
      </c>
    </row>
    <row r="325" spans="1:5" x14ac:dyDescent="0.2">
      <c r="A325" s="512">
        <v>2</v>
      </c>
      <c r="B325" s="511" t="s">
        <v>841</v>
      </c>
      <c r="C325" s="513">
        <v>410583</v>
      </c>
      <c r="D325" s="513">
        <v>387740</v>
      </c>
      <c r="E325" s="514">
        <f>D325-C325</f>
        <v>-22843</v>
      </c>
    </row>
    <row r="326" spans="1:5" x14ac:dyDescent="0.2">
      <c r="A326" s="512"/>
      <c r="B326" s="516" t="s">
        <v>842</v>
      </c>
      <c r="C326" s="581">
        <f>C324+C325</f>
        <v>66312368</v>
      </c>
      <c r="D326" s="581">
        <f>D324+D325</f>
        <v>74704442</v>
      </c>
      <c r="E326" s="517">
        <f>D326-C326</f>
        <v>8392074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843</v>
      </c>
      <c r="C328" s="513">
        <v>66312000</v>
      </c>
      <c r="D328" s="513">
        <v>74704000</v>
      </c>
      <c r="E328" s="514">
        <f>D328-C328</f>
        <v>8392000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844</v>
      </c>
      <c r="C330" s="581">
        <f>C326-C328</f>
        <v>368</v>
      </c>
      <c r="D330" s="581">
        <f>D326-D328</f>
        <v>442</v>
      </c>
      <c r="E330" s="517">
        <f>D330-C330</f>
        <v>74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FILING&amp;RSTAMFORD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597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845</v>
      </c>
      <c r="B5" s="696"/>
      <c r="C5" s="697"/>
      <c r="D5" s="585"/>
    </row>
    <row r="6" spans="1:58" s="338" customFormat="1" ht="15.75" customHeight="1" x14ac:dyDescent="0.25">
      <c r="A6" s="695" t="s">
        <v>846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847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848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751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627</v>
      </c>
      <c r="C14" s="513">
        <v>229079508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606</v>
      </c>
      <c r="C15" s="515">
        <v>274144530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752</v>
      </c>
      <c r="C16" s="515">
        <v>91928898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89088317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719</v>
      </c>
      <c r="C18" s="515">
        <v>2840581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1000373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734</v>
      </c>
      <c r="C20" s="515">
        <v>19215996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753</v>
      </c>
      <c r="C21" s="517">
        <f>SUM(C15+C16+C19)</f>
        <v>367073801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693</v>
      </c>
      <c r="C22" s="517">
        <f>SUM(C14+C21)</f>
        <v>596153309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754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627</v>
      </c>
      <c r="C25" s="513">
        <v>509317874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606</v>
      </c>
      <c r="C26" s="515">
        <v>258650538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752</v>
      </c>
      <c r="C27" s="515">
        <v>94554086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93020244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719</v>
      </c>
      <c r="C29" s="515">
        <v>1533842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656717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734</v>
      </c>
      <c r="C31" s="518">
        <v>54022199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755</v>
      </c>
      <c r="C32" s="517">
        <f>SUM(C26+C27+C30)</f>
        <v>353861341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699</v>
      </c>
      <c r="C33" s="517">
        <f>SUM(C25+C32)</f>
        <v>863179215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624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849</v>
      </c>
      <c r="C36" s="514">
        <f>SUM(C14+C25)</f>
        <v>738397382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850</v>
      </c>
      <c r="C37" s="518">
        <f>SUM(C21+C32)</f>
        <v>720935142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624</v>
      </c>
      <c r="C38" s="517">
        <f>SUM(+C36+C37)</f>
        <v>1459332524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764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627</v>
      </c>
      <c r="C41" s="513">
        <v>80776141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606</v>
      </c>
      <c r="C42" s="515">
        <v>65375752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752</v>
      </c>
      <c r="C43" s="515">
        <v>13622148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13433933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719</v>
      </c>
      <c r="C45" s="515">
        <v>188215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248767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734</v>
      </c>
      <c r="C47" s="515">
        <v>237449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765</v>
      </c>
      <c r="C48" s="517">
        <f>SUM(C42+C43+C46)</f>
        <v>79246667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694</v>
      </c>
      <c r="C49" s="517">
        <f>SUM(C41+C48)</f>
        <v>160022808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766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627</v>
      </c>
      <c r="C52" s="513">
        <v>216516551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606</v>
      </c>
      <c r="C53" s="515">
        <v>35815778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752</v>
      </c>
      <c r="C54" s="515">
        <v>14794991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14645104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719</v>
      </c>
      <c r="C56" s="515">
        <v>149887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123693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734</v>
      </c>
      <c r="C58" s="515">
        <v>1800846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767</v>
      </c>
      <c r="C59" s="517">
        <f>SUM(C53+C54+C57)</f>
        <v>50734462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700</v>
      </c>
      <c r="C60" s="517">
        <f>SUM(C52+C59)</f>
        <v>267251013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625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851</v>
      </c>
      <c r="C63" s="514">
        <f>SUM(C41+C52)</f>
        <v>297292692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852</v>
      </c>
      <c r="C64" s="518">
        <f>SUM(C48+C59)</f>
        <v>129981129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625</v>
      </c>
      <c r="C65" s="517">
        <f>SUM(+C63+C64)</f>
        <v>427273821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853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854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627</v>
      </c>
      <c r="C70" s="530">
        <v>6526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606</v>
      </c>
      <c r="C71" s="530">
        <v>5251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752</v>
      </c>
      <c r="C72" s="530">
        <v>3147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3039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719</v>
      </c>
      <c r="C74" s="530">
        <v>108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734</v>
      </c>
      <c r="C76" s="545">
        <v>479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782</v>
      </c>
      <c r="C77" s="532">
        <f>SUM(C71+C72+C75)</f>
        <v>8414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696</v>
      </c>
      <c r="C78" s="596">
        <f>SUM(C70+C77)</f>
        <v>14940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787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627</v>
      </c>
      <c r="C81" s="541">
        <v>1.1175999999999999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606</v>
      </c>
      <c r="C82" s="541">
        <v>1.5151699999999999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752</v>
      </c>
      <c r="C83" s="541">
        <f>((C73*C84)+(C74*C85))/(C73+C74)</f>
        <v>0.96905508102955196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0.97350000000000003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719</v>
      </c>
      <c r="C85" s="541">
        <v>0.84397999999999995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1.3145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734</v>
      </c>
      <c r="C87" s="541">
        <v>1.1226700000000001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788</v>
      </c>
      <c r="C88" s="543">
        <f>((C71*C82)+(C73*C84)+(C74*C85)+(C75*C86))/(C71+C73+C74+C75)</f>
        <v>1.3105307832184452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697</v>
      </c>
      <c r="C89" s="543">
        <f>((C70*C81)+(C71*C82)+(C73*C84)+(C74*C85)+(C75*C86))/(C70+C71+C73+C74+C75)</f>
        <v>1.2262559310575631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789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790</v>
      </c>
      <c r="C92" s="513">
        <v>635946661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791</v>
      </c>
      <c r="C93" s="546">
        <v>375096311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639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723</v>
      </c>
      <c r="C95" s="513">
        <f>+C92-C93</f>
        <v>260850350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641</v>
      </c>
      <c r="C96" s="597">
        <f>(+C92-C93)/C92</f>
        <v>0.4101764597518659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738</v>
      </c>
      <c r="C98" s="513">
        <v>28400531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724</v>
      </c>
      <c r="C99" s="513">
        <v>19060961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855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793</v>
      </c>
      <c r="C103" s="513">
        <v>27344589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794</v>
      </c>
      <c r="C104" s="513">
        <v>46972113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795</v>
      </c>
      <c r="C105" s="578">
        <f>+C103+C104</f>
        <v>74316702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796</v>
      </c>
      <c r="C107" s="513">
        <v>24588226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681</v>
      </c>
      <c r="C108" s="513">
        <v>461480665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826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827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625</v>
      </c>
      <c r="C114" s="514">
        <f>+C65</f>
        <v>427273821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828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829</v>
      </c>
      <c r="C116" s="517">
        <f>+C114+C115</f>
        <v>427273821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830</v>
      </c>
      <c r="C118" s="578">
        <v>47985146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831</v>
      </c>
      <c r="C119" s="580">
        <f>+C116+C118</f>
        <v>475258967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832</v>
      </c>
      <c r="C121" s="513">
        <v>475259000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833</v>
      </c>
      <c r="C123" s="582">
        <f>C119-C121</f>
        <v>-33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834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835</v>
      </c>
      <c r="C127" s="514">
        <f>+C38</f>
        <v>1459332524</v>
      </c>
      <c r="D127" s="588"/>
      <c r="AR127" s="507"/>
    </row>
    <row r="128" spans="1:58" s="506" customFormat="1" x14ac:dyDescent="0.2">
      <c r="A128" s="512">
        <v>2</v>
      </c>
      <c r="B128" s="583" t="s">
        <v>836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837</v>
      </c>
      <c r="C129" s="581">
        <f>C127+C128</f>
        <v>1459332524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838</v>
      </c>
      <c r="C131" s="513">
        <v>1459333000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833</v>
      </c>
      <c r="C133" s="581">
        <f>C129-C131</f>
        <v>-476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839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840</v>
      </c>
      <c r="C137" s="513">
        <f>C105</f>
        <v>74316702</v>
      </c>
      <c r="D137" s="588"/>
      <c r="AR137" s="507"/>
    </row>
    <row r="138" spans="1:44" s="506" customFormat="1" x14ac:dyDescent="0.2">
      <c r="A138" s="512">
        <v>2</v>
      </c>
      <c r="B138" s="511" t="s">
        <v>856</v>
      </c>
      <c r="C138" s="513">
        <v>387740</v>
      </c>
      <c r="D138" s="588"/>
      <c r="AR138" s="507"/>
    </row>
    <row r="139" spans="1:44" s="506" customFormat="1" x14ac:dyDescent="0.2">
      <c r="A139" s="512"/>
      <c r="B139" s="516" t="s">
        <v>842</v>
      </c>
      <c r="C139" s="581">
        <f>C137+C138</f>
        <v>74704442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857</v>
      </c>
      <c r="C141" s="513">
        <v>74704000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844</v>
      </c>
      <c r="C143" s="581">
        <f>C139-C141</f>
        <v>442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FILING&amp;RSTAMFORD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858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601</v>
      </c>
      <c r="D8" s="35" t="s">
        <v>601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603</v>
      </c>
      <c r="D9" s="607" t="s">
        <v>604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859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860</v>
      </c>
      <c r="C12" s="49">
        <v>1702</v>
      </c>
      <c r="D12" s="49">
        <v>1948</v>
      </c>
      <c r="E12" s="49">
        <f>+D12-C12</f>
        <v>246</v>
      </c>
      <c r="F12" s="70">
        <f>IF(C12=0,0,+E12/C12)</f>
        <v>0.1445358401880141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861</v>
      </c>
      <c r="C13" s="49">
        <v>1629</v>
      </c>
      <c r="D13" s="49">
        <v>1729</v>
      </c>
      <c r="E13" s="49">
        <f>+D13-C13</f>
        <v>100</v>
      </c>
      <c r="F13" s="70">
        <f>IF(C13=0,0,+E13/C13)</f>
        <v>6.1387354205033766E-2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862</v>
      </c>
      <c r="C15" s="51">
        <v>23197082</v>
      </c>
      <c r="D15" s="51">
        <v>27344589</v>
      </c>
      <c r="E15" s="51">
        <f>+D15-C15</f>
        <v>4147507</v>
      </c>
      <c r="F15" s="70">
        <f>IF(C15=0,0,+E15/C15)</f>
        <v>0.17879434146070614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863</v>
      </c>
      <c r="C16" s="27">
        <f>IF(C13=0,0,+C15/+C13)</f>
        <v>14240.074892572131</v>
      </c>
      <c r="D16" s="27">
        <f>IF(D13=0,0,+D15/+D13)</f>
        <v>15815.262579525737</v>
      </c>
      <c r="E16" s="27">
        <f>+D16-C16</f>
        <v>1575.1876869536063</v>
      </c>
      <c r="F16" s="28">
        <f>IF(C16=0,0,+E16/C16)</f>
        <v>0.11061653108125516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864</v>
      </c>
      <c r="C18" s="210">
        <v>0.36044500000000002</v>
      </c>
      <c r="D18" s="210">
        <v>0.32885199999999998</v>
      </c>
      <c r="E18" s="210">
        <f>+D18-C18</f>
        <v>-3.1593000000000038E-2</v>
      </c>
      <c r="F18" s="70">
        <f>IF(C18=0,0,+E18/C18)</f>
        <v>-8.7649988209019508E-2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865</v>
      </c>
      <c r="C19" s="27">
        <f>+C15*C18</f>
        <v>8361272.2214900004</v>
      </c>
      <c r="D19" s="27">
        <f>+D15*D18</f>
        <v>8992322.7818279993</v>
      </c>
      <c r="E19" s="27">
        <f>+D19-C19</f>
        <v>631050.5603379989</v>
      </c>
      <c r="F19" s="28">
        <f>IF(C19=0,0,+E19/C19)</f>
        <v>7.5473031330816315E-2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866</v>
      </c>
      <c r="C20" s="27">
        <f>IF(C13=0,0,+C19/C13)</f>
        <v>5132.7637946531613</v>
      </c>
      <c r="D20" s="27">
        <f>IF(D13=0,0,+D19/D13)</f>
        <v>5200.8807298021975</v>
      </c>
      <c r="E20" s="27">
        <f>+D20-C20</f>
        <v>68.116935149036181</v>
      </c>
      <c r="F20" s="28">
        <f>IF(C20=0,0,+E20/C20)</f>
        <v>1.3271005227241141E-2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867</v>
      </c>
      <c r="C22" s="51">
        <v>6963063</v>
      </c>
      <c r="D22" s="51">
        <v>5990419</v>
      </c>
      <c r="E22" s="51">
        <f>+D22-C22</f>
        <v>-972644</v>
      </c>
      <c r="F22" s="70">
        <f>IF(C22=0,0,+E22/C22)</f>
        <v>-0.13968622716755544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868</v>
      </c>
      <c r="C23" s="49">
        <v>3817013</v>
      </c>
      <c r="D23" s="49">
        <v>5196805</v>
      </c>
      <c r="E23" s="49">
        <f>+D23-C23</f>
        <v>1379792</v>
      </c>
      <c r="F23" s="70">
        <f>IF(C23=0,0,+E23/C23)</f>
        <v>0.36148475260629187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869</v>
      </c>
      <c r="C24" s="49">
        <v>12417006</v>
      </c>
      <c r="D24" s="49">
        <v>16157365</v>
      </c>
      <c r="E24" s="49">
        <f>+D24-C24</f>
        <v>3740359</v>
      </c>
      <c r="F24" s="70">
        <f>IF(C24=0,0,+E24/C24)</f>
        <v>0.30122873420533097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862</v>
      </c>
      <c r="C25" s="27">
        <f>+C22+C23+C24</f>
        <v>23197082</v>
      </c>
      <c r="D25" s="27">
        <f>+D22+D23+D24</f>
        <v>27344589</v>
      </c>
      <c r="E25" s="27">
        <f>+E22+E23+E24</f>
        <v>4147507</v>
      </c>
      <c r="F25" s="28">
        <f>IF(C25=0,0,+E25/C25)</f>
        <v>0.17879434146070614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870</v>
      </c>
      <c r="C27" s="49">
        <v>660</v>
      </c>
      <c r="D27" s="49">
        <v>857</v>
      </c>
      <c r="E27" s="49">
        <f>+D27-C27</f>
        <v>197</v>
      </c>
      <c r="F27" s="70">
        <f>IF(C27=0,0,+E27/C27)</f>
        <v>0.29848484848484846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871</v>
      </c>
      <c r="C28" s="49">
        <v>152</v>
      </c>
      <c r="D28" s="49">
        <v>116</v>
      </c>
      <c r="E28" s="49">
        <f>+D28-C28</f>
        <v>-36</v>
      </c>
      <c r="F28" s="70">
        <f>IF(C28=0,0,+E28/C28)</f>
        <v>-0.23684210526315788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872</v>
      </c>
      <c r="C29" s="49">
        <v>1070</v>
      </c>
      <c r="D29" s="49">
        <v>1399</v>
      </c>
      <c r="E29" s="49">
        <f>+D29-C29</f>
        <v>329</v>
      </c>
      <c r="F29" s="70">
        <f>IF(C29=0,0,+E29/C29)</f>
        <v>0.30747663551401871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873</v>
      </c>
      <c r="C30" s="49">
        <v>7310</v>
      </c>
      <c r="D30" s="49">
        <v>8124</v>
      </c>
      <c r="E30" s="49">
        <f>+D30-C30</f>
        <v>814</v>
      </c>
      <c r="F30" s="70">
        <f>IF(C30=0,0,+E30/C30)</f>
        <v>0.11135430916552667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874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875</v>
      </c>
      <c r="C33" s="51">
        <v>16751305</v>
      </c>
      <c r="D33" s="51">
        <v>19365323</v>
      </c>
      <c r="E33" s="51">
        <f>+D33-C33</f>
        <v>2614018</v>
      </c>
      <c r="F33" s="70">
        <f>IF(C33=0,0,+E33/C33)</f>
        <v>0.1560486183016786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876</v>
      </c>
      <c r="C34" s="49">
        <v>12668393</v>
      </c>
      <c r="D34" s="49">
        <v>14366253</v>
      </c>
      <c r="E34" s="49">
        <f>+D34-C34</f>
        <v>1697860</v>
      </c>
      <c r="F34" s="70">
        <f>IF(C34=0,0,+E34/C34)</f>
        <v>0.13402331298058087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877</v>
      </c>
      <c r="C35" s="49">
        <v>13285005</v>
      </c>
      <c r="D35" s="49">
        <v>13240537</v>
      </c>
      <c r="E35" s="49">
        <f>+D35-C35</f>
        <v>-44468</v>
      </c>
      <c r="F35" s="70">
        <f>IF(C35=0,0,+E35/C35)</f>
        <v>-3.3472324624642595E-3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878</v>
      </c>
      <c r="C36" s="27">
        <f>+C33+C34+C35</f>
        <v>42704703</v>
      </c>
      <c r="D36" s="27">
        <f>+D33+D34+D35</f>
        <v>46972113</v>
      </c>
      <c r="E36" s="27">
        <f>+E33+E34+E35</f>
        <v>4267410</v>
      </c>
      <c r="F36" s="28">
        <f>IF(C36=0,0,+E36/C36)</f>
        <v>9.9928338103651024E-2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879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880</v>
      </c>
      <c r="C39" s="51">
        <f>+C25</f>
        <v>23197082</v>
      </c>
      <c r="D39" s="51">
        <f>+D25</f>
        <v>27344589</v>
      </c>
      <c r="E39" s="51">
        <f>+D39-C39</f>
        <v>4147507</v>
      </c>
      <c r="F39" s="70">
        <f>IF(C39=0,0,+E39/C39)</f>
        <v>0.17879434146070614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881</v>
      </c>
      <c r="C40" s="49">
        <f>+C36</f>
        <v>42704703</v>
      </c>
      <c r="D40" s="49">
        <f>+D36</f>
        <v>46972113</v>
      </c>
      <c r="E40" s="49">
        <f>+D40-C40</f>
        <v>4267410</v>
      </c>
      <c r="F40" s="70">
        <f>IF(C40=0,0,+E40/C40)</f>
        <v>9.9928338103651024E-2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882</v>
      </c>
      <c r="C41" s="27">
        <f>+C39+C40</f>
        <v>65901785</v>
      </c>
      <c r="D41" s="27">
        <f>+D39+D40</f>
        <v>74316702</v>
      </c>
      <c r="E41" s="27">
        <f>+E39+E40</f>
        <v>8414917</v>
      </c>
      <c r="F41" s="28">
        <f>IF(C41=0,0,+E41/C41)</f>
        <v>0.12768875683716305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883</v>
      </c>
      <c r="C43" s="51">
        <f t="shared" ref="C43:D45" si="0">+C22+C33</f>
        <v>23714368</v>
      </c>
      <c r="D43" s="51">
        <f t="shared" si="0"/>
        <v>25355742</v>
      </c>
      <c r="E43" s="51">
        <f>+D43-C43</f>
        <v>1641374</v>
      </c>
      <c r="F43" s="70">
        <f>IF(C43=0,0,+E43/C43)</f>
        <v>6.9214326099687751E-2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884</v>
      </c>
      <c r="C44" s="49">
        <f t="shared" si="0"/>
        <v>16485406</v>
      </c>
      <c r="D44" s="49">
        <f t="shared" si="0"/>
        <v>19563058</v>
      </c>
      <c r="E44" s="49">
        <f>+D44-C44</f>
        <v>3077652</v>
      </c>
      <c r="F44" s="70">
        <f>IF(C44=0,0,+E44/C44)</f>
        <v>0.18668948765956991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885</v>
      </c>
      <c r="C45" s="49">
        <f t="shared" si="0"/>
        <v>25702011</v>
      </c>
      <c r="D45" s="49">
        <f t="shared" si="0"/>
        <v>29397902</v>
      </c>
      <c r="E45" s="49">
        <f>+D45-C45</f>
        <v>3695891</v>
      </c>
      <c r="F45" s="70">
        <f>IF(C45=0,0,+E45/C45)</f>
        <v>0.14379773629386433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882</v>
      </c>
      <c r="C46" s="27">
        <f>+C43+C44+C45</f>
        <v>65901785</v>
      </c>
      <c r="D46" s="27">
        <f>+D43+D44+D45</f>
        <v>74316702</v>
      </c>
      <c r="E46" s="27">
        <f>+E43+E44+E45</f>
        <v>8414917</v>
      </c>
      <c r="F46" s="28">
        <f>IF(C46=0,0,+E46/C46)</f>
        <v>0.12768875683716305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886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FILING&amp;RSTAMFORD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887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888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603</v>
      </c>
      <c r="D9" s="35" t="s">
        <v>604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889</v>
      </c>
      <c r="D10" s="35" t="s">
        <v>889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890</v>
      </c>
      <c r="D11" s="605" t="s">
        <v>890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891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568718927</v>
      </c>
      <c r="D15" s="51">
        <v>635946661</v>
      </c>
      <c r="E15" s="51">
        <f>+D15-C15</f>
        <v>67227734</v>
      </c>
      <c r="F15" s="70">
        <f>+E15/C15</f>
        <v>0.1182090674467741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892</v>
      </c>
      <c r="C17" s="51">
        <v>238177311</v>
      </c>
      <c r="D17" s="51">
        <v>260850350</v>
      </c>
      <c r="E17" s="51">
        <f>+D17-C17</f>
        <v>22673039</v>
      </c>
      <c r="F17" s="70">
        <f>+E17/C17</f>
        <v>9.51939498552824E-2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893</v>
      </c>
      <c r="C19" s="27">
        <f>+C15-C17</f>
        <v>330541616</v>
      </c>
      <c r="D19" s="27">
        <f>+D15-D17</f>
        <v>375096311</v>
      </c>
      <c r="E19" s="27">
        <f>+D19-C19</f>
        <v>44554695</v>
      </c>
      <c r="F19" s="28">
        <f>+E19/C19</f>
        <v>0.13479299683704576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894</v>
      </c>
      <c r="C21" s="628">
        <f>+C17/C15</f>
        <v>0.41879617451170215</v>
      </c>
      <c r="D21" s="628">
        <f>+D17/D15</f>
        <v>0.4101764597518659</v>
      </c>
      <c r="E21" s="628">
        <f>+D21-C21</f>
        <v>-8.61971475983625E-3</v>
      </c>
      <c r="F21" s="28">
        <f>+E21/C21</f>
        <v>-2.058212391716915E-2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895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FILING&amp;R&amp;12STAMFORD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896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897</v>
      </c>
      <c r="B6" s="632" t="s">
        <v>898</v>
      </c>
      <c r="C6" s="632" t="s">
        <v>899</v>
      </c>
      <c r="D6" s="632" t="s">
        <v>900</v>
      </c>
      <c r="E6" s="632" t="s">
        <v>901</v>
      </c>
    </row>
    <row r="7" spans="1:6" ht="37.5" customHeight="1" x14ac:dyDescent="0.25">
      <c r="A7" s="633" t="s">
        <v>8</v>
      </c>
      <c r="B7" s="634" t="s">
        <v>902</v>
      </c>
      <c r="C7" s="631" t="s">
        <v>903</v>
      </c>
      <c r="D7" s="631" t="s">
        <v>904</v>
      </c>
      <c r="E7" s="631" t="s">
        <v>905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906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907</v>
      </c>
      <c r="C10" s="641">
        <v>519029050</v>
      </c>
      <c r="D10" s="641">
        <v>578603475</v>
      </c>
      <c r="E10" s="641">
        <v>596153309</v>
      </c>
    </row>
    <row r="11" spans="1:6" ht="26.1" customHeight="1" x14ac:dyDescent="0.25">
      <c r="A11" s="639">
        <v>2</v>
      </c>
      <c r="B11" s="640" t="s">
        <v>908</v>
      </c>
      <c r="C11" s="641">
        <v>637988263</v>
      </c>
      <c r="D11" s="641">
        <v>710022246</v>
      </c>
      <c r="E11" s="641">
        <v>863179215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1157017313</v>
      </c>
      <c r="D12" s="641">
        <f>+D11+D10</f>
        <v>1288625721</v>
      </c>
      <c r="E12" s="641">
        <f>+E11+E10</f>
        <v>1459332524</v>
      </c>
    </row>
    <row r="13" spans="1:6" ht="26.1" customHeight="1" x14ac:dyDescent="0.25">
      <c r="A13" s="639">
        <v>4</v>
      </c>
      <c r="B13" s="640" t="s">
        <v>484</v>
      </c>
      <c r="C13" s="641">
        <v>416937724</v>
      </c>
      <c r="D13" s="641">
        <v>436167190</v>
      </c>
      <c r="E13" s="641">
        <v>475258979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909</v>
      </c>
      <c r="C16" s="641">
        <v>425519879</v>
      </c>
      <c r="D16" s="641">
        <v>431680034</v>
      </c>
      <c r="E16" s="641">
        <v>461480665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910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75272</v>
      </c>
      <c r="D19" s="644">
        <v>76225</v>
      </c>
      <c r="E19" s="644">
        <v>74442</v>
      </c>
    </row>
    <row r="20" spans="1:5" ht="26.1" customHeight="1" x14ac:dyDescent="0.25">
      <c r="A20" s="639">
        <v>2</v>
      </c>
      <c r="B20" s="640" t="s">
        <v>373</v>
      </c>
      <c r="C20" s="645">
        <v>14888</v>
      </c>
      <c r="D20" s="645">
        <v>15089</v>
      </c>
      <c r="E20" s="645">
        <v>14940</v>
      </c>
    </row>
    <row r="21" spans="1:5" ht="26.1" customHeight="1" x14ac:dyDescent="0.25">
      <c r="A21" s="639">
        <v>3</v>
      </c>
      <c r="B21" s="640" t="s">
        <v>911</v>
      </c>
      <c r="C21" s="646">
        <f>IF(C20=0,0,+C19/C20)</f>
        <v>5.0558839333691568</v>
      </c>
      <c r="D21" s="646">
        <f>IF(D20=0,0,+D19/D20)</f>
        <v>5.0516932865000994</v>
      </c>
      <c r="E21" s="646">
        <f>IF(E20=0,0,+E19/E20)</f>
        <v>4.9827309236947794</v>
      </c>
    </row>
    <row r="22" spans="1:5" ht="26.1" customHeight="1" x14ac:dyDescent="0.25">
      <c r="A22" s="639">
        <v>4</v>
      </c>
      <c r="B22" s="640" t="s">
        <v>912</v>
      </c>
      <c r="C22" s="645">
        <f>IF(C10=0,0,C19*(C12/C10))</f>
        <v>167796.01678198169</v>
      </c>
      <c r="D22" s="645">
        <f>IF(D10=0,0,D19*(D12/D10))</f>
        <v>169763.05851468488</v>
      </c>
      <c r="E22" s="645">
        <f>IF(E10=0,0,E19*(E12/E10))</f>
        <v>182227.67551829189</v>
      </c>
    </row>
    <row r="23" spans="1:5" ht="26.1" customHeight="1" x14ac:dyDescent="0.25">
      <c r="A23" s="639">
        <v>0</v>
      </c>
      <c r="B23" s="640" t="s">
        <v>913</v>
      </c>
      <c r="C23" s="645">
        <f>IF(C10=0,0,C20*(C12/C10))</f>
        <v>33188.265196223605</v>
      </c>
      <c r="D23" s="645">
        <f>IF(D10=0,0,D20*(D12/D10))</f>
        <v>33605.179270948902</v>
      </c>
      <c r="E23" s="645">
        <f>IF(E10=0,0,E20*(E12/E10))</f>
        <v>36571.847508708539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914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1.2139909692369695</v>
      </c>
      <c r="D26" s="647">
        <v>1.2121896659818412</v>
      </c>
      <c r="E26" s="647">
        <v>1.2262559310575634</v>
      </c>
    </row>
    <row r="27" spans="1:5" ht="26.1" customHeight="1" x14ac:dyDescent="0.25">
      <c r="A27" s="639">
        <v>2</v>
      </c>
      <c r="B27" s="640" t="s">
        <v>915</v>
      </c>
      <c r="C27" s="645">
        <f>C19*C26</f>
        <v>91379.528236405167</v>
      </c>
      <c r="D27" s="645">
        <f>D19*D26</f>
        <v>92399.157289465846</v>
      </c>
      <c r="E27" s="645">
        <f>E19*E26</f>
        <v>91284.94401978713</v>
      </c>
    </row>
    <row r="28" spans="1:5" ht="26.1" customHeight="1" x14ac:dyDescent="0.25">
      <c r="A28" s="639">
        <v>3</v>
      </c>
      <c r="B28" s="640" t="s">
        <v>916</v>
      </c>
      <c r="C28" s="645">
        <f>C20*C26</f>
        <v>18073.897550000002</v>
      </c>
      <c r="D28" s="645">
        <f>D20*D26</f>
        <v>18290.729870000003</v>
      </c>
      <c r="E28" s="645">
        <f>E20*E26</f>
        <v>18320.263609999998</v>
      </c>
    </row>
    <row r="29" spans="1:5" ht="26.1" customHeight="1" x14ac:dyDescent="0.25">
      <c r="A29" s="639">
        <v>4</v>
      </c>
      <c r="B29" s="640" t="s">
        <v>917</v>
      </c>
      <c r="C29" s="645">
        <f>C22*C26</f>
        <v>203702.84904726074</v>
      </c>
      <c r="D29" s="645">
        <f>D22*D26</f>
        <v>205785.02519697163</v>
      </c>
      <c r="E29" s="645">
        <f>E22*E26</f>
        <v>223457.76790713856</v>
      </c>
    </row>
    <row r="30" spans="1:5" ht="26.1" customHeight="1" x14ac:dyDescent="0.25">
      <c r="A30" s="639">
        <v>5</v>
      </c>
      <c r="B30" s="640" t="s">
        <v>918</v>
      </c>
      <c r="C30" s="645">
        <f>C23*C26</f>
        <v>40290.254232857078</v>
      </c>
      <c r="D30" s="645">
        <f>D23*D26</f>
        <v>40735.851035711443</v>
      </c>
      <c r="E30" s="645">
        <f>E23*E26</f>
        <v>44846.444917286615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919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920</v>
      </c>
      <c r="C33" s="641">
        <f>IF(C19=0,0,C12/C19)</f>
        <v>15371.151464023807</v>
      </c>
      <c r="D33" s="641">
        <f>IF(D19=0,0,D12/D19)</f>
        <v>16905.552259757296</v>
      </c>
      <c r="E33" s="641">
        <f>IF(E19=0,0,E12/E19)</f>
        <v>19603.617903871469</v>
      </c>
    </row>
    <row r="34" spans="1:5" ht="26.1" customHeight="1" x14ac:dyDescent="0.25">
      <c r="A34" s="639">
        <v>2</v>
      </c>
      <c r="B34" s="640" t="s">
        <v>921</v>
      </c>
      <c r="C34" s="641">
        <f>IF(C20=0,0,C12/C20)</f>
        <v>77714.757724341747</v>
      </c>
      <c r="D34" s="641">
        <f>IF(D20=0,0,D12/D20)</f>
        <v>85401.664855192517</v>
      </c>
      <c r="E34" s="641">
        <f>IF(E20=0,0,E12/E20)</f>
        <v>97679.553145917002</v>
      </c>
    </row>
    <row r="35" spans="1:5" ht="26.1" customHeight="1" x14ac:dyDescent="0.25">
      <c r="A35" s="639">
        <v>3</v>
      </c>
      <c r="B35" s="640" t="s">
        <v>922</v>
      </c>
      <c r="C35" s="641">
        <f>IF(C22=0,0,C12/C22)</f>
        <v>6895.3800882134119</v>
      </c>
      <c r="D35" s="641">
        <f>IF(D22=0,0,D12/D22)</f>
        <v>7590.7310593637249</v>
      </c>
      <c r="E35" s="641">
        <f>IF(E22=0,0,E12/E22)</f>
        <v>8008.2924827382394</v>
      </c>
    </row>
    <row r="36" spans="1:5" ht="26.1" customHeight="1" x14ac:dyDescent="0.25">
      <c r="A36" s="639">
        <v>4</v>
      </c>
      <c r="B36" s="640" t="s">
        <v>923</v>
      </c>
      <c r="C36" s="641">
        <f>IF(C23=0,0,C12/C23)</f>
        <v>34862.241402471787</v>
      </c>
      <c r="D36" s="641">
        <f>IF(D23=0,0,D12/D23)</f>
        <v>38346.04513221552</v>
      </c>
      <c r="E36" s="641">
        <f>IF(E23=0,0,E12/E23)</f>
        <v>39903.166599732256</v>
      </c>
    </row>
    <row r="37" spans="1:5" ht="26.1" customHeight="1" x14ac:dyDescent="0.25">
      <c r="A37" s="639">
        <v>5</v>
      </c>
      <c r="B37" s="640" t="s">
        <v>924</v>
      </c>
      <c r="C37" s="641">
        <f>IF(C29=0,0,C12/C29)</f>
        <v>5679.9270035322998</v>
      </c>
      <c r="D37" s="641">
        <f>IF(D29=0,0,D12/D29)</f>
        <v>6261.999481092289</v>
      </c>
      <c r="E37" s="641">
        <f>IF(E29=0,0,E12/E29)</f>
        <v>6530.6860337316575</v>
      </c>
    </row>
    <row r="38" spans="1:5" ht="26.1" customHeight="1" x14ac:dyDescent="0.25">
      <c r="A38" s="639">
        <v>6</v>
      </c>
      <c r="B38" s="640" t="s">
        <v>925</v>
      </c>
      <c r="C38" s="641">
        <f>IF(C30=0,0,C12/C30)</f>
        <v>28717.051679868568</v>
      </c>
      <c r="D38" s="641">
        <f>IF(D30=0,0,D12/D30)</f>
        <v>31633.700738701027</v>
      </c>
      <c r="E38" s="641">
        <f>IF(E30=0,0,E12/E30)</f>
        <v>32540.651253216336</v>
      </c>
    </row>
    <row r="39" spans="1:5" ht="26.1" customHeight="1" x14ac:dyDescent="0.25">
      <c r="A39" s="639">
        <v>7</v>
      </c>
      <c r="B39" s="640" t="s">
        <v>926</v>
      </c>
      <c r="C39" s="641">
        <f>IF(C22=0,0,C10/C22)</f>
        <v>3093.2143679809597</v>
      </c>
      <c r="D39" s="641">
        <f>IF(D22=0,0,D10/D22)</f>
        <v>3408.3002513173356</v>
      </c>
      <c r="E39" s="641">
        <f>IF(E22=0,0,E10/E22)</f>
        <v>3271.4751329863643</v>
      </c>
    </row>
    <row r="40" spans="1:5" ht="26.1" customHeight="1" x14ac:dyDescent="0.25">
      <c r="A40" s="639">
        <v>8</v>
      </c>
      <c r="B40" s="640" t="s">
        <v>927</v>
      </c>
      <c r="C40" s="641">
        <f>IF(C23=0,0,C10/C23)</f>
        <v>15638.932825541564</v>
      </c>
      <c r="D40" s="641">
        <f>IF(D23=0,0,D10/D23)</f>
        <v>17217.687497956387</v>
      </c>
      <c r="E40" s="641">
        <f>IF(E23=0,0,E10/E23)</f>
        <v>16300.880311229646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928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929</v>
      </c>
      <c r="C43" s="641">
        <f>IF(C19=0,0,C13/C19)</f>
        <v>5539.0812519927731</v>
      </c>
      <c r="D43" s="641">
        <f>IF(D19=0,0,D13/D19)</f>
        <v>5722.1015414890126</v>
      </c>
      <c r="E43" s="641">
        <f>IF(E19=0,0,E13/E19)</f>
        <v>6384.28547056769</v>
      </c>
    </row>
    <row r="44" spans="1:5" ht="26.1" customHeight="1" x14ac:dyDescent="0.25">
      <c r="A44" s="639">
        <v>2</v>
      </c>
      <c r="B44" s="640" t="s">
        <v>930</v>
      </c>
      <c r="C44" s="641">
        <f>IF(C20=0,0,C13/C20)</f>
        <v>28004.951907576571</v>
      </c>
      <c r="D44" s="641">
        <f>IF(D20=0,0,D13/D20)</f>
        <v>28906.301941811915</v>
      </c>
      <c r="E44" s="641">
        <f>IF(E20=0,0,E13/E20)</f>
        <v>31811.176639892907</v>
      </c>
    </row>
    <row r="45" spans="1:5" ht="26.1" customHeight="1" x14ac:dyDescent="0.25">
      <c r="A45" s="639">
        <v>3</v>
      </c>
      <c r="B45" s="640" t="s">
        <v>931</v>
      </c>
      <c r="C45" s="641">
        <f>IF(C22=0,0,C13/C22)</f>
        <v>2484.7891624372082</v>
      </c>
      <c r="D45" s="641">
        <f>IF(D22=0,0,D13/D22)</f>
        <v>2569.2703337002531</v>
      </c>
      <c r="E45" s="641">
        <f>IF(E22=0,0,E13/E22)</f>
        <v>2608.0504931441869</v>
      </c>
    </row>
    <row r="46" spans="1:5" ht="26.1" customHeight="1" x14ac:dyDescent="0.25">
      <c r="A46" s="639">
        <v>4</v>
      </c>
      <c r="B46" s="640" t="s">
        <v>932</v>
      </c>
      <c r="C46" s="641">
        <f>IF(C23=0,0,C13/C23)</f>
        <v>12562.805604176085</v>
      </c>
      <c r="D46" s="641">
        <f>IF(D23=0,0,D13/D23)</f>
        <v>12979.165695957439</v>
      </c>
      <c r="E46" s="641">
        <f>IF(E23=0,0,E13/E23)</f>
        <v>12995.213842746956</v>
      </c>
    </row>
    <row r="47" spans="1:5" ht="26.1" customHeight="1" x14ac:dyDescent="0.25">
      <c r="A47" s="639">
        <v>5</v>
      </c>
      <c r="B47" s="640" t="s">
        <v>933</v>
      </c>
      <c r="C47" s="641">
        <f>IF(C29=0,0,C13/C29)</f>
        <v>2046.7937780451318</v>
      </c>
      <c r="D47" s="641">
        <f>IF(D29=0,0,D13/D29)</f>
        <v>2119.5283261379832</v>
      </c>
      <c r="E47" s="641">
        <f>IF(E29=0,0,E13/E29)</f>
        <v>2126.8402680792078</v>
      </c>
    </row>
    <row r="48" spans="1:5" ht="26.1" customHeight="1" x14ac:dyDescent="0.25">
      <c r="A48" s="639">
        <v>6</v>
      </c>
      <c r="B48" s="640" t="s">
        <v>934</v>
      </c>
      <c r="C48" s="641">
        <f>IF(C30=0,0,C13/C30)</f>
        <v>10348.351777338337</v>
      </c>
      <c r="D48" s="641">
        <f>IF(D30=0,0,D13/D30)</f>
        <v>10707.207015698044</v>
      </c>
      <c r="E48" s="641">
        <f>IF(E30=0,0,E13/E30)</f>
        <v>10597.472773517564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935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936</v>
      </c>
      <c r="C51" s="641">
        <f>IF(C19=0,0,C16/C19)</f>
        <v>5653.0964900627059</v>
      </c>
      <c r="D51" s="641">
        <f>IF(D19=0,0,D16/D19)</f>
        <v>5663.2342932108886</v>
      </c>
      <c r="E51" s="641">
        <f>IF(E19=0,0,E16/E19)</f>
        <v>6199.1975632035683</v>
      </c>
    </row>
    <row r="52" spans="1:6" ht="26.1" customHeight="1" x14ac:dyDescent="0.25">
      <c r="A52" s="639">
        <v>2</v>
      </c>
      <c r="B52" s="640" t="s">
        <v>937</v>
      </c>
      <c r="C52" s="641">
        <f>IF(C20=0,0,C16/C20)</f>
        <v>28581.399717893604</v>
      </c>
      <c r="D52" s="641">
        <f>IF(D20=0,0,D16/D20)</f>
        <v>28608.922658890584</v>
      </c>
      <c r="E52" s="641">
        <f>IF(E20=0,0,E16/E20)</f>
        <v>30888.933400267739</v>
      </c>
    </row>
    <row r="53" spans="1:6" ht="26.1" customHeight="1" x14ac:dyDescent="0.25">
      <c r="A53" s="639">
        <v>3</v>
      </c>
      <c r="B53" s="640" t="s">
        <v>938</v>
      </c>
      <c r="C53" s="641">
        <f>IF(C22=0,0,C16/C22)</f>
        <v>2535.9355195712446</v>
      </c>
      <c r="D53" s="641">
        <f>IF(D22=0,0,D16/D22)</f>
        <v>2542.8384583602369</v>
      </c>
      <c r="E53" s="641">
        <f>IF(E22=0,0,E16/E22)</f>
        <v>2532.4400571288465</v>
      </c>
    </row>
    <row r="54" spans="1:6" ht="26.1" customHeight="1" x14ac:dyDescent="0.25">
      <c r="A54" s="639">
        <v>4</v>
      </c>
      <c r="B54" s="640" t="s">
        <v>939</v>
      </c>
      <c r="C54" s="641">
        <f>IF(C23=0,0,C16/C23)</f>
        <v>12821.395649460421</v>
      </c>
      <c r="D54" s="641">
        <f>IF(D23=0,0,D16/D23)</f>
        <v>12845.639968752672</v>
      </c>
      <c r="E54" s="641">
        <f>IF(E23=0,0,E16/E23)</f>
        <v>12618.467385059275</v>
      </c>
    </row>
    <row r="55" spans="1:6" ht="26.1" customHeight="1" x14ac:dyDescent="0.25">
      <c r="A55" s="639">
        <v>5</v>
      </c>
      <c r="B55" s="640" t="s">
        <v>940</v>
      </c>
      <c r="C55" s="641">
        <f>IF(C29=0,0,C16/C29)</f>
        <v>2088.9245338992578</v>
      </c>
      <c r="D55" s="641">
        <f>IF(D29=0,0,D16/D29)</f>
        <v>2097.7232604112373</v>
      </c>
      <c r="E55" s="641">
        <f>IF(E29=0,0,E16/E29)</f>
        <v>2065.1806796520746</v>
      </c>
    </row>
    <row r="56" spans="1:6" ht="26.1" customHeight="1" x14ac:dyDescent="0.25">
      <c r="A56" s="639">
        <v>6</v>
      </c>
      <c r="B56" s="640" t="s">
        <v>941</v>
      </c>
      <c r="C56" s="641">
        <f>IF(C30=0,0,C16/C30)</f>
        <v>10561.359988961911</v>
      </c>
      <c r="D56" s="641">
        <f>IF(D30=0,0,D16/D30)</f>
        <v>10597.054511554548</v>
      </c>
      <c r="E56" s="641">
        <f>IF(E30=0,0,E16/E30)</f>
        <v>10290.239635519394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942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943</v>
      </c>
      <c r="C59" s="649">
        <v>51850186</v>
      </c>
      <c r="D59" s="649">
        <v>53049747</v>
      </c>
      <c r="E59" s="649">
        <v>55671919</v>
      </c>
    </row>
    <row r="60" spans="1:6" ht="26.1" customHeight="1" x14ac:dyDescent="0.25">
      <c r="A60" s="639">
        <v>2</v>
      </c>
      <c r="B60" s="640" t="s">
        <v>944</v>
      </c>
      <c r="C60" s="649">
        <v>11404309</v>
      </c>
      <c r="D60" s="649">
        <v>14424232</v>
      </c>
      <c r="E60" s="649">
        <v>14949296</v>
      </c>
    </row>
    <row r="61" spans="1:6" ht="26.1" customHeight="1" x14ac:dyDescent="0.25">
      <c r="A61" s="650">
        <v>3</v>
      </c>
      <c r="B61" s="651" t="s">
        <v>945</v>
      </c>
      <c r="C61" s="652">
        <f>C59+C60</f>
        <v>63254495</v>
      </c>
      <c r="D61" s="652">
        <f>D59+D60</f>
        <v>67473979</v>
      </c>
      <c r="E61" s="652">
        <f>E59+E60</f>
        <v>70621215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946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947</v>
      </c>
      <c r="C64" s="641">
        <v>17126431</v>
      </c>
      <c r="D64" s="641">
        <v>17289984</v>
      </c>
      <c r="E64" s="649">
        <v>21556196</v>
      </c>
      <c r="F64" s="653"/>
    </row>
    <row r="65" spans="1:6" ht="26.1" customHeight="1" x14ac:dyDescent="0.25">
      <c r="A65" s="639">
        <v>2</v>
      </c>
      <c r="B65" s="640" t="s">
        <v>948</v>
      </c>
      <c r="C65" s="649">
        <v>3766913</v>
      </c>
      <c r="D65" s="649">
        <v>4701148</v>
      </c>
      <c r="E65" s="649">
        <v>4771010</v>
      </c>
      <c r="F65" s="653"/>
    </row>
    <row r="66" spans="1:6" ht="26.1" customHeight="1" x14ac:dyDescent="0.25">
      <c r="A66" s="650">
        <v>3</v>
      </c>
      <c r="B66" s="651" t="s">
        <v>949</v>
      </c>
      <c r="C66" s="654">
        <f>C64+C65</f>
        <v>20893344</v>
      </c>
      <c r="D66" s="654">
        <f>D64+D65</f>
        <v>21991132</v>
      </c>
      <c r="E66" s="654">
        <f>E64+E65</f>
        <v>26327206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950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951</v>
      </c>
      <c r="C69" s="649">
        <v>85526196</v>
      </c>
      <c r="D69" s="649">
        <v>93025542</v>
      </c>
      <c r="E69" s="649">
        <v>95229352</v>
      </c>
    </row>
    <row r="70" spans="1:6" ht="26.1" customHeight="1" x14ac:dyDescent="0.25">
      <c r="A70" s="639">
        <v>2</v>
      </c>
      <c r="B70" s="640" t="s">
        <v>952</v>
      </c>
      <c r="C70" s="649">
        <v>18811257</v>
      </c>
      <c r="D70" s="649">
        <v>25356655</v>
      </c>
      <c r="E70" s="649">
        <v>29318027</v>
      </c>
    </row>
    <row r="71" spans="1:6" ht="26.1" customHeight="1" x14ac:dyDescent="0.25">
      <c r="A71" s="650">
        <v>3</v>
      </c>
      <c r="B71" s="651" t="s">
        <v>953</v>
      </c>
      <c r="C71" s="652">
        <f>C69+C70</f>
        <v>104337453</v>
      </c>
      <c r="D71" s="652">
        <f>D69+D70</f>
        <v>118382197</v>
      </c>
      <c r="E71" s="652">
        <f>E69+E70</f>
        <v>124547379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954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955</v>
      </c>
      <c r="C75" s="641">
        <f t="shared" ref="C75:E76" si="0">+C59+C64+C69</f>
        <v>154502813</v>
      </c>
      <c r="D75" s="641">
        <f t="shared" si="0"/>
        <v>163365273</v>
      </c>
      <c r="E75" s="641">
        <f t="shared" si="0"/>
        <v>172457467</v>
      </c>
    </row>
    <row r="76" spans="1:6" ht="26.1" customHeight="1" x14ac:dyDescent="0.25">
      <c r="A76" s="639">
        <v>2</v>
      </c>
      <c r="B76" s="640" t="s">
        <v>956</v>
      </c>
      <c r="C76" s="641">
        <f t="shared" si="0"/>
        <v>33982479</v>
      </c>
      <c r="D76" s="641">
        <f t="shared" si="0"/>
        <v>44482035</v>
      </c>
      <c r="E76" s="641">
        <f t="shared" si="0"/>
        <v>49038333</v>
      </c>
    </row>
    <row r="77" spans="1:6" ht="26.1" customHeight="1" x14ac:dyDescent="0.25">
      <c r="A77" s="650">
        <v>3</v>
      </c>
      <c r="B77" s="651" t="s">
        <v>954</v>
      </c>
      <c r="C77" s="654">
        <f>C75+C76</f>
        <v>188485292</v>
      </c>
      <c r="D77" s="654">
        <f>D75+D76</f>
        <v>207847308</v>
      </c>
      <c r="E77" s="654">
        <f>E75+E76</f>
        <v>221495800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957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564.6</v>
      </c>
      <c r="D80" s="646">
        <v>600.9</v>
      </c>
      <c r="E80" s="646">
        <v>599.4</v>
      </c>
    </row>
    <row r="81" spans="1:5" ht="26.1" customHeight="1" x14ac:dyDescent="0.25">
      <c r="A81" s="639">
        <v>2</v>
      </c>
      <c r="B81" s="640" t="s">
        <v>584</v>
      </c>
      <c r="C81" s="646">
        <v>104.9</v>
      </c>
      <c r="D81" s="646">
        <v>111.2</v>
      </c>
      <c r="E81" s="646">
        <v>117.3</v>
      </c>
    </row>
    <row r="82" spans="1:5" ht="26.1" customHeight="1" x14ac:dyDescent="0.25">
      <c r="A82" s="639">
        <v>3</v>
      </c>
      <c r="B82" s="640" t="s">
        <v>958</v>
      </c>
      <c r="C82" s="646">
        <v>1228.9000000000001</v>
      </c>
      <c r="D82" s="646">
        <v>1339.7</v>
      </c>
      <c r="E82" s="646">
        <v>1372.7</v>
      </c>
    </row>
    <row r="83" spans="1:5" ht="26.1" customHeight="1" x14ac:dyDescent="0.25">
      <c r="A83" s="650">
        <v>4</v>
      </c>
      <c r="B83" s="651" t="s">
        <v>957</v>
      </c>
      <c r="C83" s="656">
        <f>C80+C81+C82</f>
        <v>1898.4</v>
      </c>
      <c r="D83" s="656">
        <f>D80+D81+D82</f>
        <v>2051.8000000000002</v>
      </c>
      <c r="E83" s="656">
        <f>E80+E81+E82</f>
        <v>2089.4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959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960</v>
      </c>
      <c r="C86" s="649">
        <f>IF(C80=0,0,C59/C80)</f>
        <v>91835.256818986891</v>
      </c>
      <c r="D86" s="649">
        <f>IF(D80=0,0,D59/D80)</f>
        <v>88283.819271093365</v>
      </c>
      <c r="E86" s="649">
        <f>IF(E80=0,0,E59/E80)</f>
        <v>92879.411077744415</v>
      </c>
    </row>
    <row r="87" spans="1:5" ht="26.1" customHeight="1" x14ac:dyDescent="0.25">
      <c r="A87" s="639">
        <v>2</v>
      </c>
      <c r="B87" s="640" t="s">
        <v>961</v>
      </c>
      <c r="C87" s="649">
        <f>IF(C80=0,0,C60/C80)</f>
        <v>20198.917817924194</v>
      </c>
      <c r="D87" s="649">
        <f>IF(D80=0,0,D60/D80)</f>
        <v>24004.380096521883</v>
      </c>
      <c r="E87" s="649">
        <f>IF(E80=0,0,E60/E80)</f>
        <v>24940.433767100436</v>
      </c>
    </row>
    <row r="88" spans="1:5" ht="26.1" customHeight="1" x14ac:dyDescent="0.25">
      <c r="A88" s="650">
        <v>3</v>
      </c>
      <c r="B88" s="651" t="s">
        <v>962</v>
      </c>
      <c r="C88" s="652">
        <f>+C86+C87</f>
        <v>112034.17463691108</v>
      </c>
      <c r="D88" s="652">
        <f>+D86+D87</f>
        <v>112288.19936761525</v>
      </c>
      <c r="E88" s="652">
        <f>+E86+E87</f>
        <v>117819.84484484485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963</v>
      </c>
    </row>
    <row r="91" spans="1:5" ht="26.1" customHeight="1" x14ac:dyDescent="0.25">
      <c r="A91" s="639">
        <v>1</v>
      </c>
      <c r="B91" s="640" t="s">
        <v>964</v>
      </c>
      <c r="C91" s="641">
        <f>IF(C81=0,0,C64/C81)</f>
        <v>163264.3565300286</v>
      </c>
      <c r="D91" s="641">
        <f>IF(D81=0,0,D64/D81)</f>
        <v>155485.46762589927</v>
      </c>
      <c r="E91" s="641">
        <f>IF(E81=0,0,E64/E81)</f>
        <v>183769.78687127025</v>
      </c>
    </row>
    <row r="92" spans="1:5" ht="26.1" customHeight="1" x14ac:dyDescent="0.25">
      <c r="A92" s="639">
        <v>2</v>
      </c>
      <c r="B92" s="640" t="s">
        <v>965</v>
      </c>
      <c r="C92" s="641">
        <f>IF(C81=0,0,C65/C81)</f>
        <v>35909.561487130595</v>
      </c>
      <c r="D92" s="641">
        <f>IF(D81=0,0,D65/D81)</f>
        <v>42276.510791366905</v>
      </c>
      <c r="E92" s="641">
        <f>IF(E81=0,0,E65/E81)</f>
        <v>40673.572037510654</v>
      </c>
    </row>
    <row r="93" spans="1:5" ht="26.1" customHeight="1" x14ac:dyDescent="0.25">
      <c r="A93" s="650">
        <v>3</v>
      </c>
      <c r="B93" s="651" t="s">
        <v>966</v>
      </c>
      <c r="C93" s="654">
        <f>+C91+C92</f>
        <v>199173.91801715919</v>
      </c>
      <c r="D93" s="654">
        <f>+D91+D92</f>
        <v>197761.97841726616</v>
      </c>
      <c r="E93" s="654">
        <f>+E91+E92</f>
        <v>224443.35890878091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967</v>
      </c>
      <c r="B95" s="642" t="s">
        <v>968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969</v>
      </c>
      <c r="C96" s="649">
        <f>IF(C82=0,0,C69/C82)</f>
        <v>69595.732769143127</v>
      </c>
      <c r="D96" s="649">
        <f>IF(D82=0,0,D69/D82)</f>
        <v>69437.591998208547</v>
      </c>
      <c r="E96" s="649">
        <f>IF(E82=0,0,E69/E82)</f>
        <v>69373.7539156407</v>
      </c>
    </row>
    <row r="97" spans="1:5" ht="26.1" customHeight="1" x14ac:dyDescent="0.25">
      <c r="A97" s="639">
        <v>2</v>
      </c>
      <c r="B97" s="640" t="s">
        <v>970</v>
      </c>
      <c r="C97" s="649">
        <f>IF(C82=0,0,C70/C82)</f>
        <v>15307.39441777199</v>
      </c>
      <c r="D97" s="649">
        <f>IF(D82=0,0,D70/D82)</f>
        <v>18927.114279316265</v>
      </c>
      <c r="E97" s="649">
        <f>IF(E82=0,0,E70/E82)</f>
        <v>21357.927442267064</v>
      </c>
    </row>
    <row r="98" spans="1:5" ht="26.1" customHeight="1" x14ac:dyDescent="0.25">
      <c r="A98" s="650">
        <v>3</v>
      </c>
      <c r="B98" s="651" t="s">
        <v>971</v>
      </c>
      <c r="C98" s="654">
        <f>+C96+C97</f>
        <v>84903.12718691511</v>
      </c>
      <c r="D98" s="654">
        <f>+D96+D97</f>
        <v>88364.70627752482</v>
      </c>
      <c r="E98" s="654">
        <f>+E96+E97</f>
        <v>90731.681357907772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972</v>
      </c>
      <c r="B100" s="642" t="s">
        <v>973</v>
      </c>
    </row>
    <row r="101" spans="1:5" ht="26.1" customHeight="1" x14ac:dyDescent="0.25">
      <c r="A101" s="639">
        <v>1</v>
      </c>
      <c r="B101" s="640" t="s">
        <v>974</v>
      </c>
      <c r="C101" s="641">
        <f>IF(C83=0,0,C75/C83)</f>
        <v>81385.80541508639</v>
      </c>
      <c r="D101" s="641">
        <f>IF(D83=0,0,D75/D83)</f>
        <v>79620.466419729011</v>
      </c>
      <c r="E101" s="641">
        <f>IF(E83=0,0,E75/E83)</f>
        <v>82539.229922465776</v>
      </c>
    </row>
    <row r="102" spans="1:5" ht="26.1" customHeight="1" x14ac:dyDescent="0.25">
      <c r="A102" s="639">
        <v>2</v>
      </c>
      <c r="B102" s="640" t="s">
        <v>975</v>
      </c>
      <c r="C102" s="658">
        <f>IF(C83=0,0,C76/C83)</f>
        <v>17900.589443742098</v>
      </c>
      <c r="D102" s="658">
        <f>IF(D83=0,0,D76/D83)</f>
        <v>21679.517984208986</v>
      </c>
      <c r="E102" s="658">
        <f>IF(E83=0,0,E76/E83)</f>
        <v>23470.055039724321</v>
      </c>
    </row>
    <row r="103" spans="1:5" ht="26.1" customHeight="1" x14ac:dyDescent="0.25">
      <c r="A103" s="650">
        <v>3</v>
      </c>
      <c r="B103" s="651" t="s">
        <v>973</v>
      </c>
      <c r="C103" s="654">
        <f>+C101+C102</f>
        <v>99286.394858828484</v>
      </c>
      <c r="D103" s="654">
        <f>+D101+D102</f>
        <v>101299.984403938</v>
      </c>
      <c r="E103" s="654">
        <f>+E101+E102</f>
        <v>106009.2849621901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976</v>
      </c>
      <c r="B107" s="634" t="s">
        <v>977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978</v>
      </c>
      <c r="C108" s="641">
        <f>IF(C19=0,0,C77/C19)</f>
        <v>2504.055850781167</v>
      </c>
      <c r="D108" s="641">
        <f>IF(D19=0,0,D77/D19)</f>
        <v>2726.7603542144966</v>
      </c>
      <c r="E108" s="641">
        <f>IF(E19=0,0,E77/E19)</f>
        <v>2975.4144165927837</v>
      </c>
    </row>
    <row r="109" spans="1:5" ht="26.1" customHeight="1" x14ac:dyDescent="0.25">
      <c r="A109" s="639">
        <v>2</v>
      </c>
      <c r="B109" s="640" t="s">
        <v>979</v>
      </c>
      <c r="C109" s="641">
        <f>IF(C20=0,0,C77/C20)</f>
        <v>12660.215744223537</v>
      </c>
      <c r="D109" s="641">
        <f>IF(D20=0,0,D77/D20)</f>
        <v>13774.756975280005</v>
      </c>
      <c r="E109" s="641">
        <f>IF(E20=0,0,E77/E20)</f>
        <v>14825.689424364124</v>
      </c>
    </row>
    <row r="110" spans="1:5" ht="26.1" customHeight="1" x14ac:dyDescent="0.25">
      <c r="A110" s="639">
        <v>3</v>
      </c>
      <c r="B110" s="640" t="s">
        <v>980</v>
      </c>
      <c r="C110" s="641">
        <f>IF(C22=0,0,C77/C22)</f>
        <v>1123.3001570287572</v>
      </c>
      <c r="D110" s="641">
        <f>IF(D22=0,0,D77/D22)</f>
        <v>1224.3376728631497</v>
      </c>
      <c r="E110" s="641">
        <f>IF(E22=0,0,E77/E22)</f>
        <v>1215.4893562134387</v>
      </c>
    </row>
    <row r="111" spans="1:5" ht="26.1" customHeight="1" x14ac:dyDescent="0.25">
      <c r="A111" s="639">
        <v>4</v>
      </c>
      <c r="B111" s="640" t="s">
        <v>981</v>
      </c>
      <c r="C111" s="641">
        <f>IF(C23=0,0,C77/C23)</f>
        <v>5679.2752162727438</v>
      </c>
      <c r="D111" s="641">
        <f>IF(D23=0,0,D77/D23)</f>
        <v>6184.978402411929</v>
      </c>
      <c r="E111" s="641">
        <f>IF(E23=0,0,E77/E23)</f>
        <v>6056.4564026265589</v>
      </c>
    </row>
    <row r="112" spans="1:5" ht="26.1" customHeight="1" x14ac:dyDescent="0.25">
      <c r="A112" s="639">
        <v>5</v>
      </c>
      <c r="B112" s="640" t="s">
        <v>982</v>
      </c>
      <c r="C112" s="641">
        <f>IF(C29=0,0,C77/C29)</f>
        <v>925.29531561077897</v>
      </c>
      <c r="D112" s="641">
        <f>IF(D29=0,0,D77/D29)</f>
        <v>1010.021539716286</v>
      </c>
      <c r="E112" s="641">
        <f>IF(E29=0,0,E77/E29)</f>
        <v>991.21996104447851</v>
      </c>
    </row>
    <row r="113" spans="1:7" ht="25.5" customHeight="1" x14ac:dyDescent="0.25">
      <c r="A113" s="639">
        <v>6</v>
      </c>
      <c r="B113" s="640" t="s">
        <v>983</v>
      </c>
      <c r="C113" s="641">
        <f>IF(C30=0,0,C77/C30)</f>
        <v>4678.1857198182806</v>
      </c>
      <c r="D113" s="641">
        <f>IF(D30=0,0,D77/D30)</f>
        <v>5102.3190314052563</v>
      </c>
      <c r="E113" s="641">
        <f>IF(E30=0,0,E77/E30)</f>
        <v>4938.9823520798573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FILING&amp;R&amp;12STAMFORD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1288625775</v>
      </c>
      <c r="D12" s="51">
        <v>1459332537</v>
      </c>
      <c r="E12" s="51">
        <f t="shared" ref="E12:E19" si="0">D12-C12</f>
        <v>170706762</v>
      </c>
      <c r="F12" s="70">
        <f t="shared" ref="F12:F19" si="1">IF(C12=0,0,E12/C12)</f>
        <v>0.13247194438587107</v>
      </c>
    </row>
    <row r="13" spans="1:8" ht="23.1" customHeight="1" x14ac:dyDescent="0.2">
      <c r="A13" s="25">
        <v>2</v>
      </c>
      <c r="B13" s="48" t="s">
        <v>72</v>
      </c>
      <c r="C13" s="51">
        <v>835674751</v>
      </c>
      <c r="D13" s="51">
        <v>967141721</v>
      </c>
      <c r="E13" s="51">
        <f t="shared" si="0"/>
        <v>131466970</v>
      </c>
      <c r="F13" s="70">
        <f t="shared" si="1"/>
        <v>0.15731834645318846</v>
      </c>
    </row>
    <row r="14" spans="1:8" ht="23.1" customHeight="1" x14ac:dyDescent="0.2">
      <c r="A14" s="25">
        <v>3</v>
      </c>
      <c r="B14" s="48" t="s">
        <v>73</v>
      </c>
      <c r="C14" s="51">
        <v>23197205</v>
      </c>
      <c r="D14" s="51">
        <v>27344589</v>
      </c>
      <c r="E14" s="51">
        <f t="shared" si="0"/>
        <v>4147384</v>
      </c>
      <c r="F14" s="70">
        <f t="shared" si="1"/>
        <v>0.17878809106528135</v>
      </c>
    </row>
    <row r="15" spans="1:8" ht="23.1" customHeight="1" x14ac:dyDescent="0.2">
      <c r="A15" s="25">
        <v>4</v>
      </c>
      <c r="B15" s="48" t="s">
        <v>74</v>
      </c>
      <c r="C15" s="51">
        <v>-6413371</v>
      </c>
      <c r="D15" s="51">
        <v>-10412752</v>
      </c>
      <c r="E15" s="51">
        <f t="shared" si="0"/>
        <v>-3999381</v>
      </c>
      <c r="F15" s="70">
        <f t="shared" si="1"/>
        <v>0.62360044351090871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436167190</v>
      </c>
      <c r="D16" s="27">
        <f>D12-D13-D14-D15</f>
        <v>475258979</v>
      </c>
      <c r="E16" s="27">
        <f t="shared" si="0"/>
        <v>39091789</v>
      </c>
      <c r="F16" s="28">
        <f t="shared" si="1"/>
        <v>8.9625698347461674E-2</v>
      </c>
    </row>
    <row r="17" spans="1:7" ht="23.1" customHeight="1" x14ac:dyDescent="0.2">
      <c r="A17" s="25">
        <v>5</v>
      </c>
      <c r="B17" s="48" t="s">
        <v>76</v>
      </c>
      <c r="C17" s="51">
        <v>18087444</v>
      </c>
      <c r="D17" s="51">
        <v>20325664</v>
      </c>
      <c r="E17" s="51">
        <f t="shared" si="0"/>
        <v>2238220</v>
      </c>
      <c r="F17" s="70">
        <f t="shared" si="1"/>
        <v>0.12374440523492429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2979880</v>
      </c>
      <c r="D18" s="51">
        <v>2397063</v>
      </c>
      <c r="E18" s="51">
        <f t="shared" si="0"/>
        <v>-582817</v>
      </c>
      <c r="F18" s="70">
        <f t="shared" si="1"/>
        <v>-0.19558405036444421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457234514</v>
      </c>
      <c r="D19" s="27">
        <f>SUM(D16:D18)</f>
        <v>497981706</v>
      </c>
      <c r="E19" s="27">
        <f t="shared" si="0"/>
        <v>40747192</v>
      </c>
      <c r="F19" s="28">
        <f t="shared" si="1"/>
        <v>8.9116614674455655E-2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163365273</v>
      </c>
      <c r="D22" s="51">
        <v>172457467</v>
      </c>
      <c r="E22" s="51">
        <f t="shared" ref="E22:E31" si="2">D22-C22</f>
        <v>9092194</v>
      </c>
      <c r="F22" s="70">
        <f t="shared" ref="F22:F31" si="3">IF(C22=0,0,E22/C22)</f>
        <v>5.5655610479713152E-2</v>
      </c>
    </row>
    <row r="23" spans="1:7" ht="23.1" customHeight="1" x14ac:dyDescent="0.2">
      <c r="A23" s="25">
        <v>2</v>
      </c>
      <c r="B23" s="48" t="s">
        <v>81</v>
      </c>
      <c r="C23" s="51">
        <v>44482035</v>
      </c>
      <c r="D23" s="51">
        <v>49038333</v>
      </c>
      <c r="E23" s="51">
        <f t="shared" si="2"/>
        <v>4556298</v>
      </c>
      <c r="F23" s="70">
        <f t="shared" si="3"/>
        <v>0.10243007092638635</v>
      </c>
    </row>
    <row r="24" spans="1:7" ht="23.1" customHeight="1" x14ac:dyDescent="0.2">
      <c r="A24" s="25">
        <v>3</v>
      </c>
      <c r="B24" s="48" t="s">
        <v>82</v>
      </c>
      <c r="C24" s="51">
        <v>8733868</v>
      </c>
      <c r="D24" s="51">
        <v>12206630</v>
      </c>
      <c r="E24" s="51">
        <f t="shared" si="2"/>
        <v>3472762</v>
      </c>
      <c r="F24" s="70">
        <f t="shared" si="3"/>
        <v>0.39762016096419134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43199012</v>
      </c>
      <c r="D25" s="51">
        <v>51109776</v>
      </c>
      <c r="E25" s="51">
        <f t="shared" si="2"/>
        <v>7910764</v>
      </c>
      <c r="F25" s="70">
        <f t="shared" si="3"/>
        <v>0.18312372514445469</v>
      </c>
    </row>
    <row r="26" spans="1:7" ht="23.1" customHeight="1" x14ac:dyDescent="0.2">
      <c r="A26" s="25">
        <v>5</v>
      </c>
      <c r="B26" s="48" t="s">
        <v>84</v>
      </c>
      <c r="C26" s="51">
        <v>27391465</v>
      </c>
      <c r="D26" s="51">
        <v>27314964</v>
      </c>
      <c r="E26" s="51">
        <f t="shared" si="2"/>
        <v>-76501</v>
      </c>
      <c r="F26" s="70">
        <f t="shared" si="3"/>
        <v>-2.7928772703468031E-3</v>
      </c>
    </row>
    <row r="27" spans="1:7" ht="23.1" customHeight="1" x14ac:dyDescent="0.2">
      <c r="A27" s="25">
        <v>6</v>
      </c>
      <c r="B27" s="48" t="s">
        <v>85</v>
      </c>
      <c r="C27" s="51">
        <v>43115286</v>
      </c>
      <c r="D27" s="51">
        <v>47360053</v>
      </c>
      <c r="E27" s="51">
        <f t="shared" si="2"/>
        <v>4244767</v>
      </c>
      <c r="F27" s="70">
        <f t="shared" si="3"/>
        <v>9.8451556137189949E-2</v>
      </c>
    </row>
    <row r="28" spans="1:7" ht="23.1" customHeight="1" x14ac:dyDescent="0.2">
      <c r="A28" s="25">
        <v>7</v>
      </c>
      <c r="B28" s="48" t="s">
        <v>86</v>
      </c>
      <c r="C28" s="51">
        <v>4876423</v>
      </c>
      <c r="D28" s="51">
        <v>5545081</v>
      </c>
      <c r="E28" s="51">
        <f t="shared" si="2"/>
        <v>668658</v>
      </c>
      <c r="F28" s="70">
        <f t="shared" si="3"/>
        <v>0.13712059023591677</v>
      </c>
    </row>
    <row r="29" spans="1:7" ht="23.1" customHeight="1" x14ac:dyDescent="0.2">
      <c r="A29" s="25">
        <v>8</v>
      </c>
      <c r="B29" s="48" t="s">
        <v>87</v>
      </c>
      <c r="C29" s="51">
        <v>8073693</v>
      </c>
      <c r="D29" s="51">
        <v>9439125</v>
      </c>
      <c r="E29" s="51">
        <f t="shared" si="2"/>
        <v>1365432</v>
      </c>
      <c r="F29" s="70">
        <f t="shared" si="3"/>
        <v>0.16912111966605617</v>
      </c>
    </row>
    <row r="30" spans="1:7" ht="23.1" customHeight="1" x14ac:dyDescent="0.2">
      <c r="A30" s="25">
        <v>9</v>
      </c>
      <c r="B30" s="48" t="s">
        <v>88</v>
      </c>
      <c r="C30" s="51">
        <v>88442979</v>
      </c>
      <c r="D30" s="51">
        <v>87009236</v>
      </c>
      <c r="E30" s="51">
        <f t="shared" si="2"/>
        <v>-1433743</v>
      </c>
      <c r="F30" s="70">
        <f t="shared" si="3"/>
        <v>-1.6210930660759404E-2</v>
      </c>
    </row>
    <row r="31" spans="1:7" ht="23.1" customHeight="1" x14ac:dyDescent="0.25">
      <c r="A31" s="29"/>
      <c r="B31" s="71" t="s">
        <v>89</v>
      </c>
      <c r="C31" s="27">
        <f>SUM(C22:C30)</f>
        <v>431680034</v>
      </c>
      <c r="D31" s="27">
        <f>SUM(D22:D30)</f>
        <v>461480665</v>
      </c>
      <c r="E31" s="27">
        <f t="shared" si="2"/>
        <v>29800631</v>
      </c>
      <c r="F31" s="28">
        <f t="shared" si="3"/>
        <v>6.9034073046797428E-2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25554480</v>
      </c>
      <c r="D33" s="27">
        <f>+D19-D31</f>
        <v>36501041</v>
      </c>
      <c r="E33" s="27">
        <f>D33-C33</f>
        <v>10946561</v>
      </c>
      <c r="F33" s="28">
        <f>IF(C33=0,0,E33/C33)</f>
        <v>0.42836171974542231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1108817</v>
      </c>
      <c r="D36" s="51">
        <v>456342</v>
      </c>
      <c r="E36" s="51">
        <f>D36-C36</f>
        <v>-652475</v>
      </c>
      <c r="F36" s="70">
        <f>IF(C36=0,0,E36/C36)</f>
        <v>-0.58844245714125953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-1064916</v>
      </c>
      <c r="D38" s="51">
        <v>-404832</v>
      </c>
      <c r="E38" s="51">
        <f>D38-C38</f>
        <v>660084</v>
      </c>
      <c r="F38" s="70">
        <f>IF(C38=0,0,E38/C38)</f>
        <v>-0.61984607236627109</v>
      </c>
    </row>
    <row r="39" spans="1:6" ht="23.1" customHeight="1" x14ac:dyDescent="0.25">
      <c r="A39" s="20"/>
      <c r="B39" s="71" t="s">
        <v>95</v>
      </c>
      <c r="C39" s="27">
        <f>SUM(C36:C38)</f>
        <v>43901</v>
      </c>
      <c r="D39" s="27">
        <f>SUM(D36:D38)</f>
        <v>51510</v>
      </c>
      <c r="E39" s="27">
        <f>D39-C39</f>
        <v>7609</v>
      </c>
      <c r="F39" s="28">
        <f>IF(C39=0,0,E39/C39)</f>
        <v>0.17332179221430036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25598381</v>
      </c>
      <c r="D41" s="27">
        <f>D33+D39</f>
        <v>36552551</v>
      </c>
      <c r="E41" s="27">
        <f>D41-C41</f>
        <v>10954170</v>
      </c>
      <c r="F41" s="28">
        <f>IF(C41=0,0,E41/C41)</f>
        <v>0.42792432849561851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-211088</v>
      </c>
      <c r="D44" s="51">
        <v>537439</v>
      </c>
      <c r="E44" s="51">
        <f>D44-C44</f>
        <v>748527</v>
      </c>
      <c r="F44" s="70">
        <f>IF(C44=0,0,E44/C44)</f>
        <v>-3.5460424088531797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-367563</v>
      </c>
      <c r="E45" s="51">
        <f>D45-C45</f>
        <v>-367563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-211088</v>
      </c>
      <c r="D46" s="27">
        <f>SUM(D44:D45)</f>
        <v>169876</v>
      </c>
      <c r="E46" s="27">
        <f>D46-C46</f>
        <v>380964</v>
      </c>
      <c r="F46" s="28">
        <f>IF(C46=0,0,E46/C46)</f>
        <v>-1.8047638899416356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25387293</v>
      </c>
      <c r="D48" s="27">
        <f>D41+D46</f>
        <v>36722427</v>
      </c>
      <c r="E48" s="27">
        <f>D48-C48</f>
        <v>11335134</v>
      </c>
      <c r="F48" s="28">
        <f>IF(C48=0,0,E48/C48)</f>
        <v>0.44648848540094449</v>
      </c>
    </row>
    <row r="49" spans="1:6" ht="23.1" customHeight="1" x14ac:dyDescent="0.2">
      <c r="A49" s="44"/>
      <c r="B49" s="48" t="s">
        <v>102</v>
      </c>
      <c r="C49" s="51">
        <v>117047000</v>
      </c>
      <c r="D49" s="51">
        <v>4576000</v>
      </c>
      <c r="E49" s="51">
        <f>D49-C49</f>
        <v>-112471000</v>
      </c>
      <c r="F49" s="70">
        <f>IF(C49=0,0,E49/C49)</f>
        <v>-0.96090459388109051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245190940</v>
      </c>
      <c r="D14" s="97">
        <v>233171009</v>
      </c>
      <c r="E14" s="97">
        <f t="shared" ref="E14:E25" si="0">D14-C14</f>
        <v>-12019931</v>
      </c>
      <c r="F14" s="98">
        <f t="shared" ref="F14:F25" si="1">IF(C14=0,0,E14/C14)</f>
        <v>-4.9022737137024722E-2</v>
      </c>
    </row>
    <row r="15" spans="1:6" ht="18" customHeight="1" x14ac:dyDescent="0.25">
      <c r="A15" s="99">
        <v>2</v>
      </c>
      <c r="B15" s="100" t="s">
        <v>113</v>
      </c>
      <c r="C15" s="97">
        <v>34882527</v>
      </c>
      <c r="D15" s="97">
        <v>40973521</v>
      </c>
      <c r="E15" s="97">
        <f t="shared" si="0"/>
        <v>6090994</v>
      </c>
      <c r="F15" s="98">
        <f t="shared" si="1"/>
        <v>0.17461447102155184</v>
      </c>
    </row>
    <row r="16" spans="1:6" ht="18" customHeight="1" x14ac:dyDescent="0.25">
      <c r="A16" s="99">
        <v>3</v>
      </c>
      <c r="B16" s="100" t="s">
        <v>114</v>
      </c>
      <c r="C16" s="97">
        <v>42529738</v>
      </c>
      <c r="D16" s="97">
        <v>64190906</v>
      </c>
      <c r="E16" s="97">
        <f t="shared" si="0"/>
        <v>21661168</v>
      </c>
      <c r="F16" s="98">
        <f t="shared" si="1"/>
        <v>0.50931816227036242</v>
      </c>
    </row>
    <row r="17" spans="1:6" ht="18" customHeight="1" x14ac:dyDescent="0.25">
      <c r="A17" s="99">
        <v>4</v>
      </c>
      <c r="B17" s="100" t="s">
        <v>115</v>
      </c>
      <c r="C17" s="97">
        <v>20862974</v>
      </c>
      <c r="D17" s="97">
        <v>24897411</v>
      </c>
      <c r="E17" s="97">
        <f t="shared" si="0"/>
        <v>4034437</v>
      </c>
      <c r="F17" s="98">
        <f t="shared" si="1"/>
        <v>0.19337784728102522</v>
      </c>
    </row>
    <row r="18" spans="1:6" ht="18" customHeight="1" x14ac:dyDescent="0.25">
      <c r="A18" s="99">
        <v>5</v>
      </c>
      <c r="B18" s="100" t="s">
        <v>116</v>
      </c>
      <c r="C18" s="97">
        <v>230354</v>
      </c>
      <c r="D18" s="97">
        <v>1000373</v>
      </c>
      <c r="E18" s="97">
        <f t="shared" si="0"/>
        <v>770019</v>
      </c>
      <c r="F18" s="98">
        <f t="shared" si="1"/>
        <v>3.3427637462340574</v>
      </c>
    </row>
    <row r="19" spans="1:6" ht="18" customHeight="1" x14ac:dyDescent="0.25">
      <c r="A19" s="99">
        <v>6</v>
      </c>
      <c r="B19" s="100" t="s">
        <v>117</v>
      </c>
      <c r="C19" s="97">
        <v>49350781</v>
      </c>
      <c r="D19" s="97">
        <v>59011852</v>
      </c>
      <c r="E19" s="97">
        <f t="shared" si="0"/>
        <v>9661071</v>
      </c>
      <c r="F19" s="98">
        <f t="shared" si="1"/>
        <v>0.19576328488094241</v>
      </c>
    </row>
    <row r="20" spans="1:6" ht="18" customHeight="1" x14ac:dyDescent="0.25">
      <c r="A20" s="99">
        <v>7</v>
      </c>
      <c r="B20" s="100" t="s">
        <v>118</v>
      </c>
      <c r="C20" s="97">
        <v>140105310</v>
      </c>
      <c r="D20" s="97">
        <v>143742535</v>
      </c>
      <c r="E20" s="97">
        <f t="shared" si="0"/>
        <v>3637225</v>
      </c>
      <c r="F20" s="98">
        <f t="shared" si="1"/>
        <v>2.5960650599181428E-2</v>
      </c>
    </row>
    <row r="21" spans="1:6" ht="18" customHeight="1" x14ac:dyDescent="0.25">
      <c r="A21" s="99">
        <v>8</v>
      </c>
      <c r="B21" s="100" t="s">
        <v>119</v>
      </c>
      <c r="C21" s="97">
        <v>6568177</v>
      </c>
      <c r="D21" s="97">
        <v>7109125</v>
      </c>
      <c r="E21" s="97">
        <f t="shared" si="0"/>
        <v>540948</v>
      </c>
      <c r="F21" s="98">
        <f t="shared" si="1"/>
        <v>8.2358925467447053E-2</v>
      </c>
    </row>
    <row r="22" spans="1:6" ht="18" customHeight="1" x14ac:dyDescent="0.25">
      <c r="A22" s="99">
        <v>9</v>
      </c>
      <c r="B22" s="100" t="s">
        <v>120</v>
      </c>
      <c r="C22" s="97">
        <v>19716942</v>
      </c>
      <c r="D22" s="97">
        <v>19215996</v>
      </c>
      <c r="E22" s="97">
        <f t="shared" si="0"/>
        <v>-500946</v>
      </c>
      <c r="F22" s="98">
        <f t="shared" si="1"/>
        <v>-2.5406881046766784E-2</v>
      </c>
    </row>
    <row r="23" spans="1:6" ht="18" customHeight="1" x14ac:dyDescent="0.25">
      <c r="A23" s="99">
        <v>10</v>
      </c>
      <c r="B23" s="100" t="s">
        <v>121</v>
      </c>
      <c r="C23" s="97">
        <v>19165732</v>
      </c>
      <c r="D23" s="97">
        <v>0</v>
      </c>
      <c r="E23" s="97">
        <f t="shared" si="0"/>
        <v>-19165732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2840581</v>
      </c>
      <c r="E24" s="97">
        <f t="shared" si="0"/>
        <v>2840581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578603475</v>
      </c>
      <c r="D25" s="103">
        <f>SUM(D14:D24)</f>
        <v>596153309</v>
      </c>
      <c r="E25" s="103">
        <f t="shared" si="0"/>
        <v>17549834</v>
      </c>
      <c r="F25" s="104">
        <f t="shared" si="1"/>
        <v>3.0331366399069762E-2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170983938</v>
      </c>
      <c r="D27" s="97">
        <v>219686477</v>
      </c>
      <c r="E27" s="97">
        <f t="shared" ref="E27:E38" si="2">D27-C27</f>
        <v>48702539</v>
      </c>
      <c r="F27" s="98">
        <f t="shared" ref="F27:F38" si="3">IF(C27=0,0,E27/C27)</f>
        <v>0.28483692427296886</v>
      </c>
    </row>
    <row r="28" spans="1:6" ht="18" customHeight="1" x14ac:dyDescent="0.25">
      <c r="A28" s="99">
        <v>2</v>
      </c>
      <c r="B28" s="100" t="s">
        <v>113</v>
      </c>
      <c r="C28" s="97">
        <v>27290219</v>
      </c>
      <c r="D28" s="97">
        <v>38964061</v>
      </c>
      <c r="E28" s="97">
        <f t="shared" si="2"/>
        <v>11673842</v>
      </c>
      <c r="F28" s="98">
        <f t="shared" si="3"/>
        <v>0.42776651957245193</v>
      </c>
    </row>
    <row r="29" spans="1:6" ht="18" customHeight="1" x14ac:dyDescent="0.25">
      <c r="A29" s="99">
        <v>3</v>
      </c>
      <c r="B29" s="100" t="s">
        <v>114</v>
      </c>
      <c r="C29" s="97">
        <v>20871981</v>
      </c>
      <c r="D29" s="97">
        <v>44096500</v>
      </c>
      <c r="E29" s="97">
        <f t="shared" si="2"/>
        <v>23224519</v>
      </c>
      <c r="F29" s="98">
        <f t="shared" si="3"/>
        <v>1.1127127319634873</v>
      </c>
    </row>
    <row r="30" spans="1:6" ht="18" customHeight="1" x14ac:dyDescent="0.25">
      <c r="A30" s="99">
        <v>4</v>
      </c>
      <c r="B30" s="100" t="s">
        <v>115</v>
      </c>
      <c r="C30" s="97">
        <v>37764279</v>
      </c>
      <c r="D30" s="97">
        <v>48923744</v>
      </c>
      <c r="E30" s="97">
        <f t="shared" si="2"/>
        <v>11159465</v>
      </c>
      <c r="F30" s="98">
        <f t="shared" si="3"/>
        <v>0.29550319231568012</v>
      </c>
    </row>
    <row r="31" spans="1:6" ht="18" customHeight="1" x14ac:dyDescent="0.25">
      <c r="A31" s="99">
        <v>5</v>
      </c>
      <c r="B31" s="100" t="s">
        <v>116</v>
      </c>
      <c r="C31" s="97">
        <v>445996</v>
      </c>
      <c r="D31" s="97">
        <v>656717</v>
      </c>
      <c r="E31" s="97">
        <f t="shared" si="2"/>
        <v>210721</v>
      </c>
      <c r="F31" s="98">
        <f t="shared" si="3"/>
        <v>0.47247284729011024</v>
      </c>
    </row>
    <row r="32" spans="1:6" ht="18" customHeight="1" x14ac:dyDescent="0.25">
      <c r="A32" s="99">
        <v>6</v>
      </c>
      <c r="B32" s="100" t="s">
        <v>117</v>
      </c>
      <c r="C32" s="97">
        <v>110088975</v>
      </c>
      <c r="D32" s="97">
        <v>128138535</v>
      </c>
      <c r="E32" s="97">
        <f t="shared" si="2"/>
        <v>18049560</v>
      </c>
      <c r="F32" s="98">
        <f t="shared" si="3"/>
        <v>0.16395429242574017</v>
      </c>
    </row>
    <row r="33" spans="1:6" ht="18" customHeight="1" x14ac:dyDescent="0.25">
      <c r="A33" s="99">
        <v>7</v>
      </c>
      <c r="B33" s="100" t="s">
        <v>118</v>
      </c>
      <c r="C33" s="97">
        <v>278554974</v>
      </c>
      <c r="D33" s="97">
        <v>319080042</v>
      </c>
      <c r="E33" s="97">
        <f t="shared" si="2"/>
        <v>40525068</v>
      </c>
      <c r="F33" s="98">
        <f t="shared" si="3"/>
        <v>0.14548319643360597</v>
      </c>
    </row>
    <row r="34" spans="1:6" ht="18" customHeight="1" x14ac:dyDescent="0.25">
      <c r="A34" s="99">
        <v>8</v>
      </c>
      <c r="B34" s="100" t="s">
        <v>119</v>
      </c>
      <c r="C34" s="97">
        <v>7317073</v>
      </c>
      <c r="D34" s="97">
        <v>8077098</v>
      </c>
      <c r="E34" s="97">
        <f t="shared" si="2"/>
        <v>760025</v>
      </c>
      <c r="F34" s="98">
        <f t="shared" si="3"/>
        <v>0.10387008575696867</v>
      </c>
    </row>
    <row r="35" spans="1:6" ht="18" customHeight="1" x14ac:dyDescent="0.25">
      <c r="A35" s="99">
        <v>9</v>
      </c>
      <c r="B35" s="100" t="s">
        <v>120</v>
      </c>
      <c r="C35" s="97">
        <v>43856299</v>
      </c>
      <c r="D35" s="97">
        <v>54022199</v>
      </c>
      <c r="E35" s="97">
        <f t="shared" si="2"/>
        <v>10165900</v>
      </c>
      <c r="F35" s="98">
        <f t="shared" si="3"/>
        <v>0.23180022555026816</v>
      </c>
    </row>
    <row r="36" spans="1:6" ht="18" customHeight="1" x14ac:dyDescent="0.25">
      <c r="A36" s="99">
        <v>10</v>
      </c>
      <c r="B36" s="100" t="s">
        <v>121</v>
      </c>
      <c r="C36" s="97">
        <v>12848512</v>
      </c>
      <c r="D36" s="97">
        <v>0</v>
      </c>
      <c r="E36" s="97">
        <f t="shared" si="2"/>
        <v>-12848512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1533842</v>
      </c>
      <c r="E37" s="97">
        <f t="shared" si="2"/>
        <v>1533842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710022246</v>
      </c>
      <c r="D38" s="103">
        <f>SUM(D27:D37)</f>
        <v>863179215</v>
      </c>
      <c r="E38" s="103">
        <f t="shared" si="2"/>
        <v>153156969</v>
      </c>
      <c r="F38" s="104">
        <f t="shared" si="3"/>
        <v>0.21570728221943627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416174878</v>
      </c>
      <c r="D41" s="103">
        <f t="shared" si="4"/>
        <v>452857486</v>
      </c>
      <c r="E41" s="107">
        <f t="shared" ref="E41:E52" si="5">D41-C41</f>
        <v>36682608</v>
      </c>
      <c r="F41" s="108">
        <f t="shared" ref="F41:F52" si="6">IF(C41=0,0,E41/C41)</f>
        <v>8.8142292913701528E-2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62172746</v>
      </c>
      <c r="D42" s="103">
        <f t="shared" si="4"/>
        <v>79937582</v>
      </c>
      <c r="E42" s="107">
        <f t="shared" si="5"/>
        <v>17764836</v>
      </c>
      <c r="F42" s="108">
        <f t="shared" si="6"/>
        <v>0.28573349486606237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63401719</v>
      </c>
      <c r="D43" s="103">
        <f t="shared" si="4"/>
        <v>108287406</v>
      </c>
      <c r="E43" s="107">
        <f t="shared" si="5"/>
        <v>44885687</v>
      </c>
      <c r="F43" s="108">
        <f t="shared" si="6"/>
        <v>0.70795694041040114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58627253</v>
      </c>
      <c r="D44" s="103">
        <f t="shared" si="4"/>
        <v>73821155</v>
      </c>
      <c r="E44" s="107">
        <f t="shared" si="5"/>
        <v>15193902</v>
      </c>
      <c r="F44" s="108">
        <f t="shared" si="6"/>
        <v>0.25916107650481252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676350</v>
      </c>
      <c r="D45" s="103">
        <f t="shared" si="4"/>
        <v>1657090</v>
      </c>
      <c r="E45" s="107">
        <f t="shared" si="5"/>
        <v>980740</v>
      </c>
      <c r="F45" s="108">
        <f t="shared" si="6"/>
        <v>1.45004805204406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159439756</v>
      </c>
      <c r="D46" s="103">
        <f t="shared" si="4"/>
        <v>187150387</v>
      </c>
      <c r="E46" s="107">
        <f t="shared" si="5"/>
        <v>27710631</v>
      </c>
      <c r="F46" s="108">
        <f t="shared" si="6"/>
        <v>0.17380000882590413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418660284</v>
      </c>
      <c r="D47" s="103">
        <f t="shared" si="4"/>
        <v>462822577</v>
      </c>
      <c r="E47" s="107">
        <f t="shared" si="5"/>
        <v>44162293</v>
      </c>
      <c r="F47" s="108">
        <f t="shared" si="6"/>
        <v>0.10548479205636807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13885250</v>
      </c>
      <c r="D48" s="103">
        <f t="shared" si="4"/>
        <v>15186223</v>
      </c>
      <c r="E48" s="107">
        <f t="shared" si="5"/>
        <v>1300973</v>
      </c>
      <c r="F48" s="108">
        <f t="shared" si="6"/>
        <v>9.3694603986244393E-2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63573241</v>
      </c>
      <c r="D49" s="103">
        <f t="shared" si="4"/>
        <v>73238195</v>
      </c>
      <c r="E49" s="107">
        <f t="shared" si="5"/>
        <v>9664954</v>
      </c>
      <c r="F49" s="108">
        <f t="shared" si="6"/>
        <v>0.15202864991577195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32014244</v>
      </c>
      <c r="D50" s="103">
        <f t="shared" si="4"/>
        <v>0</v>
      </c>
      <c r="E50" s="107">
        <f t="shared" si="5"/>
        <v>-32014244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4374423</v>
      </c>
      <c r="E51" s="107">
        <f t="shared" si="5"/>
        <v>4374423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1288625721</v>
      </c>
      <c r="D52" s="112">
        <f>SUM(D41:D51)</f>
        <v>1459332524</v>
      </c>
      <c r="E52" s="111">
        <f t="shared" si="5"/>
        <v>170706803</v>
      </c>
      <c r="F52" s="113">
        <f t="shared" si="6"/>
        <v>0.13247198175396346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67306294</v>
      </c>
      <c r="D57" s="97">
        <v>57283298</v>
      </c>
      <c r="E57" s="97">
        <f t="shared" ref="E57:E68" si="7">D57-C57</f>
        <v>-10022996</v>
      </c>
      <c r="F57" s="98">
        <f t="shared" ref="F57:F68" si="8">IF(C57=0,0,E57/C57)</f>
        <v>-0.14891617714087779</v>
      </c>
    </row>
    <row r="58" spans="1:6" ht="18" customHeight="1" x14ac:dyDescent="0.25">
      <c r="A58" s="99">
        <v>2</v>
      </c>
      <c r="B58" s="100" t="s">
        <v>113</v>
      </c>
      <c r="C58" s="97">
        <v>9172775</v>
      </c>
      <c r="D58" s="97">
        <v>8092454</v>
      </c>
      <c r="E58" s="97">
        <f t="shared" si="7"/>
        <v>-1080321</v>
      </c>
      <c r="F58" s="98">
        <f t="shared" si="8"/>
        <v>-0.11777471920983562</v>
      </c>
    </row>
    <row r="59" spans="1:6" ht="18" customHeight="1" x14ac:dyDescent="0.25">
      <c r="A59" s="99">
        <v>3</v>
      </c>
      <c r="B59" s="100" t="s">
        <v>114</v>
      </c>
      <c r="C59" s="97">
        <v>7374370</v>
      </c>
      <c r="D59" s="97">
        <v>9077783</v>
      </c>
      <c r="E59" s="97">
        <f t="shared" si="7"/>
        <v>1703413</v>
      </c>
      <c r="F59" s="98">
        <f t="shared" si="8"/>
        <v>0.23099098634866436</v>
      </c>
    </row>
    <row r="60" spans="1:6" ht="18" customHeight="1" x14ac:dyDescent="0.25">
      <c r="A60" s="99">
        <v>4</v>
      </c>
      <c r="B60" s="100" t="s">
        <v>115</v>
      </c>
      <c r="C60" s="97">
        <v>4340568</v>
      </c>
      <c r="D60" s="97">
        <v>4356150</v>
      </c>
      <c r="E60" s="97">
        <f t="shared" si="7"/>
        <v>15582</v>
      </c>
      <c r="F60" s="98">
        <f t="shared" si="8"/>
        <v>3.5898527565977542E-3</v>
      </c>
    </row>
    <row r="61" spans="1:6" ht="18" customHeight="1" x14ac:dyDescent="0.25">
      <c r="A61" s="99">
        <v>5</v>
      </c>
      <c r="B61" s="100" t="s">
        <v>116</v>
      </c>
      <c r="C61" s="97">
        <v>59886</v>
      </c>
      <c r="D61" s="97">
        <v>248767</v>
      </c>
      <c r="E61" s="97">
        <f t="shared" si="7"/>
        <v>188881</v>
      </c>
      <c r="F61" s="98">
        <f t="shared" si="8"/>
        <v>3.1540092843068499</v>
      </c>
    </row>
    <row r="62" spans="1:6" ht="18" customHeight="1" x14ac:dyDescent="0.25">
      <c r="A62" s="99">
        <v>6</v>
      </c>
      <c r="B62" s="100" t="s">
        <v>117</v>
      </c>
      <c r="C62" s="97">
        <v>22100605</v>
      </c>
      <c r="D62" s="97">
        <v>21674312</v>
      </c>
      <c r="E62" s="97">
        <f t="shared" si="7"/>
        <v>-426293</v>
      </c>
      <c r="F62" s="98">
        <f t="shared" si="8"/>
        <v>-1.9288747977713731E-2</v>
      </c>
    </row>
    <row r="63" spans="1:6" ht="18" customHeight="1" x14ac:dyDescent="0.25">
      <c r="A63" s="99">
        <v>7</v>
      </c>
      <c r="B63" s="100" t="s">
        <v>118</v>
      </c>
      <c r="C63" s="97">
        <v>53547197</v>
      </c>
      <c r="D63" s="97">
        <v>53256179</v>
      </c>
      <c r="E63" s="97">
        <f t="shared" si="7"/>
        <v>-291018</v>
      </c>
      <c r="F63" s="98">
        <f t="shared" si="8"/>
        <v>-5.4347942806418047E-3</v>
      </c>
    </row>
    <row r="64" spans="1:6" ht="18" customHeight="1" x14ac:dyDescent="0.25">
      <c r="A64" s="99">
        <v>8</v>
      </c>
      <c r="B64" s="100" t="s">
        <v>119</v>
      </c>
      <c r="C64" s="97">
        <v>3131492</v>
      </c>
      <c r="D64" s="97">
        <v>5608201</v>
      </c>
      <c r="E64" s="97">
        <f t="shared" si="7"/>
        <v>2476709</v>
      </c>
      <c r="F64" s="98">
        <f t="shared" si="8"/>
        <v>0.79090382475829413</v>
      </c>
    </row>
    <row r="65" spans="1:6" ht="18" customHeight="1" x14ac:dyDescent="0.25">
      <c r="A65" s="99">
        <v>9</v>
      </c>
      <c r="B65" s="100" t="s">
        <v>120</v>
      </c>
      <c r="C65" s="97">
        <v>577992</v>
      </c>
      <c r="D65" s="97">
        <v>237449</v>
      </c>
      <c r="E65" s="97">
        <f t="shared" si="7"/>
        <v>-340543</v>
      </c>
      <c r="F65" s="98">
        <f t="shared" si="8"/>
        <v>-0.58918289526498635</v>
      </c>
    </row>
    <row r="66" spans="1:6" ht="18" customHeight="1" x14ac:dyDescent="0.25">
      <c r="A66" s="99">
        <v>10</v>
      </c>
      <c r="B66" s="100" t="s">
        <v>121</v>
      </c>
      <c r="C66" s="97">
        <v>1142274</v>
      </c>
      <c r="D66" s="97">
        <v>0</v>
      </c>
      <c r="E66" s="97">
        <f t="shared" si="7"/>
        <v>-1142274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188215</v>
      </c>
      <c r="E67" s="97">
        <f t="shared" si="7"/>
        <v>188215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168753453</v>
      </c>
      <c r="D68" s="103">
        <f>SUM(D57:D67)</f>
        <v>160022808</v>
      </c>
      <c r="E68" s="103">
        <f t="shared" si="7"/>
        <v>-8730645</v>
      </c>
      <c r="F68" s="104">
        <f t="shared" si="8"/>
        <v>-5.1736096920043467E-2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22351254</v>
      </c>
      <c r="D70" s="97">
        <v>30140662</v>
      </c>
      <c r="E70" s="97">
        <f t="shared" ref="E70:E81" si="9">D70-C70</f>
        <v>7789408</v>
      </c>
      <c r="F70" s="98">
        <f t="shared" ref="F70:F81" si="10">IF(C70=0,0,E70/C70)</f>
        <v>0.34849982018905962</v>
      </c>
    </row>
    <row r="71" spans="1:6" ht="18" customHeight="1" x14ac:dyDescent="0.25">
      <c r="A71" s="99">
        <v>2</v>
      </c>
      <c r="B71" s="100" t="s">
        <v>113</v>
      </c>
      <c r="C71" s="97">
        <v>3654965</v>
      </c>
      <c r="D71" s="97">
        <v>5675116</v>
      </c>
      <c r="E71" s="97">
        <f t="shared" si="9"/>
        <v>2020151</v>
      </c>
      <c r="F71" s="98">
        <f t="shared" si="10"/>
        <v>0.55271418467755506</v>
      </c>
    </row>
    <row r="72" spans="1:6" ht="18" customHeight="1" x14ac:dyDescent="0.25">
      <c r="A72" s="99">
        <v>3</v>
      </c>
      <c r="B72" s="100" t="s">
        <v>114</v>
      </c>
      <c r="C72" s="97">
        <v>3075188</v>
      </c>
      <c r="D72" s="97">
        <v>6179165</v>
      </c>
      <c r="E72" s="97">
        <f t="shared" si="9"/>
        <v>3103977</v>
      </c>
      <c r="F72" s="98">
        <f t="shared" si="10"/>
        <v>1.0093617040649223</v>
      </c>
    </row>
    <row r="73" spans="1:6" ht="18" customHeight="1" x14ac:dyDescent="0.25">
      <c r="A73" s="99">
        <v>4</v>
      </c>
      <c r="B73" s="100" t="s">
        <v>115</v>
      </c>
      <c r="C73" s="97">
        <v>6710106</v>
      </c>
      <c r="D73" s="97">
        <v>8465939</v>
      </c>
      <c r="E73" s="97">
        <f t="shared" si="9"/>
        <v>1755833</v>
      </c>
      <c r="F73" s="98">
        <f t="shared" si="10"/>
        <v>0.26166993487137163</v>
      </c>
    </row>
    <row r="74" spans="1:6" ht="18" customHeight="1" x14ac:dyDescent="0.25">
      <c r="A74" s="99">
        <v>5</v>
      </c>
      <c r="B74" s="100" t="s">
        <v>116</v>
      </c>
      <c r="C74" s="97">
        <v>50252</v>
      </c>
      <c r="D74" s="97">
        <v>123693</v>
      </c>
      <c r="E74" s="97">
        <f t="shared" si="9"/>
        <v>73441</v>
      </c>
      <c r="F74" s="98">
        <f t="shared" si="10"/>
        <v>1.461454270476797</v>
      </c>
    </row>
    <row r="75" spans="1:6" ht="18" customHeight="1" x14ac:dyDescent="0.25">
      <c r="A75" s="99">
        <v>6</v>
      </c>
      <c r="B75" s="100" t="s">
        <v>117</v>
      </c>
      <c r="C75" s="97">
        <v>56391375</v>
      </c>
      <c r="D75" s="97">
        <v>62112546</v>
      </c>
      <c r="E75" s="97">
        <f t="shared" si="9"/>
        <v>5721171</v>
      </c>
      <c r="F75" s="98">
        <f t="shared" si="10"/>
        <v>0.10145471714424413</v>
      </c>
    </row>
    <row r="76" spans="1:6" ht="18" customHeight="1" x14ac:dyDescent="0.25">
      <c r="A76" s="99">
        <v>7</v>
      </c>
      <c r="B76" s="100" t="s">
        <v>118</v>
      </c>
      <c r="C76" s="97">
        <v>126633750</v>
      </c>
      <c r="D76" s="97">
        <v>146624616</v>
      </c>
      <c r="E76" s="97">
        <f t="shared" si="9"/>
        <v>19990866</v>
      </c>
      <c r="F76" s="98">
        <f t="shared" si="10"/>
        <v>0.15786365009328082</v>
      </c>
    </row>
    <row r="77" spans="1:6" ht="18" customHeight="1" x14ac:dyDescent="0.25">
      <c r="A77" s="99">
        <v>8</v>
      </c>
      <c r="B77" s="100" t="s">
        <v>119</v>
      </c>
      <c r="C77" s="97">
        <v>4920568</v>
      </c>
      <c r="D77" s="97">
        <v>5978543</v>
      </c>
      <c r="E77" s="97">
        <f t="shared" si="9"/>
        <v>1057975</v>
      </c>
      <c r="F77" s="98">
        <f t="shared" si="10"/>
        <v>0.21501074672680065</v>
      </c>
    </row>
    <row r="78" spans="1:6" ht="18" customHeight="1" x14ac:dyDescent="0.25">
      <c r="A78" s="99">
        <v>9</v>
      </c>
      <c r="B78" s="100" t="s">
        <v>120</v>
      </c>
      <c r="C78" s="97">
        <v>1586852</v>
      </c>
      <c r="D78" s="97">
        <v>1800846</v>
      </c>
      <c r="E78" s="97">
        <f t="shared" si="9"/>
        <v>213994</v>
      </c>
      <c r="F78" s="98">
        <f t="shared" si="10"/>
        <v>0.13485441616483454</v>
      </c>
    </row>
    <row r="79" spans="1:6" ht="18" customHeight="1" x14ac:dyDescent="0.25">
      <c r="A79" s="99">
        <v>10</v>
      </c>
      <c r="B79" s="100" t="s">
        <v>121</v>
      </c>
      <c r="C79" s="97">
        <v>859141</v>
      </c>
      <c r="D79" s="97">
        <v>0</v>
      </c>
      <c r="E79" s="97">
        <f t="shared" si="9"/>
        <v>-859141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149887</v>
      </c>
      <c r="E80" s="97">
        <f t="shared" si="9"/>
        <v>149887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226233451</v>
      </c>
      <c r="D81" s="103">
        <f>SUM(D70:D80)</f>
        <v>267251013</v>
      </c>
      <c r="E81" s="103">
        <f t="shared" si="9"/>
        <v>41017562</v>
      </c>
      <c r="F81" s="104">
        <f t="shared" si="10"/>
        <v>0.18130635332084466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89657548</v>
      </c>
      <c r="D84" s="103">
        <f t="shared" si="11"/>
        <v>87423960</v>
      </c>
      <c r="E84" s="103">
        <f t="shared" ref="E84:E95" si="12">D84-C84</f>
        <v>-2233588</v>
      </c>
      <c r="F84" s="104">
        <f t="shared" ref="F84:F95" si="13">IF(C84=0,0,E84/C84)</f>
        <v>-2.4912436820154839E-2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12827740</v>
      </c>
      <c r="D85" s="103">
        <f t="shared" si="11"/>
        <v>13767570</v>
      </c>
      <c r="E85" s="103">
        <f t="shared" si="12"/>
        <v>939830</v>
      </c>
      <c r="F85" s="104">
        <f t="shared" si="13"/>
        <v>7.3265438806835809E-2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10449558</v>
      </c>
      <c r="D86" s="103">
        <f t="shared" si="11"/>
        <v>15256948</v>
      </c>
      <c r="E86" s="103">
        <f t="shared" si="12"/>
        <v>4807390</v>
      </c>
      <c r="F86" s="104">
        <f t="shared" si="13"/>
        <v>0.46005677943507278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11050674</v>
      </c>
      <c r="D87" s="103">
        <f t="shared" si="11"/>
        <v>12822089</v>
      </c>
      <c r="E87" s="103">
        <f t="shared" si="12"/>
        <v>1771415</v>
      </c>
      <c r="F87" s="104">
        <f t="shared" si="13"/>
        <v>0.16029927224348486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110138</v>
      </c>
      <c r="D88" s="103">
        <f t="shared" si="11"/>
        <v>372460</v>
      </c>
      <c r="E88" s="103">
        <f t="shared" si="12"/>
        <v>262322</v>
      </c>
      <c r="F88" s="104">
        <f t="shared" si="13"/>
        <v>2.3817574315858288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78491980</v>
      </c>
      <c r="D89" s="103">
        <f t="shared" si="11"/>
        <v>83786858</v>
      </c>
      <c r="E89" s="103">
        <f t="shared" si="12"/>
        <v>5294878</v>
      </c>
      <c r="F89" s="104">
        <f t="shared" si="13"/>
        <v>6.745756700238674E-2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180180947</v>
      </c>
      <c r="D90" s="103">
        <f t="shared" si="11"/>
        <v>199880795</v>
      </c>
      <c r="E90" s="103">
        <f t="shared" si="12"/>
        <v>19699848</v>
      </c>
      <c r="F90" s="104">
        <f t="shared" si="13"/>
        <v>0.10933369109221076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8052060</v>
      </c>
      <c r="D91" s="103">
        <f t="shared" si="11"/>
        <v>11586744</v>
      </c>
      <c r="E91" s="103">
        <f t="shared" si="12"/>
        <v>3534684</v>
      </c>
      <c r="F91" s="104">
        <f t="shared" si="13"/>
        <v>0.43897884516508817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2164844</v>
      </c>
      <c r="D92" s="103">
        <f t="shared" si="11"/>
        <v>2038295</v>
      </c>
      <c r="E92" s="103">
        <f t="shared" si="12"/>
        <v>-126549</v>
      </c>
      <c r="F92" s="104">
        <f t="shared" si="13"/>
        <v>-5.8456406096697958E-2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2001415</v>
      </c>
      <c r="D93" s="103">
        <f t="shared" si="11"/>
        <v>0</v>
      </c>
      <c r="E93" s="103">
        <f t="shared" si="12"/>
        <v>-2001415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338102</v>
      </c>
      <c r="E94" s="103">
        <f t="shared" si="12"/>
        <v>338102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394986904</v>
      </c>
      <c r="D95" s="112">
        <f>SUM(D84:D94)</f>
        <v>427273821</v>
      </c>
      <c r="E95" s="112">
        <f t="shared" si="12"/>
        <v>32286917</v>
      </c>
      <c r="F95" s="113">
        <f t="shared" si="13"/>
        <v>8.1741740480590713E-2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4696</v>
      </c>
      <c r="D100" s="117">
        <v>4542</v>
      </c>
      <c r="E100" s="117">
        <f t="shared" ref="E100:E111" si="14">D100-C100</f>
        <v>-154</v>
      </c>
      <c r="F100" s="98">
        <f t="shared" ref="F100:F111" si="15">IF(C100=0,0,E100/C100)</f>
        <v>-3.2793867120954001E-2</v>
      </c>
    </row>
    <row r="101" spans="1:6" ht="18" customHeight="1" x14ac:dyDescent="0.25">
      <c r="A101" s="99">
        <v>2</v>
      </c>
      <c r="B101" s="100" t="s">
        <v>113</v>
      </c>
      <c r="C101" s="117">
        <v>686</v>
      </c>
      <c r="D101" s="117">
        <v>709</v>
      </c>
      <c r="E101" s="117">
        <f t="shared" si="14"/>
        <v>23</v>
      </c>
      <c r="F101" s="98">
        <f t="shared" si="15"/>
        <v>3.3527696793002916E-2</v>
      </c>
    </row>
    <row r="102" spans="1:6" ht="18" customHeight="1" x14ac:dyDescent="0.25">
      <c r="A102" s="99">
        <v>3</v>
      </c>
      <c r="B102" s="100" t="s">
        <v>114</v>
      </c>
      <c r="C102" s="117">
        <v>1434</v>
      </c>
      <c r="D102" s="117">
        <v>1867</v>
      </c>
      <c r="E102" s="117">
        <f t="shared" si="14"/>
        <v>433</v>
      </c>
      <c r="F102" s="98">
        <f t="shared" si="15"/>
        <v>0.301952580195258</v>
      </c>
    </row>
    <row r="103" spans="1:6" ht="18" customHeight="1" x14ac:dyDescent="0.25">
      <c r="A103" s="99">
        <v>4</v>
      </c>
      <c r="B103" s="100" t="s">
        <v>115</v>
      </c>
      <c r="C103" s="117">
        <v>1023</v>
      </c>
      <c r="D103" s="117">
        <v>1172</v>
      </c>
      <c r="E103" s="117">
        <f t="shared" si="14"/>
        <v>149</v>
      </c>
      <c r="F103" s="98">
        <f t="shared" si="15"/>
        <v>0.14565004887585534</v>
      </c>
    </row>
    <row r="104" spans="1:6" ht="18" customHeight="1" x14ac:dyDescent="0.25">
      <c r="A104" s="99">
        <v>5</v>
      </c>
      <c r="B104" s="100" t="s">
        <v>116</v>
      </c>
      <c r="C104" s="117">
        <v>13</v>
      </c>
      <c r="D104" s="117">
        <v>16</v>
      </c>
      <c r="E104" s="117">
        <f t="shared" si="14"/>
        <v>3</v>
      </c>
      <c r="F104" s="98">
        <f t="shared" si="15"/>
        <v>0.23076923076923078</v>
      </c>
    </row>
    <row r="105" spans="1:6" ht="18" customHeight="1" x14ac:dyDescent="0.25">
      <c r="A105" s="99">
        <v>6</v>
      </c>
      <c r="B105" s="100" t="s">
        <v>117</v>
      </c>
      <c r="C105" s="117">
        <v>1504</v>
      </c>
      <c r="D105" s="117">
        <v>1551</v>
      </c>
      <c r="E105" s="117">
        <f t="shared" si="14"/>
        <v>47</v>
      </c>
      <c r="F105" s="98">
        <f t="shared" si="15"/>
        <v>3.125E-2</v>
      </c>
    </row>
    <row r="106" spans="1:6" ht="18" customHeight="1" x14ac:dyDescent="0.25">
      <c r="A106" s="99">
        <v>7</v>
      </c>
      <c r="B106" s="100" t="s">
        <v>118</v>
      </c>
      <c r="C106" s="117">
        <v>4703</v>
      </c>
      <c r="D106" s="117">
        <v>4420</v>
      </c>
      <c r="E106" s="117">
        <f t="shared" si="14"/>
        <v>-283</v>
      </c>
      <c r="F106" s="98">
        <f t="shared" si="15"/>
        <v>-6.0174356793536041E-2</v>
      </c>
    </row>
    <row r="107" spans="1:6" ht="18" customHeight="1" x14ac:dyDescent="0.25">
      <c r="A107" s="99">
        <v>8</v>
      </c>
      <c r="B107" s="100" t="s">
        <v>119</v>
      </c>
      <c r="C107" s="117">
        <v>90</v>
      </c>
      <c r="D107" s="117">
        <v>76</v>
      </c>
      <c r="E107" s="117">
        <f t="shared" si="14"/>
        <v>-14</v>
      </c>
      <c r="F107" s="98">
        <f t="shared" si="15"/>
        <v>-0.15555555555555556</v>
      </c>
    </row>
    <row r="108" spans="1:6" ht="18" customHeight="1" x14ac:dyDescent="0.25">
      <c r="A108" s="99">
        <v>9</v>
      </c>
      <c r="B108" s="100" t="s">
        <v>120</v>
      </c>
      <c r="C108" s="117">
        <v>490</v>
      </c>
      <c r="D108" s="117">
        <v>479</v>
      </c>
      <c r="E108" s="117">
        <f t="shared" si="14"/>
        <v>-11</v>
      </c>
      <c r="F108" s="98">
        <f t="shared" si="15"/>
        <v>-2.2448979591836733E-2</v>
      </c>
    </row>
    <row r="109" spans="1:6" ht="18" customHeight="1" x14ac:dyDescent="0.25">
      <c r="A109" s="99">
        <v>10</v>
      </c>
      <c r="B109" s="100" t="s">
        <v>121</v>
      </c>
      <c r="C109" s="117">
        <v>450</v>
      </c>
      <c r="D109" s="117">
        <v>0</v>
      </c>
      <c r="E109" s="117">
        <f t="shared" si="14"/>
        <v>-450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108</v>
      </c>
      <c r="E110" s="117">
        <f t="shared" si="14"/>
        <v>108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15089</v>
      </c>
      <c r="D111" s="118">
        <f>SUM(D100:D110)</f>
        <v>14940</v>
      </c>
      <c r="E111" s="118">
        <f t="shared" si="14"/>
        <v>-149</v>
      </c>
      <c r="F111" s="104">
        <f t="shared" si="15"/>
        <v>-9.8747431904036061E-3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31568</v>
      </c>
      <c r="D113" s="117">
        <v>28672</v>
      </c>
      <c r="E113" s="117">
        <f t="shared" ref="E113:E124" si="16">D113-C113</f>
        <v>-2896</v>
      </c>
      <c r="F113" s="98">
        <f t="shared" ref="F113:F124" si="17">IF(C113=0,0,E113/C113)</f>
        <v>-9.1738469336036493E-2</v>
      </c>
    </row>
    <row r="114" spans="1:6" ht="18" customHeight="1" x14ac:dyDescent="0.25">
      <c r="A114" s="99">
        <v>2</v>
      </c>
      <c r="B114" s="100" t="s">
        <v>113</v>
      </c>
      <c r="C114" s="117">
        <v>4324</v>
      </c>
      <c r="D114" s="117">
        <v>4655</v>
      </c>
      <c r="E114" s="117">
        <f t="shared" si="16"/>
        <v>331</v>
      </c>
      <c r="F114" s="98">
        <f t="shared" si="17"/>
        <v>7.6549491211840889E-2</v>
      </c>
    </row>
    <row r="115" spans="1:6" ht="18" customHeight="1" x14ac:dyDescent="0.25">
      <c r="A115" s="99">
        <v>3</v>
      </c>
      <c r="B115" s="100" t="s">
        <v>114</v>
      </c>
      <c r="C115" s="117">
        <v>7438</v>
      </c>
      <c r="D115" s="117">
        <v>9780</v>
      </c>
      <c r="E115" s="117">
        <f t="shared" si="16"/>
        <v>2342</v>
      </c>
      <c r="F115" s="98">
        <f t="shared" si="17"/>
        <v>0.31486958859908576</v>
      </c>
    </row>
    <row r="116" spans="1:6" ht="18" customHeight="1" x14ac:dyDescent="0.25">
      <c r="A116" s="99">
        <v>4</v>
      </c>
      <c r="B116" s="100" t="s">
        <v>115</v>
      </c>
      <c r="C116" s="117">
        <v>3536</v>
      </c>
      <c r="D116" s="117">
        <v>4106</v>
      </c>
      <c r="E116" s="117">
        <f t="shared" si="16"/>
        <v>570</v>
      </c>
      <c r="F116" s="98">
        <f t="shared" si="17"/>
        <v>0.16119909502262444</v>
      </c>
    </row>
    <row r="117" spans="1:6" ht="18" customHeight="1" x14ac:dyDescent="0.25">
      <c r="A117" s="99">
        <v>5</v>
      </c>
      <c r="B117" s="100" t="s">
        <v>116</v>
      </c>
      <c r="C117" s="117">
        <v>51</v>
      </c>
      <c r="D117" s="117">
        <v>65</v>
      </c>
      <c r="E117" s="117">
        <f t="shared" si="16"/>
        <v>14</v>
      </c>
      <c r="F117" s="98">
        <f t="shared" si="17"/>
        <v>0.27450980392156865</v>
      </c>
    </row>
    <row r="118" spans="1:6" ht="18" customHeight="1" x14ac:dyDescent="0.25">
      <c r="A118" s="99">
        <v>6</v>
      </c>
      <c r="B118" s="100" t="s">
        <v>117</v>
      </c>
      <c r="C118" s="117">
        <v>5428</v>
      </c>
      <c r="D118" s="117">
        <v>6616</v>
      </c>
      <c r="E118" s="117">
        <f t="shared" si="16"/>
        <v>1188</v>
      </c>
      <c r="F118" s="98">
        <f t="shared" si="17"/>
        <v>0.21886514369933677</v>
      </c>
    </row>
    <row r="119" spans="1:6" ht="18" customHeight="1" x14ac:dyDescent="0.25">
      <c r="A119" s="99">
        <v>7</v>
      </c>
      <c r="B119" s="100" t="s">
        <v>118</v>
      </c>
      <c r="C119" s="117">
        <v>18310</v>
      </c>
      <c r="D119" s="117">
        <v>17540</v>
      </c>
      <c r="E119" s="117">
        <f t="shared" si="16"/>
        <v>-770</v>
      </c>
      <c r="F119" s="98">
        <f t="shared" si="17"/>
        <v>-4.2053522665210265E-2</v>
      </c>
    </row>
    <row r="120" spans="1:6" ht="18" customHeight="1" x14ac:dyDescent="0.25">
      <c r="A120" s="99">
        <v>8</v>
      </c>
      <c r="B120" s="100" t="s">
        <v>119</v>
      </c>
      <c r="C120" s="117">
        <v>392</v>
      </c>
      <c r="D120" s="117">
        <v>574</v>
      </c>
      <c r="E120" s="117">
        <f t="shared" si="16"/>
        <v>182</v>
      </c>
      <c r="F120" s="98">
        <f t="shared" si="17"/>
        <v>0.4642857142857143</v>
      </c>
    </row>
    <row r="121" spans="1:6" ht="18" customHeight="1" x14ac:dyDescent="0.25">
      <c r="A121" s="99">
        <v>9</v>
      </c>
      <c r="B121" s="100" t="s">
        <v>120</v>
      </c>
      <c r="C121" s="117">
        <v>1826</v>
      </c>
      <c r="D121" s="117">
        <v>1752</v>
      </c>
      <c r="E121" s="117">
        <f t="shared" si="16"/>
        <v>-74</v>
      </c>
      <c r="F121" s="98">
        <f t="shared" si="17"/>
        <v>-4.0525739320920046E-2</v>
      </c>
    </row>
    <row r="122" spans="1:6" ht="18" customHeight="1" x14ac:dyDescent="0.25">
      <c r="A122" s="99">
        <v>10</v>
      </c>
      <c r="B122" s="100" t="s">
        <v>121</v>
      </c>
      <c r="C122" s="117">
        <v>3352</v>
      </c>
      <c r="D122" s="117">
        <v>0</v>
      </c>
      <c r="E122" s="117">
        <f t="shared" si="16"/>
        <v>-3352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682</v>
      </c>
      <c r="E123" s="117">
        <f t="shared" si="16"/>
        <v>682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76225</v>
      </c>
      <c r="D124" s="118">
        <f>SUM(D113:D123)</f>
        <v>74442</v>
      </c>
      <c r="E124" s="118">
        <f t="shared" si="16"/>
        <v>-1783</v>
      </c>
      <c r="F124" s="104">
        <f t="shared" si="17"/>
        <v>-2.3391275828140375E-2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56805</v>
      </c>
      <c r="D126" s="117">
        <v>67412</v>
      </c>
      <c r="E126" s="117">
        <f t="shared" ref="E126:E137" si="18">D126-C126</f>
        <v>10607</v>
      </c>
      <c r="F126" s="98">
        <f t="shared" ref="F126:F137" si="19">IF(C126=0,0,E126/C126)</f>
        <v>0.18672652055276825</v>
      </c>
    </row>
    <row r="127" spans="1:6" ht="18" customHeight="1" x14ac:dyDescent="0.25">
      <c r="A127" s="99">
        <v>2</v>
      </c>
      <c r="B127" s="100" t="s">
        <v>113</v>
      </c>
      <c r="C127" s="117">
        <v>9967</v>
      </c>
      <c r="D127" s="117">
        <v>12540</v>
      </c>
      <c r="E127" s="117">
        <f t="shared" si="18"/>
        <v>2573</v>
      </c>
      <c r="F127" s="98">
        <f t="shared" si="19"/>
        <v>0.2581519012742049</v>
      </c>
    </row>
    <row r="128" spans="1:6" ht="18" customHeight="1" x14ac:dyDescent="0.25">
      <c r="A128" s="99">
        <v>3</v>
      </c>
      <c r="B128" s="100" t="s">
        <v>114</v>
      </c>
      <c r="C128" s="117">
        <v>8600</v>
      </c>
      <c r="D128" s="117">
        <v>16046</v>
      </c>
      <c r="E128" s="117">
        <f t="shared" si="18"/>
        <v>7446</v>
      </c>
      <c r="F128" s="98">
        <f t="shared" si="19"/>
        <v>0.86581395348837209</v>
      </c>
    </row>
    <row r="129" spans="1:6" ht="18" customHeight="1" x14ac:dyDescent="0.25">
      <c r="A129" s="99">
        <v>4</v>
      </c>
      <c r="B129" s="100" t="s">
        <v>115</v>
      </c>
      <c r="C129" s="117">
        <v>25453</v>
      </c>
      <c r="D129" s="117">
        <v>28081</v>
      </c>
      <c r="E129" s="117">
        <f t="shared" si="18"/>
        <v>2628</v>
      </c>
      <c r="F129" s="98">
        <f t="shared" si="19"/>
        <v>0.10324912583978313</v>
      </c>
    </row>
    <row r="130" spans="1:6" ht="18" customHeight="1" x14ac:dyDescent="0.25">
      <c r="A130" s="99">
        <v>5</v>
      </c>
      <c r="B130" s="100" t="s">
        <v>116</v>
      </c>
      <c r="C130" s="117">
        <v>193</v>
      </c>
      <c r="D130" s="117">
        <v>275</v>
      </c>
      <c r="E130" s="117">
        <f t="shared" si="18"/>
        <v>82</v>
      </c>
      <c r="F130" s="98">
        <f t="shared" si="19"/>
        <v>0.42487046632124353</v>
      </c>
    </row>
    <row r="131" spans="1:6" ht="18" customHeight="1" x14ac:dyDescent="0.25">
      <c r="A131" s="99">
        <v>6</v>
      </c>
      <c r="B131" s="100" t="s">
        <v>117</v>
      </c>
      <c r="C131" s="117">
        <v>50910</v>
      </c>
      <c r="D131" s="117">
        <v>53739</v>
      </c>
      <c r="E131" s="117">
        <f t="shared" si="18"/>
        <v>2829</v>
      </c>
      <c r="F131" s="98">
        <f t="shared" si="19"/>
        <v>5.5568650559811431E-2</v>
      </c>
    </row>
    <row r="132" spans="1:6" ht="18" customHeight="1" x14ac:dyDescent="0.25">
      <c r="A132" s="99">
        <v>7</v>
      </c>
      <c r="B132" s="100" t="s">
        <v>118</v>
      </c>
      <c r="C132" s="117">
        <v>116835</v>
      </c>
      <c r="D132" s="117">
        <v>135115</v>
      </c>
      <c r="E132" s="117">
        <f t="shared" si="18"/>
        <v>18280</v>
      </c>
      <c r="F132" s="98">
        <f t="shared" si="19"/>
        <v>0.15645996490777592</v>
      </c>
    </row>
    <row r="133" spans="1:6" ht="18" customHeight="1" x14ac:dyDescent="0.25">
      <c r="A133" s="99">
        <v>8</v>
      </c>
      <c r="B133" s="100" t="s">
        <v>119</v>
      </c>
      <c r="C133" s="117">
        <v>2133</v>
      </c>
      <c r="D133" s="117">
        <v>2139</v>
      </c>
      <c r="E133" s="117">
        <f t="shared" si="18"/>
        <v>6</v>
      </c>
      <c r="F133" s="98">
        <f t="shared" si="19"/>
        <v>2.8129395218002813E-3</v>
      </c>
    </row>
    <row r="134" spans="1:6" ht="18" customHeight="1" x14ac:dyDescent="0.25">
      <c r="A134" s="99">
        <v>9</v>
      </c>
      <c r="B134" s="100" t="s">
        <v>120</v>
      </c>
      <c r="C134" s="117">
        <v>21820</v>
      </c>
      <c r="D134" s="117">
        <v>21844</v>
      </c>
      <c r="E134" s="117">
        <f t="shared" si="18"/>
        <v>24</v>
      </c>
      <c r="F134" s="98">
        <f t="shared" si="19"/>
        <v>1.0999083409715857E-3</v>
      </c>
    </row>
    <row r="135" spans="1:6" ht="18" customHeight="1" x14ac:dyDescent="0.25">
      <c r="A135" s="99">
        <v>10</v>
      </c>
      <c r="B135" s="100" t="s">
        <v>121</v>
      </c>
      <c r="C135" s="117">
        <v>5229</v>
      </c>
      <c r="D135" s="117">
        <v>0</v>
      </c>
      <c r="E135" s="117">
        <f t="shared" si="18"/>
        <v>-5229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912</v>
      </c>
      <c r="E136" s="117">
        <f t="shared" si="18"/>
        <v>912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297945</v>
      </c>
      <c r="D137" s="118">
        <f>SUM(D126:D136)</f>
        <v>338103</v>
      </c>
      <c r="E137" s="118">
        <f t="shared" si="18"/>
        <v>40158</v>
      </c>
      <c r="F137" s="104">
        <f t="shared" si="19"/>
        <v>0.13478326536776922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32349676</v>
      </c>
      <c r="D142" s="97">
        <v>37091351</v>
      </c>
      <c r="E142" s="97">
        <f t="shared" ref="E142:E153" si="20">D142-C142</f>
        <v>4741675</v>
      </c>
      <c r="F142" s="98">
        <f t="shared" ref="F142:F153" si="21">IF(C142=0,0,E142/C142)</f>
        <v>0.14657565658462854</v>
      </c>
    </row>
    <row r="143" spans="1:6" ht="18" customHeight="1" x14ac:dyDescent="0.25">
      <c r="A143" s="99">
        <v>2</v>
      </c>
      <c r="B143" s="100" t="s">
        <v>113</v>
      </c>
      <c r="C143" s="97">
        <v>5170727</v>
      </c>
      <c r="D143" s="97">
        <v>5785594</v>
      </c>
      <c r="E143" s="97">
        <f t="shared" si="20"/>
        <v>614867</v>
      </c>
      <c r="F143" s="98">
        <f t="shared" si="21"/>
        <v>0.11891306580293255</v>
      </c>
    </row>
    <row r="144" spans="1:6" ht="18" customHeight="1" x14ac:dyDescent="0.25">
      <c r="A144" s="99">
        <v>3</v>
      </c>
      <c r="B144" s="100" t="s">
        <v>114</v>
      </c>
      <c r="C144" s="97">
        <v>8397299</v>
      </c>
      <c r="D144" s="97">
        <v>17584243</v>
      </c>
      <c r="E144" s="97">
        <f t="shared" si="20"/>
        <v>9186944</v>
      </c>
      <c r="F144" s="98">
        <f t="shared" si="21"/>
        <v>1.0940355940642341</v>
      </c>
    </row>
    <row r="145" spans="1:6" ht="18" customHeight="1" x14ac:dyDescent="0.25">
      <c r="A145" s="99">
        <v>4</v>
      </c>
      <c r="B145" s="100" t="s">
        <v>115</v>
      </c>
      <c r="C145" s="97">
        <v>17878524</v>
      </c>
      <c r="D145" s="97">
        <v>21238306</v>
      </c>
      <c r="E145" s="97">
        <f t="shared" si="20"/>
        <v>3359782</v>
      </c>
      <c r="F145" s="98">
        <f t="shared" si="21"/>
        <v>0.18792278378237487</v>
      </c>
    </row>
    <row r="146" spans="1:6" ht="18" customHeight="1" x14ac:dyDescent="0.25">
      <c r="A146" s="99">
        <v>5</v>
      </c>
      <c r="B146" s="100" t="s">
        <v>116</v>
      </c>
      <c r="C146" s="97">
        <v>112774</v>
      </c>
      <c r="D146" s="97">
        <v>207024</v>
      </c>
      <c r="E146" s="97">
        <f t="shared" si="20"/>
        <v>94250</v>
      </c>
      <c r="F146" s="98">
        <f t="shared" si="21"/>
        <v>0.83574228102222148</v>
      </c>
    </row>
    <row r="147" spans="1:6" ht="18" customHeight="1" x14ac:dyDescent="0.25">
      <c r="A147" s="99">
        <v>6</v>
      </c>
      <c r="B147" s="100" t="s">
        <v>117</v>
      </c>
      <c r="C147" s="97">
        <v>21134791</v>
      </c>
      <c r="D147" s="97">
        <v>21242341</v>
      </c>
      <c r="E147" s="97">
        <f t="shared" si="20"/>
        <v>107550</v>
      </c>
      <c r="F147" s="98">
        <f t="shared" si="21"/>
        <v>5.0887657228311364E-3</v>
      </c>
    </row>
    <row r="148" spans="1:6" ht="18" customHeight="1" x14ac:dyDescent="0.25">
      <c r="A148" s="99">
        <v>7</v>
      </c>
      <c r="B148" s="100" t="s">
        <v>118</v>
      </c>
      <c r="C148" s="97">
        <v>38373558</v>
      </c>
      <c r="D148" s="97">
        <v>43030186</v>
      </c>
      <c r="E148" s="97">
        <f t="shared" si="20"/>
        <v>4656628</v>
      </c>
      <c r="F148" s="98">
        <f t="shared" si="21"/>
        <v>0.12134991495967093</v>
      </c>
    </row>
    <row r="149" spans="1:6" ht="18" customHeight="1" x14ac:dyDescent="0.25">
      <c r="A149" s="99">
        <v>8</v>
      </c>
      <c r="B149" s="100" t="s">
        <v>119</v>
      </c>
      <c r="C149" s="97">
        <v>2410876</v>
      </c>
      <c r="D149" s="97">
        <v>2601475</v>
      </c>
      <c r="E149" s="97">
        <f t="shared" si="20"/>
        <v>190599</v>
      </c>
      <c r="F149" s="98">
        <f t="shared" si="21"/>
        <v>7.9057985562094438E-2</v>
      </c>
    </row>
    <row r="150" spans="1:6" ht="18" customHeight="1" x14ac:dyDescent="0.25">
      <c r="A150" s="99">
        <v>9</v>
      </c>
      <c r="B150" s="100" t="s">
        <v>120</v>
      </c>
      <c r="C150" s="97">
        <v>22655991</v>
      </c>
      <c r="D150" s="97">
        <v>24740788</v>
      </c>
      <c r="E150" s="97">
        <f t="shared" si="20"/>
        <v>2084797</v>
      </c>
      <c r="F150" s="98">
        <f t="shared" si="21"/>
        <v>9.2019678150472434E-2</v>
      </c>
    </row>
    <row r="151" spans="1:6" ht="18" customHeight="1" x14ac:dyDescent="0.25">
      <c r="A151" s="99">
        <v>10</v>
      </c>
      <c r="B151" s="100" t="s">
        <v>121</v>
      </c>
      <c r="C151" s="97">
        <v>5784650</v>
      </c>
      <c r="D151" s="97">
        <v>0</v>
      </c>
      <c r="E151" s="97">
        <f t="shared" si="20"/>
        <v>-5784650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1050542</v>
      </c>
      <c r="E152" s="97">
        <f t="shared" si="20"/>
        <v>1050542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154268866</v>
      </c>
      <c r="D153" s="103">
        <f>SUM(D142:D152)</f>
        <v>174571850</v>
      </c>
      <c r="E153" s="103">
        <f t="shared" si="20"/>
        <v>20302984</v>
      </c>
      <c r="F153" s="104">
        <f t="shared" si="21"/>
        <v>0.1316077866288328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3089835</v>
      </c>
      <c r="D155" s="97">
        <v>5051103</v>
      </c>
      <c r="E155" s="97">
        <f t="shared" ref="E155:E166" si="22">D155-C155</f>
        <v>1961268</v>
      </c>
      <c r="F155" s="98">
        <f t="shared" ref="F155:F166" si="23">IF(C155=0,0,E155/C155)</f>
        <v>0.63474845744190223</v>
      </c>
    </row>
    <row r="156" spans="1:6" ht="18" customHeight="1" x14ac:dyDescent="0.25">
      <c r="A156" s="99">
        <v>2</v>
      </c>
      <c r="B156" s="100" t="s">
        <v>113</v>
      </c>
      <c r="C156" s="97">
        <v>570842</v>
      </c>
      <c r="D156" s="97">
        <v>812581</v>
      </c>
      <c r="E156" s="97">
        <f t="shared" si="22"/>
        <v>241739</v>
      </c>
      <c r="F156" s="98">
        <f t="shared" si="23"/>
        <v>0.42347795011579387</v>
      </c>
    </row>
    <row r="157" spans="1:6" ht="18" customHeight="1" x14ac:dyDescent="0.25">
      <c r="A157" s="99">
        <v>3</v>
      </c>
      <c r="B157" s="100" t="s">
        <v>114</v>
      </c>
      <c r="C157" s="97">
        <v>985938</v>
      </c>
      <c r="D157" s="97">
        <v>1949234</v>
      </c>
      <c r="E157" s="97">
        <f t="shared" si="22"/>
        <v>963296</v>
      </c>
      <c r="F157" s="98">
        <f t="shared" si="23"/>
        <v>0.97703506711375365</v>
      </c>
    </row>
    <row r="158" spans="1:6" ht="18" customHeight="1" x14ac:dyDescent="0.25">
      <c r="A158" s="99">
        <v>4</v>
      </c>
      <c r="B158" s="100" t="s">
        <v>115</v>
      </c>
      <c r="C158" s="97">
        <v>2512239</v>
      </c>
      <c r="D158" s="97">
        <v>2518915</v>
      </c>
      <c r="E158" s="97">
        <f t="shared" si="22"/>
        <v>6676</v>
      </c>
      <c r="F158" s="98">
        <f t="shared" si="23"/>
        <v>2.6573904791701744E-3</v>
      </c>
    </row>
    <row r="159" spans="1:6" ht="18" customHeight="1" x14ac:dyDescent="0.25">
      <c r="A159" s="99">
        <v>5</v>
      </c>
      <c r="B159" s="100" t="s">
        <v>116</v>
      </c>
      <c r="C159" s="97">
        <v>18972</v>
      </c>
      <c r="D159" s="97">
        <v>35329</v>
      </c>
      <c r="E159" s="97">
        <f t="shared" si="22"/>
        <v>16357</v>
      </c>
      <c r="F159" s="98">
        <f t="shared" si="23"/>
        <v>0.86216529622601734</v>
      </c>
    </row>
    <row r="160" spans="1:6" ht="18" customHeight="1" x14ac:dyDescent="0.25">
      <c r="A160" s="99">
        <v>6</v>
      </c>
      <c r="B160" s="100" t="s">
        <v>117</v>
      </c>
      <c r="C160" s="97">
        <v>12338704</v>
      </c>
      <c r="D160" s="97">
        <v>12073442</v>
      </c>
      <c r="E160" s="97">
        <f t="shared" si="22"/>
        <v>-265262</v>
      </c>
      <c r="F160" s="98">
        <f t="shared" si="23"/>
        <v>-2.1498368061994195E-2</v>
      </c>
    </row>
    <row r="161" spans="1:6" ht="18" customHeight="1" x14ac:dyDescent="0.25">
      <c r="A161" s="99">
        <v>7</v>
      </c>
      <c r="B161" s="100" t="s">
        <v>118</v>
      </c>
      <c r="C161" s="97">
        <v>18432466</v>
      </c>
      <c r="D161" s="97">
        <v>21115511</v>
      </c>
      <c r="E161" s="97">
        <f t="shared" si="22"/>
        <v>2683045</v>
      </c>
      <c r="F161" s="98">
        <f t="shared" si="23"/>
        <v>0.14556082729245234</v>
      </c>
    </row>
    <row r="162" spans="1:6" ht="18" customHeight="1" x14ac:dyDescent="0.25">
      <c r="A162" s="99">
        <v>8</v>
      </c>
      <c r="B162" s="100" t="s">
        <v>119</v>
      </c>
      <c r="C162" s="97">
        <v>1804853</v>
      </c>
      <c r="D162" s="97">
        <v>2048327</v>
      </c>
      <c r="E162" s="97">
        <f t="shared" si="22"/>
        <v>243474</v>
      </c>
      <c r="F162" s="98">
        <f t="shared" si="23"/>
        <v>0.13489962894485036</v>
      </c>
    </row>
    <row r="163" spans="1:6" ht="18" customHeight="1" x14ac:dyDescent="0.25">
      <c r="A163" s="99">
        <v>9</v>
      </c>
      <c r="B163" s="100" t="s">
        <v>120</v>
      </c>
      <c r="C163" s="97">
        <v>330799</v>
      </c>
      <c r="D163" s="97">
        <v>316351</v>
      </c>
      <c r="E163" s="97">
        <f t="shared" si="22"/>
        <v>-14448</v>
      </c>
      <c r="F163" s="98">
        <f t="shared" si="23"/>
        <v>-4.3676069153776163E-2</v>
      </c>
    </row>
    <row r="164" spans="1:6" ht="18" customHeight="1" x14ac:dyDescent="0.25">
      <c r="A164" s="99">
        <v>10</v>
      </c>
      <c r="B164" s="100" t="s">
        <v>121</v>
      </c>
      <c r="C164" s="97">
        <v>117310</v>
      </c>
      <c r="D164" s="97">
        <v>0</v>
      </c>
      <c r="E164" s="97">
        <f t="shared" si="22"/>
        <v>-117310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7607</v>
      </c>
      <c r="E165" s="97">
        <f t="shared" si="22"/>
        <v>7607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40201958</v>
      </c>
      <c r="D166" s="103">
        <f>SUM(D155:D165)</f>
        <v>45928400</v>
      </c>
      <c r="E166" s="103">
        <f t="shared" si="22"/>
        <v>5726442</v>
      </c>
      <c r="F166" s="104">
        <f t="shared" si="23"/>
        <v>0.1424418681299055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5336</v>
      </c>
      <c r="D168" s="117">
        <v>5512</v>
      </c>
      <c r="E168" s="117">
        <f t="shared" ref="E168:E179" si="24">D168-C168</f>
        <v>176</v>
      </c>
      <c r="F168" s="98">
        <f t="shared" ref="F168:F179" si="25">IF(C168=0,0,E168/C168)</f>
        <v>3.2983508245877063E-2</v>
      </c>
    </row>
    <row r="169" spans="1:6" ht="18" customHeight="1" x14ac:dyDescent="0.25">
      <c r="A169" s="99">
        <v>2</v>
      </c>
      <c r="B169" s="100" t="s">
        <v>113</v>
      </c>
      <c r="C169" s="117">
        <v>765</v>
      </c>
      <c r="D169" s="117">
        <v>846</v>
      </c>
      <c r="E169" s="117">
        <f t="shared" si="24"/>
        <v>81</v>
      </c>
      <c r="F169" s="98">
        <f t="shared" si="25"/>
        <v>0.10588235294117647</v>
      </c>
    </row>
    <row r="170" spans="1:6" ht="18" customHeight="1" x14ac:dyDescent="0.25">
      <c r="A170" s="99">
        <v>3</v>
      </c>
      <c r="B170" s="100" t="s">
        <v>114</v>
      </c>
      <c r="C170" s="117">
        <v>2116</v>
      </c>
      <c r="D170" s="117">
        <v>4001</v>
      </c>
      <c r="E170" s="117">
        <f t="shared" si="24"/>
        <v>1885</v>
      </c>
      <c r="F170" s="98">
        <f t="shared" si="25"/>
        <v>0.89083175803402648</v>
      </c>
    </row>
    <row r="171" spans="1:6" ht="18" customHeight="1" x14ac:dyDescent="0.25">
      <c r="A171" s="99">
        <v>4</v>
      </c>
      <c r="B171" s="100" t="s">
        <v>115</v>
      </c>
      <c r="C171" s="117">
        <v>7890</v>
      </c>
      <c r="D171" s="117">
        <v>8088</v>
      </c>
      <c r="E171" s="117">
        <f t="shared" si="24"/>
        <v>198</v>
      </c>
      <c r="F171" s="98">
        <f t="shared" si="25"/>
        <v>2.5095057034220533E-2</v>
      </c>
    </row>
    <row r="172" spans="1:6" ht="18" customHeight="1" x14ac:dyDescent="0.25">
      <c r="A172" s="99">
        <v>5</v>
      </c>
      <c r="B172" s="100" t="s">
        <v>116</v>
      </c>
      <c r="C172" s="117">
        <v>46</v>
      </c>
      <c r="D172" s="117">
        <v>57</v>
      </c>
      <c r="E172" s="117">
        <f t="shared" si="24"/>
        <v>11</v>
      </c>
      <c r="F172" s="98">
        <f t="shared" si="25"/>
        <v>0.2391304347826087</v>
      </c>
    </row>
    <row r="173" spans="1:6" ht="18" customHeight="1" x14ac:dyDescent="0.25">
      <c r="A173" s="99">
        <v>6</v>
      </c>
      <c r="B173" s="100" t="s">
        <v>117</v>
      </c>
      <c r="C173" s="117">
        <v>4877</v>
      </c>
      <c r="D173" s="117">
        <v>4793</v>
      </c>
      <c r="E173" s="117">
        <f t="shared" si="24"/>
        <v>-84</v>
      </c>
      <c r="F173" s="98">
        <f t="shared" si="25"/>
        <v>-1.7223703096165676E-2</v>
      </c>
    </row>
    <row r="174" spans="1:6" ht="18" customHeight="1" x14ac:dyDescent="0.25">
      <c r="A174" s="99">
        <v>7</v>
      </c>
      <c r="B174" s="100" t="s">
        <v>118</v>
      </c>
      <c r="C174" s="117">
        <v>9551</v>
      </c>
      <c r="D174" s="117">
        <v>9590</v>
      </c>
      <c r="E174" s="117">
        <f t="shared" si="24"/>
        <v>39</v>
      </c>
      <c r="F174" s="98">
        <f t="shared" si="25"/>
        <v>4.0833420584232014E-3</v>
      </c>
    </row>
    <row r="175" spans="1:6" ht="18" customHeight="1" x14ac:dyDescent="0.25">
      <c r="A175" s="99">
        <v>8</v>
      </c>
      <c r="B175" s="100" t="s">
        <v>119</v>
      </c>
      <c r="C175" s="117">
        <v>934</v>
      </c>
      <c r="D175" s="117">
        <v>909</v>
      </c>
      <c r="E175" s="117">
        <f t="shared" si="24"/>
        <v>-25</v>
      </c>
      <c r="F175" s="98">
        <f t="shared" si="25"/>
        <v>-2.676659528907923E-2</v>
      </c>
    </row>
    <row r="176" spans="1:6" ht="18" customHeight="1" x14ac:dyDescent="0.25">
      <c r="A176" s="99">
        <v>9</v>
      </c>
      <c r="B176" s="100" t="s">
        <v>120</v>
      </c>
      <c r="C176" s="117">
        <v>6574</v>
      </c>
      <c r="D176" s="117">
        <v>6250</v>
      </c>
      <c r="E176" s="117">
        <f t="shared" si="24"/>
        <v>-324</v>
      </c>
      <c r="F176" s="98">
        <f t="shared" si="25"/>
        <v>-4.9285062366899911E-2</v>
      </c>
    </row>
    <row r="177" spans="1:6" ht="18" customHeight="1" x14ac:dyDescent="0.25">
      <c r="A177" s="99">
        <v>10</v>
      </c>
      <c r="B177" s="100" t="s">
        <v>121</v>
      </c>
      <c r="C177" s="117">
        <v>1553</v>
      </c>
      <c r="D177" s="117">
        <v>0</v>
      </c>
      <c r="E177" s="117">
        <f t="shared" si="24"/>
        <v>-1553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270</v>
      </c>
      <c r="E178" s="117">
        <f t="shared" si="24"/>
        <v>270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39642</v>
      </c>
      <c r="D179" s="118">
        <f>SUM(D168:D178)</f>
        <v>40316</v>
      </c>
      <c r="E179" s="118">
        <f t="shared" si="24"/>
        <v>674</v>
      </c>
      <c r="F179" s="104">
        <f t="shared" si="25"/>
        <v>1.7002169416275668E-2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FILING&amp;RSTAMFORD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53049747</v>
      </c>
      <c r="D15" s="146">
        <v>55671919</v>
      </c>
      <c r="E15" s="146">
        <f>+D15-C15</f>
        <v>2622172</v>
      </c>
      <c r="F15" s="150">
        <f>IF(C15=0,0,E15/C15)</f>
        <v>4.942854864133471E-2</v>
      </c>
    </row>
    <row r="16" spans="1:7" ht="15" customHeight="1" x14ac:dyDescent="0.2">
      <c r="A16" s="141">
        <v>2</v>
      </c>
      <c r="B16" s="149" t="s">
        <v>158</v>
      </c>
      <c r="C16" s="146">
        <v>17289984</v>
      </c>
      <c r="D16" s="146">
        <v>21556196</v>
      </c>
      <c r="E16" s="146">
        <f>+D16-C16</f>
        <v>4266212</v>
      </c>
      <c r="F16" s="150">
        <f>IF(C16=0,0,E16/C16)</f>
        <v>0.24674470491123648</v>
      </c>
    </row>
    <row r="17" spans="1:7" ht="15" customHeight="1" x14ac:dyDescent="0.2">
      <c r="A17" s="141">
        <v>3</v>
      </c>
      <c r="B17" s="149" t="s">
        <v>159</v>
      </c>
      <c r="C17" s="146">
        <v>93025542</v>
      </c>
      <c r="D17" s="146">
        <v>95229352</v>
      </c>
      <c r="E17" s="146">
        <f>+D17-C17</f>
        <v>2203810</v>
      </c>
      <c r="F17" s="150">
        <f>IF(C17=0,0,E17/C17)</f>
        <v>2.369037527349209E-2</v>
      </c>
    </row>
    <row r="18" spans="1:7" ht="15.75" customHeight="1" x14ac:dyDescent="0.25">
      <c r="A18" s="141"/>
      <c r="B18" s="151" t="s">
        <v>160</v>
      </c>
      <c r="C18" s="147">
        <f>SUM(C15:C17)</f>
        <v>163365273</v>
      </c>
      <c r="D18" s="147">
        <f>SUM(D15:D17)</f>
        <v>172457467</v>
      </c>
      <c r="E18" s="147">
        <f>+D18-C18</f>
        <v>9092194</v>
      </c>
      <c r="F18" s="148">
        <f>IF(C18=0,0,E18/C18)</f>
        <v>5.5655610479713152E-2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14424232</v>
      </c>
      <c r="D21" s="146">
        <v>14949296</v>
      </c>
      <c r="E21" s="146">
        <f>+D21-C21</f>
        <v>525064</v>
      </c>
      <c r="F21" s="150">
        <f>IF(C21=0,0,E21/C21)</f>
        <v>3.640152210530169E-2</v>
      </c>
    </row>
    <row r="22" spans="1:7" ht="15" customHeight="1" x14ac:dyDescent="0.2">
      <c r="A22" s="141">
        <v>2</v>
      </c>
      <c r="B22" s="149" t="s">
        <v>163</v>
      </c>
      <c r="C22" s="146">
        <v>4701148</v>
      </c>
      <c r="D22" s="146">
        <v>4771010</v>
      </c>
      <c r="E22" s="146">
        <f>+D22-C22</f>
        <v>69862</v>
      </c>
      <c r="F22" s="150">
        <f>IF(C22=0,0,E22/C22)</f>
        <v>1.4860625532316787E-2</v>
      </c>
    </row>
    <row r="23" spans="1:7" ht="15" customHeight="1" x14ac:dyDescent="0.2">
      <c r="A23" s="141">
        <v>3</v>
      </c>
      <c r="B23" s="149" t="s">
        <v>164</v>
      </c>
      <c r="C23" s="146">
        <v>25356655</v>
      </c>
      <c r="D23" s="146">
        <v>29318027</v>
      </c>
      <c r="E23" s="146">
        <f>+D23-C23</f>
        <v>3961372</v>
      </c>
      <c r="F23" s="150">
        <f>IF(C23=0,0,E23/C23)</f>
        <v>0.15622612682942605</v>
      </c>
    </row>
    <row r="24" spans="1:7" ht="15.75" customHeight="1" x14ac:dyDescent="0.25">
      <c r="A24" s="141"/>
      <c r="B24" s="151" t="s">
        <v>165</v>
      </c>
      <c r="C24" s="147">
        <f>SUM(C21:C23)</f>
        <v>44482035</v>
      </c>
      <c r="D24" s="147">
        <f>SUM(D21:D23)</f>
        <v>49038333</v>
      </c>
      <c r="E24" s="147">
        <f>+D24-C24</f>
        <v>4556298</v>
      </c>
      <c r="F24" s="148">
        <f>IF(C24=0,0,E24/C24)</f>
        <v>0.10243007092638635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1289166</v>
      </c>
      <c r="D27" s="146">
        <v>588465</v>
      </c>
      <c r="E27" s="146">
        <f>+D27-C27</f>
        <v>-700701</v>
      </c>
      <c r="F27" s="150">
        <f>IF(C27=0,0,E27/C27)</f>
        <v>-0.54353046853547182</v>
      </c>
    </row>
    <row r="28" spans="1:7" ht="15" customHeight="1" x14ac:dyDescent="0.2">
      <c r="A28" s="141">
        <v>2</v>
      </c>
      <c r="B28" s="149" t="s">
        <v>168</v>
      </c>
      <c r="C28" s="146">
        <v>8733868</v>
      </c>
      <c r="D28" s="146">
        <v>12206630</v>
      </c>
      <c r="E28" s="146">
        <f>+D28-C28</f>
        <v>3472762</v>
      </c>
      <c r="F28" s="150">
        <f>IF(C28=0,0,E28/C28)</f>
        <v>0.39762016096419134</v>
      </c>
    </row>
    <row r="29" spans="1:7" ht="15" customHeight="1" x14ac:dyDescent="0.2">
      <c r="A29" s="141">
        <v>3</v>
      </c>
      <c r="B29" s="149" t="s">
        <v>169</v>
      </c>
      <c r="C29" s="146">
        <v>25341543</v>
      </c>
      <c r="D29" s="146">
        <v>26347822</v>
      </c>
      <c r="E29" s="146">
        <f>+D29-C29</f>
        <v>1006279</v>
      </c>
      <c r="F29" s="150">
        <f>IF(C29=0,0,E29/C29)</f>
        <v>3.9708671251786051E-2</v>
      </c>
    </row>
    <row r="30" spans="1:7" ht="15.75" customHeight="1" x14ac:dyDescent="0.25">
      <c r="A30" s="141"/>
      <c r="B30" s="151" t="s">
        <v>170</v>
      </c>
      <c r="C30" s="147">
        <f>SUM(C27:C29)</f>
        <v>35364577</v>
      </c>
      <c r="D30" s="147">
        <f>SUM(D27:D29)</f>
        <v>39142917</v>
      </c>
      <c r="E30" s="147">
        <f>+D30-C30</f>
        <v>3778340</v>
      </c>
      <c r="F30" s="148">
        <f>IF(C30=0,0,E30/C30)</f>
        <v>0.10683967745464622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35079176</v>
      </c>
      <c r="D33" s="146">
        <v>34711125</v>
      </c>
      <c r="E33" s="146">
        <f>+D33-C33</f>
        <v>-368051</v>
      </c>
      <c r="F33" s="150">
        <f>IF(C33=0,0,E33/C33)</f>
        <v>-1.0492008136109012E-2</v>
      </c>
    </row>
    <row r="34" spans="1:7" ht="15" customHeight="1" x14ac:dyDescent="0.2">
      <c r="A34" s="141">
        <v>2</v>
      </c>
      <c r="B34" s="149" t="s">
        <v>174</v>
      </c>
      <c r="C34" s="146">
        <v>8119836</v>
      </c>
      <c r="D34" s="146">
        <v>16398651</v>
      </c>
      <c r="E34" s="146">
        <f>+D34-C34</f>
        <v>8278815</v>
      </c>
      <c r="F34" s="150">
        <f>IF(C34=0,0,E34/C34)</f>
        <v>1.01957909002103</v>
      </c>
    </row>
    <row r="35" spans="1:7" ht="15.75" customHeight="1" x14ac:dyDescent="0.25">
      <c r="A35" s="141"/>
      <c r="B35" s="151" t="s">
        <v>175</v>
      </c>
      <c r="C35" s="147">
        <f>SUM(C33:C34)</f>
        <v>43199012</v>
      </c>
      <c r="D35" s="147">
        <f>SUM(D33:D34)</f>
        <v>51109776</v>
      </c>
      <c r="E35" s="147">
        <f>+D35-C35</f>
        <v>7910764</v>
      </c>
      <c r="F35" s="148">
        <f>IF(C35=0,0,E35/C35)</f>
        <v>0.18312372514445469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22159932</v>
      </c>
      <c r="D38" s="146">
        <v>22136239</v>
      </c>
      <c r="E38" s="146">
        <f>+D38-C38</f>
        <v>-23693</v>
      </c>
      <c r="F38" s="150">
        <f>IF(C38=0,0,E38/C38)</f>
        <v>-1.0691819812443468E-3</v>
      </c>
    </row>
    <row r="39" spans="1:7" ht="15" customHeight="1" x14ac:dyDescent="0.2">
      <c r="A39" s="141">
        <v>2</v>
      </c>
      <c r="B39" s="149" t="s">
        <v>179</v>
      </c>
      <c r="C39" s="146">
        <v>5231533</v>
      </c>
      <c r="D39" s="146">
        <v>5178725</v>
      </c>
      <c r="E39" s="146">
        <f>+D39-C39</f>
        <v>-52808</v>
      </c>
      <c r="F39" s="150">
        <f>IF(C39=0,0,E39/C39)</f>
        <v>-1.0094173161098285E-2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27391465</v>
      </c>
      <c r="D41" s="147">
        <f>SUM(D38:D40)</f>
        <v>27314964</v>
      </c>
      <c r="E41" s="147">
        <f>+D41-C41</f>
        <v>-76501</v>
      </c>
      <c r="F41" s="148">
        <f>IF(C41=0,0,E41/C41)</f>
        <v>-2.7928772703468031E-3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43115286</v>
      </c>
      <c r="D44" s="146">
        <v>47360053</v>
      </c>
      <c r="E44" s="146">
        <f>+D44-C44</f>
        <v>4244767</v>
      </c>
      <c r="F44" s="150">
        <f>IF(C44=0,0,E44/C44)</f>
        <v>9.8451556137189949E-2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4876423</v>
      </c>
      <c r="D47" s="146">
        <v>5545081</v>
      </c>
      <c r="E47" s="146">
        <f>+D47-C47</f>
        <v>668658</v>
      </c>
      <c r="F47" s="150">
        <f>IF(C47=0,0,E47/C47)</f>
        <v>0.13712059023591677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8073693</v>
      </c>
      <c r="D50" s="146">
        <v>9439125</v>
      </c>
      <c r="E50" s="146">
        <f>+D50-C50</f>
        <v>1365432</v>
      </c>
      <c r="F50" s="150">
        <f>IF(C50=0,0,E50/C50)</f>
        <v>0.16912111966605617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135555</v>
      </c>
      <c r="D53" s="146">
        <v>140486</v>
      </c>
      <c r="E53" s="146">
        <f t="shared" ref="E53:E59" si="0">+D53-C53</f>
        <v>4931</v>
      </c>
      <c r="F53" s="150">
        <f t="shared" ref="F53:F59" si="1">IF(C53=0,0,E53/C53)</f>
        <v>3.6376378591715539E-2</v>
      </c>
    </row>
    <row r="54" spans="1:7" ht="15" customHeight="1" x14ac:dyDescent="0.2">
      <c r="A54" s="141">
        <v>2</v>
      </c>
      <c r="B54" s="149" t="s">
        <v>193</v>
      </c>
      <c r="C54" s="146">
        <v>1646484</v>
      </c>
      <c r="D54" s="146">
        <v>1443323</v>
      </c>
      <c r="E54" s="146">
        <f t="shared" si="0"/>
        <v>-203161</v>
      </c>
      <c r="F54" s="150">
        <f t="shared" si="1"/>
        <v>-0.12339081339387446</v>
      </c>
    </row>
    <row r="55" spans="1:7" ht="15" customHeight="1" x14ac:dyDescent="0.2">
      <c r="A55" s="141">
        <v>3</v>
      </c>
      <c r="B55" s="149" t="s">
        <v>194</v>
      </c>
      <c r="C55" s="146">
        <v>755</v>
      </c>
      <c r="D55" s="146">
        <v>2477</v>
      </c>
      <c r="E55" s="146">
        <f t="shared" si="0"/>
        <v>1722</v>
      </c>
      <c r="F55" s="150">
        <f t="shared" si="1"/>
        <v>2.2807947019867552</v>
      </c>
    </row>
    <row r="56" spans="1:7" ht="15" customHeight="1" x14ac:dyDescent="0.2">
      <c r="A56" s="141">
        <v>4</v>
      </c>
      <c r="B56" s="149" t="s">
        <v>195</v>
      </c>
      <c r="C56" s="146">
        <v>2804502</v>
      </c>
      <c r="D56" s="146">
        <v>2555795</v>
      </c>
      <c r="E56" s="146">
        <f t="shared" si="0"/>
        <v>-248707</v>
      </c>
      <c r="F56" s="150">
        <f t="shared" si="1"/>
        <v>-8.8681341642829994E-2</v>
      </c>
    </row>
    <row r="57" spans="1:7" ht="15" customHeight="1" x14ac:dyDescent="0.2">
      <c r="A57" s="141">
        <v>5</v>
      </c>
      <c r="B57" s="149" t="s">
        <v>196</v>
      </c>
      <c r="C57" s="146">
        <v>958812</v>
      </c>
      <c r="D57" s="146">
        <v>1041714</v>
      </c>
      <c r="E57" s="146">
        <f t="shared" si="0"/>
        <v>82902</v>
      </c>
      <c r="F57" s="150">
        <f t="shared" si="1"/>
        <v>8.6463248269733797E-2</v>
      </c>
    </row>
    <row r="58" spans="1:7" ht="15" customHeight="1" x14ac:dyDescent="0.2">
      <c r="A58" s="141">
        <v>6</v>
      </c>
      <c r="B58" s="149" t="s">
        <v>197</v>
      </c>
      <c r="C58" s="146">
        <v>290802</v>
      </c>
      <c r="D58" s="146">
        <v>226398</v>
      </c>
      <c r="E58" s="146">
        <f t="shared" si="0"/>
        <v>-64404</v>
      </c>
      <c r="F58" s="150">
        <f t="shared" si="1"/>
        <v>-0.22147027874636349</v>
      </c>
    </row>
    <row r="59" spans="1:7" ht="15.75" customHeight="1" x14ac:dyDescent="0.25">
      <c r="A59" s="141"/>
      <c r="B59" s="151" t="s">
        <v>198</v>
      </c>
      <c r="C59" s="147">
        <f>SUM(C53:C58)</f>
        <v>5836910</v>
      </c>
      <c r="D59" s="147">
        <f>SUM(D53:D58)</f>
        <v>5410193</v>
      </c>
      <c r="E59" s="147">
        <f t="shared" si="0"/>
        <v>-426717</v>
      </c>
      <c r="F59" s="148">
        <f t="shared" si="1"/>
        <v>-7.310666088735307E-2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586701</v>
      </c>
      <c r="D62" s="146">
        <v>387725</v>
      </c>
      <c r="E62" s="146">
        <f t="shared" ref="E62:E78" si="2">+D62-C62</f>
        <v>-198976</v>
      </c>
      <c r="F62" s="150">
        <f t="shared" ref="F62:F78" si="3">IF(C62=0,0,E62/C62)</f>
        <v>-0.33914378874418144</v>
      </c>
    </row>
    <row r="63" spans="1:7" ht="15" customHeight="1" x14ac:dyDescent="0.2">
      <c r="A63" s="141">
        <v>2</v>
      </c>
      <c r="B63" s="149" t="s">
        <v>202</v>
      </c>
      <c r="C63" s="146">
        <v>2774424</v>
      </c>
      <c r="D63" s="146">
        <v>2189572</v>
      </c>
      <c r="E63" s="146">
        <f t="shared" si="2"/>
        <v>-584852</v>
      </c>
      <c r="F63" s="150">
        <f t="shared" si="3"/>
        <v>-0.21080123297664669</v>
      </c>
    </row>
    <row r="64" spans="1:7" ht="15" customHeight="1" x14ac:dyDescent="0.2">
      <c r="A64" s="141">
        <v>3</v>
      </c>
      <c r="B64" s="149" t="s">
        <v>203</v>
      </c>
      <c r="C64" s="146">
        <v>6687949</v>
      </c>
      <c r="D64" s="146">
        <v>4202905</v>
      </c>
      <c r="E64" s="146">
        <f t="shared" si="2"/>
        <v>-2485044</v>
      </c>
      <c r="F64" s="150">
        <f t="shared" si="3"/>
        <v>-0.37157041717871953</v>
      </c>
    </row>
    <row r="65" spans="1:7" ht="15" customHeight="1" x14ac:dyDescent="0.2">
      <c r="A65" s="141">
        <v>4</v>
      </c>
      <c r="B65" s="149" t="s">
        <v>204</v>
      </c>
      <c r="C65" s="146">
        <v>1281234</v>
      </c>
      <c r="D65" s="146">
        <v>1521952</v>
      </c>
      <c r="E65" s="146">
        <f t="shared" si="2"/>
        <v>240718</v>
      </c>
      <c r="F65" s="150">
        <f t="shared" si="3"/>
        <v>0.18787980962103723</v>
      </c>
    </row>
    <row r="66" spans="1:7" ht="15" customHeight="1" x14ac:dyDescent="0.2">
      <c r="A66" s="141">
        <v>5</v>
      </c>
      <c r="B66" s="149" t="s">
        <v>205</v>
      </c>
      <c r="C66" s="146">
        <v>1951647</v>
      </c>
      <c r="D66" s="146">
        <v>1628860</v>
      </c>
      <c r="E66" s="146">
        <f t="shared" si="2"/>
        <v>-322787</v>
      </c>
      <c r="F66" s="150">
        <f t="shared" si="3"/>
        <v>-0.16539210215781849</v>
      </c>
    </row>
    <row r="67" spans="1:7" ht="15" customHeight="1" x14ac:dyDescent="0.2">
      <c r="A67" s="141">
        <v>6</v>
      </c>
      <c r="B67" s="149" t="s">
        <v>206</v>
      </c>
      <c r="C67" s="146">
        <v>6408573</v>
      </c>
      <c r="D67" s="146">
        <v>6789010</v>
      </c>
      <c r="E67" s="146">
        <f t="shared" si="2"/>
        <v>380437</v>
      </c>
      <c r="F67" s="150">
        <f t="shared" si="3"/>
        <v>5.9363761636170798E-2</v>
      </c>
    </row>
    <row r="68" spans="1:7" ht="15" customHeight="1" x14ac:dyDescent="0.2">
      <c r="A68" s="141">
        <v>7</v>
      </c>
      <c r="B68" s="149" t="s">
        <v>207</v>
      </c>
      <c r="C68" s="146">
        <v>11206015</v>
      </c>
      <c r="D68" s="146">
        <v>12871565</v>
      </c>
      <c r="E68" s="146">
        <f t="shared" si="2"/>
        <v>1665550</v>
      </c>
      <c r="F68" s="150">
        <f t="shared" si="3"/>
        <v>0.14862999915670289</v>
      </c>
    </row>
    <row r="69" spans="1:7" ht="15" customHeight="1" x14ac:dyDescent="0.2">
      <c r="A69" s="141">
        <v>8</v>
      </c>
      <c r="B69" s="149" t="s">
        <v>208</v>
      </c>
      <c r="C69" s="146">
        <v>828609</v>
      </c>
      <c r="D69" s="146">
        <v>821408</v>
      </c>
      <c r="E69" s="146">
        <f t="shared" si="2"/>
        <v>-7201</v>
      </c>
      <c r="F69" s="150">
        <f t="shared" si="3"/>
        <v>-8.6904680011923603E-3</v>
      </c>
    </row>
    <row r="70" spans="1:7" ht="15" customHeight="1" x14ac:dyDescent="0.2">
      <c r="A70" s="141">
        <v>9</v>
      </c>
      <c r="B70" s="149" t="s">
        <v>209</v>
      </c>
      <c r="C70" s="146">
        <v>678539</v>
      </c>
      <c r="D70" s="146">
        <v>829384</v>
      </c>
      <c r="E70" s="146">
        <f t="shared" si="2"/>
        <v>150845</v>
      </c>
      <c r="F70" s="150">
        <f t="shared" si="3"/>
        <v>0.22230851874394839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8226957</v>
      </c>
      <c r="D73" s="146">
        <v>7786667</v>
      </c>
      <c r="E73" s="146">
        <f t="shared" si="2"/>
        <v>-440290</v>
      </c>
      <c r="F73" s="150">
        <f t="shared" si="3"/>
        <v>-5.351796539109175E-2</v>
      </c>
    </row>
    <row r="74" spans="1:7" ht="15" customHeight="1" x14ac:dyDescent="0.2">
      <c r="A74" s="141">
        <v>13</v>
      </c>
      <c r="B74" s="149" t="s">
        <v>213</v>
      </c>
      <c r="C74" s="146">
        <v>155593</v>
      </c>
      <c r="D74" s="146">
        <v>122185</v>
      </c>
      <c r="E74" s="146">
        <f t="shared" si="2"/>
        <v>-33408</v>
      </c>
      <c r="F74" s="150">
        <f t="shared" si="3"/>
        <v>-0.21471402955145796</v>
      </c>
    </row>
    <row r="75" spans="1:7" ht="15" customHeight="1" x14ac:dyDescent="0.2">
      <c r="A75" s="141">
        <v>14</v>
      </c>
      <c r="B75" s="149" t="s">
        <v>214</v>
      </c>
      <c r="C75" s="146">
        <v>468966</v>
      </c>
      <c r="D75" s="146">
        <v>384014</v>
      </c>
      <c r="E75" s="146">
        <f t="shared" si="2"/>
        <v>-84952</v>
      </c>
      <c r="F75" s="150">
        <f t="shared" si="3"/>
        <v>-0.18114746058349646</v>
      </c>
    </row>
    <row r="76" spans="1:7" ht="15" customHeight="1" x14ac:dyDescent="0.2">
      <c r="A76" s="141">
        <v>15</v>
      </c>
      <c r="B76" s="149" t="s">
        <v>215</v>
      </c>
      <c r="C76" s="146">
        <v>1648108</v>
      </c>
      <c r="D76" s="146">
        <v>2202165</v>
      </c>
      <c r="E76" s="146">
        <f t="shared" si="2"/>
        <v>554057</v>
      </c>
      <c r="F76" s="150">
        <f t="shared" si="3"/>
        <v>0.33617760486570053</v>
      </c>
    </row>
    <row r="77" spans="1:7" ht="15" customHeight="1" x14ac:dyDescent="0.2">
      <c r="A77" s="141">
        <v>16</v>
      </c>
      <c r="B77" s="149" t="s">
        <v>216</v>
      </c>
      <c r="C77" s="146">
        <v>12278460</v>
      </c>
      <c r="D77" s="146">
        <v>12039876</v>
      </c>
      <c r="E77" s="146">
        <f t="shared" si="2"/>
        <v>-238584</v>
      </c>
      <c r="F77" s="150">
        <f t="shared" si="3"/>
        <v>-1.943110129446201E-2</v>
      </c>
    </row>
    <row r="78" spans="1:7" ht="15.75" customHeight="1" x14ac:dyDescent="0.25">
      <c r="A78" s="141"/>
      <c r="B78" s="151" t="s">
        <v>217</v>
      </c>
      <c r="C78" s="147">
        <f>SUM(C62:C77)</f>
        <v>55181775</v>
      </c>
      <c r="D78" s="147">
        <f>SUM(D62:D77)</f>
        <v>53777288</v>
      </c>
      <c r="E78" s="147">
        <f t="shared" si="2"/>
        <v>-1404487</v>
      </c>
      <c r="F78" s="148">
        <f t="shared" si="3"/>
        <v>-2.5452008385014799E-2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793585</v>
      </c>
      <c r="D81" s="146">
        <v>885468</v>
      </c>
      <c r="E81" s="146">
        <f>+D81-C81</f>
        <v>91883</v>
      </c>
      <c r="F81" s="150">
        <f>IF(C81=0,0,E81/C81)</f>
        <v>0.1157821783425846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431680034</v>
      </c>
      <c r="D83" s="147">
        <f>+D81+D78+D59+D50+D47+D44+D41+D35+D30+D24+D18</f>
        <v>461480665</v>
      </c>
      <c r="E83" s="147">
        <f>+D83-C83</f>
        <v>29800631</v>
      </c>
      <c r="F83" s="148">
        <f>IF(C83=0,0,E83/C83)</f>
        <v>6.9034073046797428E-2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100104970</v>
      </c>
      <c r="D91" s="146">
        <v>106841321</v>
      </c>
      <c r="E91" s="146">
        <f t="shared" ref="E91:E109" si="4">D91-C91</f>
        <v>6736351</v>
      </c>
      <c r="F91" s="150">
        <f t="shared" ref="F91:F109" si="5">IF(C91=0,0,E91/C91)</f>
        <v>6.7292872671556661E-2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3961184</v>
      </c>
      <c r="D92" s="146">
        <v>3814288</v>
      </c>
      <c r="E92" s="146">
        <f t="shared" si="4"/>
        <v>-146896</v>
      </c>
      <c r="F92" s="150">
        <f t="shared" si="5"/>
        <v>-3.7083861794857294E-2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8508793</v>
      </c>
      <c r="D93" s="146">
        <v>9320598</v>
      </c>
      <c r="E93" s="146">
        <f t="shared" si="4"/>
        <v>811805</v>
      </c>
      <c r="F93" s="150">
        <f t="shared" si="5"/>
        <v>9.5407774052089403E-2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3245755</v>
      </c>
      <c r="D94" s="146">
        <v>3283671</v>
      </c>
      <c r="E94" s="146">
        <f t="shared" si="4"/>
        <v>37916</v>
      </c>
      <c r="F94" s="150">
        <f t="shared" si="5"/>
        <v>1.1681719661527134E-2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13880712</v>
      </c>
      <c r="D95" s="146">
        <v>14633459</v>
      </c>
      <c r="E95" s="146">
        <f t="shared" si="4"/>
        <v>752747</v>
      </c>
      <c r="F95" s="150">
        <f t="shared" si="5"/>
        <v>5.4229710983125359E-2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415</v>
      </c>
      <c r="D96" s="146">
        <v>286</v>
      </c>
      <c r="E96" s="146">
        <f t="shared" si="4"/>
        <v>-129</v>
      </c>
      <c r="F96" s="150">
        <f t="shared" si="5"/>
        <v>-0.31084337349397589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6395054</v>
      </c>
      <c r="D97" s="146">
        <v>5646595</v>
      </c>
      <c r="E97" s="146">
        <f t="shared" si="4"/>
        <v>-748459</v>
      </c>
      <c r="F97" s="150">
        <f t="shared" si="5"/>
        <v>-0.11703716653526303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1066747</v>
      </c>
      <c r="D98" s="146">
        <v>1177184</v>
      </c>
      <c r="E98" s="146">
        <f t="shared" si="4"/>
        <v>110437</v>
      </c>
      <c r="F98" s="150">
        <f t="shared" si="5"/>
        <v>0.10352689063104935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3458782</v>
      </c>
      <c r="D99" s="146">
        <v>3357444</v>
      </c>
      <c r="E99" s="146">
        <f t="shared" si="4"/>
        <v>-101338</v>
      </c>
      <c r="F99" s="150">
        <f t="shared" si="5"/>
        <v>-2.9298753144893202E-2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5342834</v>
      </c>
      <c r="D100" s="146">
        <v>5854000</v>
      </c>
      <c r="E100" s="146">
        <f t="shared" si="4"/>
        <v>511166</v>
      </c>
      <c r="F100" s="150">
        <f t="shared" si="5"/>
        <v>9.5673195161968344E-2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4885698</v>
      </c>
      <c r="D101" s="146">
        <v>5161785</v>
      </c>
      <c r="E101" s="146">
        <f t="shared" si="4"/>
        <v>276087</v>
      </c>
      <c r="F101" s="150">
        <f t="shared" si="5"/>
        <v>5.6509223451797472E-2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1325251</v>
      </c>
      <c r="D102" s="146">
        <v>1732745</v>
      </c>
      <c r="E102" s="146">
        <f t="shared" si="4"/>
        <v>407494</v>
      </c>
      <c r="F102" s="150">
        <f t="shared" si="5"/>
        <v>0.30748439352243462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912676</v>
      </c>
      <c r="D103" s="146">
        <v>900537</v>
      </c>
      <c r="E103" s="146">
        <f t="shared" si="4"/>
        <v>-12139</v>
      </c>
      <c r="F103" s="150">
        <f t="shared" si="5"/>
        <v>-1.3300448351879528E-2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1729562</v>
      </c>
      <c r="D104" s="146">
        <v>1770944</v>
      </c>
      <c r="E104" s="146">
        <f t="shared" si="4"/>
        <v>41382</v>
      </c>
      <c r="F104" s="150">
        <f t="shared" si="5"/>
        <v>2.3926288852322147E-2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13132421</v>
      </c>
      <c r="D105" s="146">
        <v>12612866</v>
      </c>
      <c r="E105" s="146">
        <f t="shared" si="4"/>
        <v>-519555</v>
      </c>
      <c r="F105" s="150">
        <f t="shared" si="5"/>
        <v>-3.9562773688111279E-2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1817958</v>
      </c>
      <c r="D106" s="146">
        <v>1639701</v>
      </c>
      <c r="E106" s="146">
        <f t="shared" si="4"/>
        <v>-178257</v>
      </c>
      <c r="F106" s="150">
        <f t="shared" si="5"/>
        <v>-9.8053420376048292E-2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11815910</v>
      </c>
      <c r="D107" s="146">
        <v>11911692</v>
      </c>
      <c r="E107" s="146">
        <f t="shared" si="4"/>
        <v>95782</v>
      </c>
      <c r="F107" s="150">
        <f t="shared" si="5"/>
        <v>8.1061890281831864E-3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9527500</v>
      </c>
      <c r="D108" s="146">
        <v>9556414</v>
      </c>
      <c r="E108" s="146">
        <f t="shared" si="4"/>
        <v>28914</v>
      </c>
      <c r="F108" s="150">
        <f t="shared" si="5"/>
        <v>3.0347940173182891E-3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191112222</v>
      </c>
      <c r="D109" s="147">
        <f>SUM(D91:D108)</f>
        <v>199215530</v>
      </c>
      <c r="E109" s="147">
        <f t="shared" si="4"/>
        <v>8103308</v>
      </c>
      <c r="F109" s="148">
        <f t="shared" si="5"/>
        <v>4.2400783765676693E-2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3336787</v>
      </c>
      <c r="D112" s="146">
        <v>3680006</v>
      </c>
      <c r="E112" s="146">
        <f t="shared" ref="E112:E118" si="6">D112-C112</f>
        <v>343219</v>
      </c>
      <c r="F112" s="150">
        <f t="shared" ref="F112:F118" si="7">IF(C112=0,0,E112/C112)</f>
        <v>0.10285912765783371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5391309</v>
      </c>
      <c r="D113" s="146">
        <v>5863147</v>
      </c>
      <c r="E113" s="146">
        <f t="shared" si="6"/>
        <v>471838</v>
      </c>
      <c r="F113" s="150">
        <f t="shared" si="7"/>
        <v>8.75182631898858E-2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4994952</v>
      </c>
      <c r="D114" s="146">
        <v>5053709</v>
      </c>
      <c r="E114" s="146">
        <f t="shared" si="6"/>
        <v>58757</v>
      </c>
      <c r="F114" s="150">
        <f t="shared" si="7"/>
        <v>1.176327620365521E-2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2766790</v>
      </c>
      <c r="D115" s="146">
        <v>2830154</v>
      </c>
      <c r="E115" s="146">
        <f t="shared" si="6"/>
        <v>63364</v>
      </c>
      <c r="F115" s="150">
        <f t="shared" si="7"/>
        <v>2.2901629686387474E-2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817926</v>
      </c>
      <c r="D116" s="146">
        <v>837280</v>
      </c>
      <c r="E116" s="146">
        <f t="shared" si="6"/>
        <v>19354</v>
      </c>
      <c r="F116" s="150">
        <f t="shared" si="7"/>
        <v>2.3662287297383872E-2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3293321</v>
      </c>
      <c r="D117" s="146">
        <v>2675539</v>
      </c>
      <c r="E117" s="146">
        <f t="shared" si="6"/>
        <v>-617782</v>
      </c>
      <c r="F117" s="150">
        <f t="shared" si="7"/>
        <v>-0.18758633002977845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20601085</v>
      </c>
      <c r="D118" s="147">
        <f>SUM(D112:D117)</f>
        <v>20939835</v>
      </c>
      <c r="E118" s="147">
        <f t="shared" si="6"/>
        <v>338750</v>
      </c>
      <c r="F118" s="148">
        <f t="shared" si="7"/>
        <v>1.64433086898093E-2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42372862</v>
      </c>
      <c r="D121" s="146">
        <v>45689289</v>
      </c>
      <c r="E121" s="146">
        <f t="shared" ref="E121:E155" si="8">D121-C121</f>
        <v>3316427</v>
      </c>
      <c r="F121" s="150">
        <f t="shared" ref="F121:F155" si="9">IF(C121=0,0,E121/C121)</f>
        <v>7.8267712952691276E-2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5027775</v>
      </c>
      <c r="D122" s="146">
        <v>3906829</v>
      </c>
      <c r="E122" s="146">
        <f t="shared" si="8"/>
        <v>-1120946</v>
      </c>
      <c r="F122" s="150">
        <f t="shared" si="9"/>
        <v>-0.22295070881254631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473606</v>
      </c>
      <c r="D123" s="146">
        <v>563485</v>
      </c>
      <c r="E123" s="146">
        <f t="shared" si="8"/>
        <v>89879</v>
      </c>
      <c r="F123" s="150">
        <f t="shared" si="9"/>
        <v>0.18977588966356002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6384904</v>
      </c>
      <c r="D124" s="146">
        <v>6416532</v>
      </c>
      <c r="E124" s="146">
        <f t="shared" si="8"/>
        <v>31628</v>
      </c>
      <c r="F124" s="150">
        <f t="shared" si="9"/>
        <v>4.9535592077813544E-3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10056422</v>
      </c>
      <c r="D125" s="146">
        <v>10034272</v>
      </c>
      <c r="E125" s="146">
        <f t="shared" si="8"/>
        <v>-22150</v>
      </c>
      <c r="F125" s="150">
        <f t="shared" si="9"/>
        <v>-2.2025726446244995E-3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2229889</v>
      </c>
      <c r="D126" s="146">
        <v>2356419</v>
      </c>
      <c r="E126" s="146">
        <f t="shared" si="8"/>
        <v>126530</v>
      </c>
      <c r="F126" s="150">
        <f t="shared" si="9"/>
        <v>5.6742734728051483E-2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4608703</v>
      </c>
      <c r="D127" s="146">
        <v>4448025</v>
      </c>
      <c r="E127" s="146">
        <f t="shared" si="8"/>
        <v>-160678</v>
      </c>
      <c r="F127" s="150">
        <f t="shared" si="9"/>
        <v>-3.4864038754504251E-2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1185474</v>
      </c>
      <c r="D128" s="146">
        <v>1129458</v>
      </c>
      <c r="E128" s="146">
        <f t="shared" si="8"/>
        <v>-56016</v>
      </c>
      <c r="F128" s="150">
        <f t="shared" si="9"/>
        <v>-4.7251985281836634E-2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1790654</v>
      </c>
      <c r="D129" s="146">
        <v>1758489</v>
      </c>
      <c r="E129" s="146">
        <f t="shared" si="8"/>
        <v>-32165</v>
      </c>
      <c r="F129" s="150">
        <f t="shared" si="9"/>
        <v>-1.7962710830791432E-2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17108475</v>
      </c>
      <c r="D130" s="146">
        <v>19139955</v>
      </c>
      <c r="E130" s="146">
        <f t="shared" si="8"/>
        <v>2031480</v>
      </c>
      <c r="F130" s="150">
        <f t="shared" si="9"/>
        <v>0.1187411502194088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8068354</v>
      </c>
      <c r="D132" s="146">
        <v>7776548</v>
      </c>
      <c r="E132" s="146">
        <f t="shared" si="8"/>
        <v>-291806</v>
      </c>
      <c r="F132" s="150">
        <f t="shared" si="9"/>
        <v>-3.6166732396719331E-2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4968514</v>
      </c>
      <c r="D133" s="146">
        <v>4865711</v>
      </c>
      <c r="E133" s="146">
        <f t="shared" si="8"/>
        <v>-102803</v>
      </c>
      <c r="F133" s="150">
        <f t="shared" si="9"/>
        <v>-2.0690894702118177E-2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339602</v>
      </c>
      <c r="D134" s="146">
        <v>299732</v>
      </c>
      <c r="E134" s="146">
        <f t="shared" si="8"/>
        <v>-39870</v>
      </c>
      <c r="F134" s="150">
        <f t="shared" si="9"/>
        <v>-0.11740213544089846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191878</v>
      </c>
      <c r="D135" s="146">
        <v>220572</v>
      </c>
      <c r="E135" s="146">
        <f t="shared" si="8"/>
        <v>28694</v>
      </c>
      <c r="F135" s="150">
        <f t="shared" si="9"/>
        <v>0.14954293874232585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33731</v>
      </c>
      <c r="D136" s="146">
        <v>50415</v>
      </c>
      <c r="E136" s="146">
        <f t="shared" si="8"/>
        <v>16684</v>
      </c>
      <c r="F136" s="150">
        <f t="shared" si="9"/>
        <v>0.49461919302718566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3501776</v>
      </c>
      <c r="D138" s="146">
        <v>3570246</v>
      </c>
      <c r="E138" s="146">
        <f t="shared" si="8"/>
        <v>68470</v>
      </c>
      <c r="F138" s="150">
        <f t="shared" si="9"/>
        <v>1.9552935424767319E-2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1037130</v>
      </c>
      <c r="D139" s="146">
        <v>755965</v>
      </c>
      <c r="E139" s="146">
        <f t="shared" si="8"/>
        <v>-281165</v>
      </c>
      <c r="F139" s="150">
        <f t="shared" si="9"/>
        <v>-0.27109909076007832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826405</v>
      </c>
      <c r="D140" s="146">
        <v>939602</v>
      </c>
      <c r="E140" s="146">
        <f t="shared" si="8"/>
        <v>113197</v>
      </c>
      <c r="F140" s="150">
        <f t="shared" si="9"/>
        <v>0.13697521191183501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431515</v>
      </c>
      <c r="D143" s="146">
        <v>409516</v>
      </c>
      <c r="E143" s="146">
        <f t="shared" si="8"/>
        <v>-21999</v>
      </c>
      <c r="F143" s="150">
        <f t="shared" si="9"/>
        <v>-5.0980846552263537E-2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7939960</v>
      </c>
      <c r="D144" s="146">
        <v>8325721</v>
      </c>
      <c r="E144" s="146">
        <f t="shared" si="8"/>
        <v>385761</v>
      </c>
      <c r="F144" s="150">
        <f t="shared" si="9"/>
        <v>4.8584753575584762E-2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1926353</v>
      </c>
      <c r="D145" s="146">
        <v>1758041</v>
      </c>
      <c r="E145" s="146">
        <f t="shared" si="8"/>
        <v>-168312</v>
      </c>
      <c r="F145" s="150">
        <f t="shared" si="9"/>
        <v>-8.7373394180609687E-2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336750</v>
      </c>
      <c r="D147" s="146">
        <v>509670</v>
      </c>
      <c r="E147" s="146">
        <f t="shared" si="8"/>
        <v>172920</v>
      </c>
      <c r="F147" s="150">
        <f t="shared" si="9"/>
        <v>0.51349665924276167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4197538</v>
      </c>
      <c r="D152" s="146">
        <v>4425535</v>
      </c>
      <c r="E152" s="146">
        <f t="shared" si="8"/>
        <v>227997</v>
      </c>
      <c r="F152" s="150">
        <f t="shared" si="9"/>
        <v>5.4316840014313153E-2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125038270</v>
      </c>
      <c r="D155" s="147">
        <f>SUM(D121:D154)</f>
        <v>129350027</v>
      </c>
      <c r="E155" s="147">
        <f t="shared" si="8"/>
        <v>4311757</v>
      </c>
      <c r="F155" s="148">
        <f t="shared" si="9"/>
        <v>3.4483498532089416E-2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39827569</v>
      </c>
      <c r="D158" s="146">
        <v>51801566</v>
      </c>
      <c r="E158" s="146">
        <f t="shared" ref="E158:E171" si="10">D158-C158</f>
        <v>11973997</v>
      </c>
      <c r="F158" s="150">
        <f t="shared" ref="F158:F171" si="11">IF(C158=0,0,E158/C158)</f>
        <v>0.30064594201067107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7927171</v>
      </c>
      <c r="D159" s="146">
        <v>8300422</v>
      </c>
      <c r="E159" s="146">
        <f t="shared" si="10"/>
        <v>373251</v>
      </c>
      <c r="F159" s="150">
        <f t="shared" si="11"/>
        <v>4.7085019359365404E-2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3725398</v>
      </c>
      <c r="D161" s="146">
        <v>3953671</v>
      </c>
      <c r="E161" s="146">
        <f t="shared" si="10"/>
        <v>228273</v>
      </c>
      <c r="F161" s="150">
        <f t="shared" si="11"/>
        <v>6.127479533730356E-2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4807570</v>
      </c>
      <c r="D162" s="146">
        <v>4874476</v>
      </c>
      <c r="E162" s="146">
        <f t="shared" si="10"/>
        <v>66906</v>
      </c>
      <c r="F162" s="150">
        <f t="shared" si="11"/>
        <v>1.3916802043443985E-2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5544039</v>
      </c>
      <c r="D163" s="146">
        <v>6000751</v>
      </c>
      <c r="E163" s="146">
        <f t="shared" si="10"/>
        <v>456712</v>
      </c>
      <c r="F163" s="150">
        <f t="shared" si="11"/>
        <v>8.2378929874050308E-2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2230725</v>
      </c>
      <c r="D164" s="146">
        <v>2171336</v>
      </c>
      <c r="E164" s="146">
        <f t="shared" si="10"/>
        <v>-59389</v>
      </c>
      <c r="F164" s="150">
        <f t="shared" si="11"/>
        <v>-2.6623183045870736E-2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2373075</v>
      </c>
      <c r="D166" s="146">
        <v>2195744</v>
      </c>
      <c r="E166" s="146">
        <f t="shared" si="10"/>
        <v>-177331</v>
      </c>
      <c r="F166" s="150">
        <f t="shared" si="11"/>
        <v>-7.4726251804093841E-2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3320334</v>
      </c>
      <c r="D167" s="146">
        <v>3701863</v>
      </c>
      <c r="E167" s="146">
        <f t="shared" si="10"/>
        <v>381529</v>
      </c>
      <c r="F167" s="150">
        <f t="shared" si="11"/>
        <v>0.1149068135916447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7186991</v>
      </c>
      <c r="D169" s="146">
        <v>7252733</v>
      </c>
      <c r="E169" s="146">
        <f t="shared" si="10"/>
        <v>65742</v>
      </c>
      <c r="F169" s="150">
        <f t="shared" si="11"/>
        <v>9.147360835709965E-3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76942872</v>
      </c>
      <c r="D171" s="147">
        <f>SUM(D158:D170)</f>
        <v>90252562</v>
      </c>
      <c r="E171" s="147">
        <f t="shared" si="10"/>
        <v>13309690</v>
      </c>
      <c r="F171" s="148">
        <f t="shared" si="11"/>
        <v>0.17298145564413037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17985585</v>
      </c>
      <c r="D174" s="146">
        <v>21722711</v>
      </c>
      <c r="E174" s="146">
        <f>D174-C174</f>
        <v>3737126</v>
      </c>
      <c r="F174" s="150">
        <f>IF(C174=0,0,E174/C174)</f>
        <v>0.2077845118743705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431680034</v>
      </c>
      <c r="D176" s="147">
        <f>+D174+D171+D155+D118+D109</f>
        <v>461480665</v>
      </c>
      <c r="E176" s="147">
        <f>D176-C176</f>
        <v>29800631</v>
      </c>
      <c r="F176" s="148">
        <f>IF(C176=0,0,E176/C176)</f>
        <v>6.9034073046797428E-2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FILING&amp;RSTAMFORD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416937724</v>
      </c>
      <c r="D11" s="164">
        <v>436167190</v>
      </c>
      <c r="E11" s="51">
        <v>475258979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27261542</v>
      </c>
      <c r="D12" s="49">
        <v>21067324</v>
      </c>
      <c r="E12" s="49">
        <v>22722727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444199266</v>
      </c>
      <c r="D13" s="51">
        <f>+D11+D12</f>
        <v>457234514</v>
      </c>
      <c r="E13" s="51">
        <f>+E11+E12</f>
        <v>497981706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425519879</v>
      </c>
      <c r="D14" s="49">
        <v>431680034</v>
      </c>
      <c r="E14" s="49">
        <v>461480665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18679387</v>
      </c>
      <c r="D15" s="51">
        <f>+D13-D14</f>
        <v>25554480</v>
      </c>
      <c r="E15" s="51">
        <f>+E13-E14</f>
        <v>36501041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-988395</v>
      </c>
      <c r="D16" s="49">
        <v>-167187</v>
      </c>
      <c r="E16" s="49">
        <v>221386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17690992</v>
      </c>
      <c r="D17" s="51">
        <f>D15+D16</f>
        <v>25387293</v>
      </c>
      <c r="E17" s="51">
        <f>E15+E16</f>
        <v>36722427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4.2145597552366895E-2</v>
      </c>
      <c r="D20" s="169">
        <f>IF(+D27=0,0,+D24/+D27)</f>
        <v>5.5909662516743404E-2</v>
      </c>
      <c r="E20" s="169">
        <f>IF(+E27=0,0,+E24/+E27)</f>
        <v>7.3265384310380793E-2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-2.230078422422089E-3</v>
      </c>
      <c r="D21" s="169">
        <f>IF(D27=0,0,+D26/D27)</f>
        <v>-3.6578199780182492E-4</v>
      </c>
      <c r="E21" s="169">
        <f>IF(E27=0,0,+E26/E27)</f>
        <v>4.4436898035149085E-4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3.9915519129944808E-2</v>
      </c>
      <c r="D22" s="169">
        <f>IF(D27=0,0,+D28/D27)</f>
        <v>5.5543880518941581E-2</v>
      </c>
      <c r="E22" s="169">
        <f>IF(E27=0,0,+E28/E27)</f>
        <v>7.3709753290732288E-2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18679387</v>
      </c>
      <c r="D24" s="51">
        <f>+D15</f>
        <v>25554480</v>
      </c>
      <c r="E24" s="51">
        <f>+E15</f>
        <v>36501041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444199266</v>
      </c>
      <c r="D25" s="51">
        <f>+D13</f>
        <v>457234514</v>
      </c>
      <c r="E25" s="51">
        <f>+E13</f>
        <v>497981706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-988395</v>
      </c>
      <c r="D26" s="51">
        <f>+D16</f>
        <v>-167187</v>
      </c>
      <c r="E26" s="51">
        <f>+E16</f>
        <v>221386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443210871</v>
      </c>
      <c r="D27" s="51">
        <f>+D25+D26</f>
        <v>457067327</v>
      </c>
      <c r="E27" s="51">
        <f>+E25+E26</f>
        <v>498203092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17690992</v>
      </c>
      <c r="D28" s="51">
        <f>+D17</f>
        <v>25387293</v>
      </c>
      <c r="E28" s="51">
        <f>+E17</f>
        <v>36722427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42615000</v>
      </c>
      <c r="D31" s="51">
        <v>82055000</v>
      </c>
      <c r="E31" s="51">
        <v>108504000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70813000</v>
      </c>
      <c r="D32" s="51">
        <v>109583000</v>
      </c>
      <c r="E32" s="51">
        <v>135199000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-70374158</v>
      </c>
      <c r="D33" s="51">
        <f>+D32-C32</f>
        <v>38770000</v>
      </c>
      <c r="E33" s="51">
        <f>+E32-D32</f>
        <v>25616000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0.50149999999999995</v>
      </c>
      <c r="D34" s="171">
        <f>IF(C32=0,0,+D33/C32)</f>
        <v>0.54749834070015391</v>
      </c>
      <c r="E34" s="171">
        <f>IF(D32=0,0,+E33/D32)</f>
        <v>0.23375888595858846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0.36044485216377548</v>
      </c>
      <c r="D38" s="172">
        <f>IF((D40+D41)=0,0,+D39/(D40+D41))</f>
        <v>0.3288519513568034</v>
      </c>
      <c r="E38" s="172">
        <f>IF((E40+E41)=0,0,+E39/(E40+E41))</f>
        <v>0.3109874061670746</v>
      </c>
      <c r="F38" s="5"/>
    </row>
    <row r="39" spans="1:6" ht="24" customHeight="1" x14ac:dyDescent="0.2">
      <c r="A39" s="21">
        <v>2</v>
      </c>
      <c r="B39" s="48" t="s">
        <v>324</v>
      </c>
      <c r="C39" s="51">
        <v>425519879</v>
      </c>
      <c r="D39" s="51">
        <v>431680034</v>
      </c>
      <c r="E39" s="23">
        <v>461480665</v>
      </c>
      <c r="F39" s="5"/>
    </row>
    <row r="40" spans="1:6" ht="24" customHeight="1" x14ac:dyDescent="0.2">
      <c r="A40" s="21">
        <v>3</v>
      </c>
      <c r="B40" s="48" t="s">
        <v>325</v>
      </c>
      <c r="C40" s="51">
        <v>1157017313</v>
      </c>
      <c r="D40" s="51">
        <v>1288625721</v>
      </c>
      <c r="E40" s="23">
        <v>1459332524</v>
      </c>
      <c r="F40" s="5"/>
    </row>
    <row r="41" spans="1:6" ht="24" customHeight="1" x14ac:dyDescent="0.2">
      <c r="A41" s="21">
        <v>4</v>
      </c>
      <c r="B41" s="48" t="s">
        <v>326</v>
      </c>
      <c r="C41" s="51">
        <v>23523556</v>
      </c>
      <c r="D41" s="51">
        <v>24062351</v>
      </c>
      <c r="E41" s="23">
        <v>24588226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1.3212789093356772</v>
      </c>
      <c r="D43" s="173">
        <f>IF(D38=0,0,IF((D46-D47)=0,0,((+D44-D45)/(D46-D47)/D38)))</f>
        <v>1.3701003085879513</v>
      </c>
      <c r="E43" s="173">
        <f>IF(E38=0,0,IF((E46-E47)=0,0,((+E44-E45)/(E46-E47)/E38)))</f>
        <v>1.4273417792279655</v>
      </c>
      <c r="F43" s="5"/>
    </row>
    <row r="44" spans="1:6" ht="24" customHeight="1" x14ac:dyDescent="0.2">
      <c r="A44" s="21">
        <v>6</v>
      </c>
      <c r="B44" s="48" t="s">
        <v>328</v>
      </c>
      <c r="C44" s="51">
        <v>259720619</v>
      </c>
      <c r="D44" s="51">
        <v>268889831</v>
      </c>
      <c r="E44" s="23">
        <v>297292692</v>
      </c>
      <c r="F44" s="5"/>
    </row>
    <row r="45" spans="1:6" ht="24" customHeight="1" x14ac:dyDescent="0.2">
      <c r="A45" s="21">
        <v>7</v>
      </c>
      <c r="B45" s="48" t="s">
        <v>329</v>
      </c>
      <c r="C45" s="51">
        <v>2237759</v>
      </c>
      <c r="D45" s="51">
        <v>2164844</v>
      </c>
      <c r="E45" s="23">
        <v>2038295</v>
      </c>
      <c r="F45" s="5"/>
    </row>
    <row r="46" spans="1:6" ht="24" customHeight="1" x14ac:dyDescent="0.2">
      <c r="A46" s="21">
        <v>8</v>
      </c>
      <c r="B46" s="48" t="s">
        <v>330</v>
      </c>
      <c r="C46" s="51">
        <v>600282993</v>
      </c>
      <c r="D46" s="51">
        <v>655558531</v>
      </c>
      <c r="E46" s="23">
        <v>738397382</v>
      </c>
      <c r="F46" s="5"/>
    </row>
    <row r="47" spans="1:6" ht="24" customHeight="1" x14ac:dyDescent="0.2">
      <c r="A47" s="21">
        <v>9</v>
      </c>
      <c r="B47" s="48" t="s">
        <v>331</v>
      </c>
      <c r="C47" s="51">
        <v>59634503</v>
      </c>
      <c r="D47" s="51">
        <v>63573241</v>
      </c>
      <c r="E47" s="174">
        <v>73238195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0.62849715434042186</v>
      </c>
      <c r="D49" s="175">
        <f>IF(D38=0,0,IF(D51=0,0,(D50/D51)/D38))</f>
        <v>0.65150459264847416</v>
      </c>
      <c r="E49" s="175">
        <f>IF(E38=0,0,IF(E51=0,0,(E50/E51)/E38))</f>
        <v>0.61071862436673041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96033569</v>
      </c>
      <c r="D50" s="176">
        <v>102485288</v>
      </c>
      <c r="E50" s="176">
        <v>101191530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423917091</v>
      </c>
      <c r="D51" s="176">
        <v>478347624</v>
      </c>
      <c r="E51" s="176">
        <v>532795068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0.6128913405125036</v>
      </c>
      <c r="D53" s="175">
        <f>IF(D38=0,0,IF(D55=0,0,(D54/D55)/D38))</f>
        <v>0.53577170036238786</v>
      </c>
      <c r="E53" s="175">
        <f>IF(E38=0,0,IF(E55=0,0,(E54/E55)/E38))</f>
        <v>0.49580287915977311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21860705</v>
      </c>
      <c r="D54" s="176">
        <v>21500232</v>
      </c>
      <c r="E54" s="176">
        <v>28079037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98955936</v>
      </c>
      <c r="D55" s="176">
        <v>122028972</v>
      </c>
      <c r="E55" s="176">
        <v>182108561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21570630.421079792</v>
      </c>
      <c r="D57" s="53">
        <f>+D60*D38</f>
        <v>21671930.595146514</v>
      </c>
      <c r="E57" s="53">
        <f>+E60*E38</f>
        <v>23111558.389871445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11909791</v>
      </c>
      <c r="D58" s="51">
        <v>23197082</v>
      </c>
      <c r="E58" s="52">
        <v>27344589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47934677</v>
      </c>
      <c r="D59" s="51">
        <v>42704703</v>
      </c>
      <c r="E59" s="52">
        <v>46972113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59844468</v>
      </c>
      <c r="D60" s="51">
        <v>65901785</v>
      </c>
      <c r="E60" s="52">
        <v>74316702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5.0692415291553966E-2</v>
      </c>
      <c r="D62" s="178">
        <f>IF(D63=0,0,+D57/D63)</f>
        <v>5.0203689974566937E-2</v>
      </c>
      <c r="E62" s="178">
        <f>IF(E63=0,0,+E57/E63)</f>
        <v>5.0081314652416574E-2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425519879</v>
      </c>
      <c r="D63" s="176">
        <v>431680034</v>
      </c>
      <c r="E63" s="176">
        <v>461480665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1.1820937499999999</v>
      </c>
      <c r="D67" s="179">
        <f>IF(D69=0,0,D68/D69)</f>
        <v>1.7170722286597142</v>
      </c>
      <c r="E67" s="179">
        <f>IF(E69=0,0,E68/E69)</f>
        <v>1.9144197662576985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75654000</v>
      </c>
      <c r="D68" s="180">
        <v>115583000</v>
      </c>
      <c r="E68" s="180">
        <v>157909000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64000000</v>
      </c>
      <c r="D69" s="180">
        <v>67314000</v>
      </c>
      <c r="E69" s="180">
        <v>82484000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9.0058459680215588</v>
      </c>
      <c r="D71" s="181">
        <f>IF((D77/365)=0,0,+D74/(D77/365))</f>
        <v>44.637250181565236</v>
      </c>
      <c r="E71" s="181">
        <f>IF((E77/365)=0,0,+E74/(E77/365))</f>
        <v>68.070059269836236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9668000</v>
      </c>
      <c r="D72" s="182">
        <v>49254000</v>
      </c>
      <c r="E72" s="182">
        <v>80693000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166000</v>
      </c>
      <c r="D73" s="184">
        <v>188000</v>
      </c>
      <c r="E73" s="184">
        <v>276000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9834000</v>
      </c>
      <c r="D74" s="180">
        <f>+D72+D73</f>
        <v>49442000</v>
      </c>
      <c r="E74" s="180">
        <f>+E72+E73</f>
        <v>80969000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425519879</v>
      </c>
      <c r="D75" s="180">
        <f>+D14</f>
        <v>431680034</v>
      </c>
      <c r="E75" s="180">
        <f>+E14</f>
        <v>461480665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26955434</v>
      </c>
      <c r="D76" s="180">
        <v>27391465</v>
      </c>
      <c r="E76" s="180">
        <v>27314964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398564445</v>
      </c>
      <c r="D77" s="180">
        <f>+D75-D76</f>
        <v>404288569</v>
      </c>
      <c r="E77" s="180">
        <f>+E75-E76</f>
        <v>434165701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43.132460712525976</v>
      </c>
      <c r="D79" s="179">
        <f>IF((D84/365)=0,0,+D83/(D84/365))</f>
        <v>43.363956376452805</v>
      </c>
      <c r="E79" s="179">
        <f>IF((E84/365)=0,0,+E83/(E84/365))</f>
        <v>43.773060413867533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50590000</v>
      </c>
      <c r="D80" s="189">
        <v>50691000</v>
      </c>
      <c r="E80" s="189">
        <v>59828000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2899000</v>
      </c>
      <c r="D81" s="190">
        <v>3941000</v>
      </c>
      <c r="E81" s="190">
        <v>2592000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4219000</v>
      </c>
      <c r="D82" s="190">
        <v>2813000</v>
      </c>
      <c r="E82" s="190">
        <v>5424000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49270000</v>
      </c>
      <c r="D83" s="191">
        <f>+D80+D81-D82</f>
        <v>51819000</v>
      </c>
      <c r="E83" s="191">
        <f>+E80+E81-E82</f>
        <v>56996000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416937724</v>
      </c>
      <c r="D84" s="191">
        <f>+D11</f>
        <v>436167190</v>
      </c>
      <c r="E84" s="191">
        <f>+E11</f>
        <v>475258979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58.610345937907233</v>
      </c>
      <c r="D86" s="179">
        <f>IF((D90/365)=0,0,+D87/(D90/365))</f>
        <v>60.772457803524979</v>
      </c>
      <c r="E86" s="179">
        <f>IF((E90/365)=0,0,+E87/(E90/365))</f>
        <v>69.343708935681221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64000000</v>
      </c>
      <c r="D87" s="51">
        <f>+D69</f>
        <v>67314000</v>
      </c>
      <c r="E87" s="51">
        <f>+E69</f>
        <v>82484000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425519879</v>
      </c>
      <c r="D88" s="51">
        <f t="shared" si="0"/>
        <v>431680034</v>
      </c>
      <c r="E88" s="51">
        <f t="shared" si="0"/>
        <v>461480665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26955434</v>
      </c>
      <c r="D89" s="52">
        <f t="shared" si="0"/>
        <v>27391465</v>
      </c>
      <c r="E89" s="52">
        <f t="shared" si="0"/>
        <v>27314964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398564445</v>
      </c>
      <c r="D90" s="51">
        <f>+D88-D89</f>
        <v>404288569</v>
      </c>
      <c r="E90" s="51">
        <f>+E88-E89</f>
        <v>434165701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20.278172321367208</v>
      </c>
      <c r="D94" s="192">
        <f>IF(D96=0,0,(D95/D96)*100)</f>
        <v>25.545430598196155</v>
      </c>
      <c r="E94" s="192">
        <f>IF(E96=0,0,(E95/E96)*100)</f>
        <v>28.257057524019725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70813000</v>
      </c>
      <c r="D95" s="51">
        <f>+D32</f>
        <v>109583000</v>
      </c>
      <c r="E95" s="51">
        <f>+E32</f>
        <v>135199000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349208000</v>
      </c>
      <c r="D96" s="51">
        <v>428973000</v>
      </c>
      <c r="E96" s="51">
        <v>478461000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25.600748874681038</v>
      </c>
      <c r="D98" s="192">
        <f>IF(D104=0,0,(D101/D104)*100)</f>
        <v>26.733167534493585</v>
      </c>
      <c r="E98" s="192">
        <f>IF(E104=0,0,(E101/E104)*100)</f>
        <v>30.133966561416219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17690992</v>
      </c>
      <c r="D99" s="51">
        <f>+D28</f>
        <v>25387293</v>
      </c>
      <c r="E99" s="51">
        <f>+E28</f>
        <v>36722427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26955434</v>
      </c>
      <c r="D100" s="52">
        <f>+D76</f>
        <v>27391465</v>
      </c>
      <c r="E100" s="52">
        <f>+E76</f>
        <v>27314964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44646426</v>
      </c>
      <c r="D101" s="51">
        <f>+D99+D100</f>
        <v>52778758</v>
      </c>
      <c r="E101" s="51">
        <f>+E99+E100</f>
        <v>64037391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64000000</v>
      </c>
      <c r="D102" s="180">
        <f>+D69</f>
        <v>67314000</v>
      </c>
      <c r="E102" s="180">
        <f>+E69</f>
        <v>82484000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110395000</v>
      </c>
      <c r="D103" s="194">
        <v>130114000</v>
      </c>
      <c r="E103" s="194">
        <v>130025000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174395000</v>
      </c>
      <c r="D104" s="180">
        <f>+D102+D103</f>
        <v>197428000</v>
      </c>
      <c r="E104" s="180">
        <f>+E102+E103</f>
        <v>212509000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60.921703236060218</v>
      </c>
      <c r="D106" s="197">
        <f>IF(D109=0,0,(D107/D109)*100)</f>
        <v>54.28269857361586</v>
      </c>
      <c r="E106" s="197">
        <f>IF(E109=0,0,(E107/E109)*100)</f>
        <v>49.024598075588941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110395000</v>
      </c>
      <c r="D107" s="180">
        <f>+D103</f>
        <v>130114000</v>
      </c>
      <c r="E107" s="180">
        <f>+E103</f>
        <v>130025000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70813000</v>
      </c>
      <c r="D108" s="180">
        <f>+D32</f>
        <v>109583000</v>
      </c>
      <c r="E108" s="180">
        <f>+E32</f>
        <v>135199000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181208000</v>
      </c>
      <c r="D109" s="180">
        <f>+D107+D108</f>
        <v>239697000</v>
      </c>
      <c r="E109" s="180">
        <f>+E107+E108</f>
        <v>265224000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1.2886712683987642</v>
      </c>
      <c r="D111" s="197">
        <f>IF((+D113+D115)=0,0,((+D112+D113+D114)/(+D113+D115)))</f>
        <v>0.47288026846162284</v>
      </c>
      <c r="E111" s="197">
        <f>IF((+E113+E115)=0,0,((+E112+E113+E114)/(+E113+E115)))</f>
        <v>6.8750039644974681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17690992</v>
      </c>
      <c r="D112" s="180">
        <f>+D17</f>
        <v>25387293</v>
      </c>
      <c r="E112" s="180">
        <f>+E17</f>
        <v>36722427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5220009</v>
      </c>
      <c r="D113" s="180">
        <v>4876423</v>
      </c>
      <c r="E113" s="180">
        <v>5545081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26955434</v>
      </c>
      <c r="D114" s="180">
        <v>27391465</v>
      </c>
      <c r="E114" s="180">
        <v>27314964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33476000</v>
      </c>
      <c r="D115" s="180">
        <v>117047000</v>
      </c>
      <c r="E115" s="180">
        <v>4576000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9.7565856294504485</v>
      </c>
      <c r="D119" s="197">
        <f>IF(+D121=0,0,(+D120)/(+D121))</f>
        <v>10.416821444198037</v>
      </c>
      <c r="E119" s="197">
        <f>IF(+E121=0,0,(+E120)/(+E121))</f>
        <v>11.482643725981115</v>
      </c>
    </row>
    <row r="120" spans="1:8" ht="24" customHeight="1" x14ac:dyDescent="0.25">
      <c r="A120" s="17">
        <v>21</v>
      </c>
      <c r="B120" s="48" t="s">
        <v>369</v>
      </c>
      <c r="C120" s="180">
        <v>262993000</v>
      </c>
      <c r="D120" s="180">
        <v>285332000</v>
      </c>
      <c r="E120" s="180">
        <v>313648000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26955434</v>
      </c>
      <c r="D121" s="180">
        <v>27391465</v>
      </c>
      <c r="E121" s="180">
        <v>27314964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75272</v>
      </c>
      <c r="D124" s="198">
        <v>76225</v>
      </c>
      <c r="E124" s="198">
        <v>74442</v>
      </c>
    </row>
    <row r="125" spans="1:8" ht="24" customHeight="1" x14ac:dyDescent="0.2">
      <c r="A125" s="44">
        <v>2</v>
      </c>
      <c r="B125" s="48" t="s">
        <v>373</v>
      </c>
      <c r="C125" s="198">
        <v>14888</v>
      </c>
      <c r="D125" s="198">
        <v>15089</v>
      </c>
      <c r="E125" s="198">
        <v>14940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5.0558839333691568</v>
      </c>
      <c r="D126" s="199">
        <f>IF(D125=0,0,D124/D125)</f>
        <v>5.0516932865000994</v>
      </c>
      <c r="E126" s="199">
        <f>IF(E125=0,0,E124/E125)</f>
        <v>4.9827309236947794</v>
      </c>
    </row>
    <row r="127" spans="1:8" ht="24" customHeight="1" x14ac:dyDescent="0.2">
      <c r="A127" s="44">
        <v>4</v>
      </c>
      <c r="B127" s="48" t="s">
        <v>375</v>
      </c>
      <c r="C127" s="198">
        <v>321</v>
      </c>
      <c r="D127" s="198">
        <v>269</v>
      </c>
      <c r="E127" s="198">
        <v>271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322</v>
      </c>
      <c r="E128" s="198">
        <v>322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330</v>
      </c>
      <c r="D129" s="198">
        <v>330</v>
      </c>
      <c r="E129" s="198">
        <v>330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0.64239999999999997</v>
      </c>
      <c r="D130" s="171">
        <v>0.77629999999999999</v>
      </c>
      <c r="E130" s="171">
        <v>0.75249999999999995</v>
      </c>
    </row>
    <row r="131" spans="1:8" ht="24" customHeight="1" x14ac:dyDescent="0.2">
      <c r="A131" s="44">
        <v>7</v>
      </c>
      <c r="B131" s="48" t="s">
        <v>379</v>
      </c>
      <c r="C131" s="171">
        <v>0.62490000000000001</v>
      </c>
      <c r="D131" s="171">
        <v>0.64849999999999997</v>
      </c>
      <c r="E131" s="171">
        <v>0.63329999999999997</v>
      </c>
    </row>
    <row r="132" spans="1:8" ht="24" customHeight="1" x14ac:dyDescent="0.2">
      <c r="A132" s="44">
        <v>8</v>
      </c>
      <c r="B132" s="48" t="s">
        <v>380</v>
      </c>
      <c r="C132" s="199">
        <v>1898.4</v>
      </c>
      <c r="D132" s="199">
        <v>2051.8000000000002</v>
      </c>
      <c r="E132" s="199">
        <v>2089.4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0.46727778739815623</v>
      </c>
      <c r="D135" s="203">
        <f>IF(D149=0,0,D143/D149)</f>
        <v>0.45939273161535787</v>
      </c>
      <c r="E135" s="203">
        <f>IF(E149=0,0,E143/E149)</f>
        <v>0.4557968633336647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0.36638785456099737</v>
      </c>
      <c r="D136" s="203">
        <f>IF(D149=0,0,D144/D149)</f>
        <v>0.37120757113926955</v>
      </c>
      <c r="E136" s="203">
        <f>IF(E149=0,0,E144/E149)</f>
        <v>0.36509504121762448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8.5526754775535493E-2</v>
      </c>
      <c r="D137" s="203">
        <f>IF(D149=0,0,D145/D149)</f>
        <v>9.4696986108039977E-2</v>
      </c>
      <c r="E137" s="203">
        <f>IF(E149=0,0,E145/E149)</f>
        <v>0.12478894152296711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2.8767422601220834E-2</v>
      </c>
      <c r="D138" s="203">
        <f>IF(D149=0,0,D146/D149)</f>
        <v>2.4843710224219558E-2</v>
      </c>
      <c r="E138" s="203">
        <f>IF(E149=0,0,E146/E149)</f>
        <v>2.997550543182439E-3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5.1541582247697962E-2</v>
      </c>
      <c r="D139" s="203">
        <f>IF(D149=0,0,D147/D149)</f>
        <v>4.9334139435511085E-2</v>
      </c>
      <c r="E139" s="203">
        <f>IF(E149=0,0,E147/E149)</f>
        <v>5.0186091103661304E-2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4.9859841639206314E-4</v>
      </c>
      <c r="D140" s="203">
        <f>IF(D149=0,0,D148/D149)</f>
        <v>5.2486147760199794E-4</v>
      </c>
      <c r="E140" s="203">
        <f>IF(E149=0,0,E148/E149)</f>
        <v>1.1355122788999116E-3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540648490</v>
      </c>
      <c r="D143" s="205">
        <f>+D46-D147</f>
        <v>591985290</v>
      </c>
      <c r="E143" s="205">
        <f>+E46-E147</f>
        <v>665159187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423917091</v>
      </c>
      <c r="D144" s="205">
        <f>+D51</f>
        <v>478347624</v>
      </c>
      <c r="E144" s="205">
        <f>+E51</f>
        <v>532795068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98955936</v>
      </c>
      <c r="D145" s="205">
        <f>+D55</f>
        <v>122028972</v>
      </c>
      <c r="E145" s="205">
        <f>+E55</f>
        <v>182108561</v>
      </c>
    </row>
    <row r="146" spans="1:7" ht="20.100000000000001" customHeight="1" x14ac:dyDescent="0.2">
      <c r="A146" s="202">
        <v>11</v>
      </c>
      <c r="B146" s="201" t="s">
        <v>392</v>
      </c>
      <c r="C146" s="204">
        <v>33284406</v>
      </c>
      <c r="D146" s="205">
        <v>32014244</v>
      </c>
      <c r="E146" s="205">
        <v>4374423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59634503</v>
      </c>
      <c r="D147" s="205">
        <f>+D47</f>
        <v>63573241</v>
      </c>
      <c r="E147" s="205">
        <f>+E47</f>
        <v>73238195</v>
      </c>
    </row>
    <row r="148" spans="1:7" ht="20.100000000000001" customHeight="1" x14ac:dyDescent="0.2">
      <c r="A148" s="202">
        <v>13</v>
      </c>
      <c r="B148" s="201" t="s">
        <v>394</v>
      </c>
      <c r="C148" s="206">
        <v>576887</v>
      </c>
      <c r="D148" s="205">
        <v>676350</v>
      </c>
      <c r="E148" s="205">
        <v>1657090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1157017313</v>
      </c>
      <c r="D149" s="205">
        <f>SUM(D143:D148)</f>
        <v>1288625721</v>
      </c>
      <c r="E149" s="205">
        <f>SUM(E143:E148)</f>
        <v>1459332524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0.67499966713091997</v>
      </c>
      <c r="D152" s="203">
        <f>IF(D166=0,0,D160/D166)</f>
        <v>0.67527552002078528</v>
      </c>
      <c r="E152" s="203">
        <f>IF(E166=0,0,E160/E166)</f>
        <v>0.69101916028691124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0.2517551153051284</v>
      </c>
      <c r="D153" s="203">
        <f>IF(D166=0,0,D161/D166)</f>
        <v>0.25946502773165359</v>
      </c>
      <c r="E153" s="203">
        <f>IF(E166=0,0,E161/E166)</f>
        <v>0.23683063418949787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5.7308547055315594E-2</v>
      </c>
      <c r="D154" s="203">
        <f>IF(D166=0,0,D162/D166)</f>
        <v>5.4432771776149823E-2</v>
      </c>
      <c r="E154" s="203">
        <f>IF(E166=0,0,E162/E166)</f>
        <v>6.5716726885544433E-2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9.5972309822548816E-3</v>
      </c>
      <c r="D155" s="203">
        <f>IF(D166=0,0,D163/D166)</f>
        <v>5.0670414125932638E-3</v>
      </c>
      <c r="E155" s="203">
        <f>IF(E166=0,0,E163/E166)</f>
        <v>7.9130052763050048E-4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5.8663577844335745E-3</v>
      </c>
      <c r="D156" s="203">
        <f>IF(D166=0,0,D164/D166)</f>
        <v>5.4807994343022571E-3</v>
      </c>
      <c r="E156" s="203">
        <f>IF(E166=0,0,E164/E166)</f>
        <v>4.7704654481979135E-3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4.730817419475837E-4</v>
      </c>
      <c r="D157" s="203">
        <f>IF(D166=0,0,D165/D166)</f>
        <v>2.7883962451575358E-4</v>
      </c>
      <c r="E157" s="203">
        <f>IF(E166=0,0,E165/E166)</f>
        <v>8.7171266221807678E-4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257482860</v>
      </c>
      <c r="D160" s="208">
        <f>+D44-D164</f>
        <v>266724987</v>
      </c>
      <c r="E160" s="208">
        <f>+E44-E164</f>
        <v>295254397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96033569</v>
      </c>
      <c r="D161" s="208">
        <f>+D50</f>
        <v>102485288</v>
      </c>
      <c r="E161" s="208">
        <f>+E50</f>
        <v>101191530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21860705</v>
      </c>
      <c r="D162" s="208">
        <f>+D54</f>
        <v>21500232</v>
      </c>
      <c r="E162" s="208">
        <f>+E54</f>
        <v>28079037</v>
      </c>
    </row>
    <row r="163" spans="1:6" ht="20.100000000000001" customHeight="1" x14ac:dyDescent="0.2">
      <c r="A163" s="202">
        <v>11</v>
      </c>
      <c r="B163" s="201" t="s">
        <v>408</v>
      </c>
      <c r="C163" s="207">
        <v>3660924</v>
      </c>
      <c r="D163" s="208">
        <v>2001415</v>
      </c>
      <c r="E163" s="208">
        <v>338102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2237759</v>
      </c>
      <c r="D164" s="208">
        <f>+D45</f>
        <v>2164844</v>
      </c>
      <c r="E164" s="208">
        <f>+E45</f>
        <v>2038295</v>
      </c>
    </row>
    <row r="165" spans="1:6" ht="20.100000000000001" customHeight="1" x14ac:dyDescent="0.2">
      <c r="A165" s="202">
        <v>13</v>
      </c>
      <c r="B165" s="201" t="s">
        <v>410</v>
      </c>
      <c r="C165" s="209">
        <v>180460</v>
      </c>
      <c r="D165" s="208">
        <v>110138</v>
      </c>
      <c r="E165" s="208">
        <v>372460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381456277</v>
      </c>
      <c r="D166" s="208">
        <f>SUM(D160:D165)</f>
        <v>394986904</v>
      </c>
      <c r="E166" s="208">
        <f>SUM(E160:E165)</f>
        <v>427273821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7028</v>
      </c>
      <c r="D169" s="198">
        <v>6787</v>
      </c>
      <c r="E169" s="198">
        <v>6526</v>
      </c>
    </row>
    <row r="170" spans="1:6" ht="20.100000000000001" customHeight="1" x14ac:dyDescent="0.2">
      <c r="A170" s="202">
        <v>2</v>
      </c>
      <c r="B170" s="201" t="s">
        <v>414</v>
      </c>
      <c r="C170" s="198">
        <v>5093</v>
      </c>
      <c r="D170" s="198">
        <v>5382</v>
      </c>
      <c r="E170" s="198">
        <v>5251</v>
      </c>
    </row>
    <row r="171" spans="1:6" ht="20.100000000000001" customHeight="1" x14ac:dyDescent="0.2">
      <c r="A171" s="202">
        <v>3</v>
      </c>
      <c r="B171" s="201" t="s">
        <v>415</v>
      </c>
      <c r="C171" s="198">
        <v>2756</v>
      </c>
      <c r="D171" s="198">
        <v>2907</v>
      </c>
      <c r="E171" s="198">
        <v>3147</v>
      </c>
    </row>
    <row r="172" spans="1:6" ht="20.100000000000001" customHeight="1" x14ac:dyDescent="0.2">
      <c r="A172" s="202">
        <v>4</v>
      </c>
      <c r="B172" s="201" t="s">
        <v>416</v>
      </c>
      <c r="C172" s="198">
        <v>2285</v>
      </c>
      <c r="D172" s="198">
        <v>2457</v>
      </c>
      <c r="E172" s="198">
        <v>3039</v>
      </c>
    </row>
    <row r="173" spans="1:6" ht="20.100000000000001" customHeight="1" x14ac:dyDescent="0.2">
      <c r="A173" s="202">
        <v>5</v>
      </c>
      <c r="B173" s="201" t="s">
        <v>417</v>
      </c>
      <c r="C173" s="198">
        <v>471</v>
      </c>
      <c r="D173" s="198">
        <v>450</v>
      </c>
      <c r="E173" s="198">
        <v>108</v>
      </c>
    </row>
    <row r="174" spans="1:6" ht="20.100000000000001" customHeight="1" x14ac:dyDescent="0.2">
      <c r="A174" s="202">
        <v>6</v>
      </c>
      <c r="B174" s="201" t="s">
        <v>418</v>
      </c>
      <c r="C174" s="198">
        <v>11</v>
      </c>
      <c r="D174" s="198">
        <v>13</v>
      </c>
      <c r="E174" s="198">
        <v>16</v>
      </c>
    </row>
    <row r="175" spans="1:6" ht="20.100000000000001" customHeight="1" x14ac:dyDescent="0.2">
      <c r="A175" s="202">
        <v>7</v>
      </c>
      <c r="B175" s="201" t="s">
        <v>419</v>
      </c>
      <c r="C175" s="198">
        <v>590</v>
      </c>
      <c r="D175" s="198">
        <v>490</v>
      </c>
      <c r="E175" s="198">
        <v>479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14888</v>
      </c>
      <c r="D176" s="198">
        <f>+D169+D170+D171+D174</f>
        <v>15089</v>
      </c>
      <c r="E176" s="198">
        <f>+E169+E170+E171+E174</f>
        <v>14940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1.04837</v>
      </c>
      <c r="D179" s="210">
        <v>1.06006</v>
      </c>
      <c r="E179" s="210">
        <v>1.1175999999999999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1.5766899999999999</v>
      </c>
      <c r="D180" s="210">
        <v>1.5350900000000001</v>
      </c>
      <c r="E180" s="210">
        <v>1.5151699999999999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0.96681899999999998</v>
      </c>
      <c r="D181" s="210">
        <v>0.97161799999999998</v>
      </c>
      <c r="E181" s="210">
        <v>0.969055</v>
      </c>
    </row>
    <row r="182" spans="1:6" ht="20.100000000000001" customHeight="1" x14ac:dyDescent="0.2">
      <c r="A182" s="202">
        <v>4</v>
      </c>
      <c r="B182" s="201" t="s">
        <v>416</v>
      </c>
      <c r="C182" s="210">
        <v>0.88258999999999999</v>
      </c>
      <c r="D182" s="210">
        <v>0.92154999999999998</v>
      </c>
      <c r="E182" s="210">
        <v>0.97350000000000003</v>
      </c>
    </row>
    <row r="183" spans="1:6" ht="20.100000000000001" customHeight="1" x14ac:dyDescent="0.2">
      <c r="A183" s="202">
        <v>5</v>
      </c>
      <c r="B183" s="201" t="s">
        <v>417</v>
      </c>
      <c r="C183" s="210">
        <v>1.3754500000000001</v>
      </c>
      <c r="D183" s="210">
        <v>1.24499</v>
      </c>
      <c r="E183" s="210">
        <v>0.84397999999999995</v>
      </c>
    </row>
    <row r="184" spans="1:6" ht="20.100000000000001" customHeight="1" x14ac:dyDescent="0.2">
      <c r="A184" s="202">
        <v>6</v>
      </c>
      <c r="B184" s="201" t="s">
        <v>418</v>
      </c>
      <c r="C184" s="210">
        <v>1.0287200000000001</v>
      </c>
      <c r="D184" s="210">
        <v>0.75034000000000001</v>
      </c>
      <c r="E184" s="210">
        <v>1.3145</v>
      </c>
    </row>
    <row r="185" spans="1:6" ht="20.100000000000001" customHeight="1" x14ac:dyDescent="0.2">
      <c r="A185" s="202">
        <v>7</v>
      </c>
      <c r="B185" s="201" t="s">
        <v>419</v>
      </c>
      <c r="C185" s="210">
        <v>1.2307600000000001</v>
      </c>
      <c r="D185" s="210">
        <v>1.1037699999999999</v>
      </c>
      <c r="E185" s="210">
        <v>1.1226700000000001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1.2139899999999999</v>
      </c>
      <c r="D186" s="210">
        <v>1.212189</v>
      </c>
      <c r="E186" s="210">
        <v>1.2262550000000001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7214</v>
      </c>
      <c r="D189" s="198">
        <v>8068</v>
      </c>
      <c r="E189" s="198">
        <v>8175</v>
      </c>
    </row>
    <row r="190" spans="1:6" ht="20.100000000000001" customHeight="1" x14ac:dyDescent="0.2">
      <c r="A190" s="202">
        <v>2</v>
      </c>
      <c r="B190" s="201" t="s">
        <v>427</v>
      </c>
      <c r="C190" s="198">
        <v>39086</v>
      </c>
      <c r="D190" s="198">
        <v>39642</v>
      </c>
      <c r="E190" s="198">
        <v>40316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46300</v>
      </c>
      <c r="D191" s="198">
        <f>+D190+D189</f>
        <v>47710</v>
      </c>
      <c r="E191" s="198">
        <f>+E190+E189</f>
        <v>48491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1535362</v>
      </c>
      <c r="D14" s="237">
        <v>1334301</v>
      </c>
      <c r="E14" s="237">
        <f t="shared" ref="E14:E24" si="0">D14-C14</f>
        <v>-201061</v>
      </c>
      <c r="F14" s="238">
        <f t="shared" ref="F14:F24" si="1">IF(C14=0,0,E14/C14)</f>
        <v>-0.13095348198014539</v>
      </c>
    </row>
    <row r="15" spans="1:7" ht="20.25" customHeight="1" x14ac:dyDescent="0.3">
      <c r="A15" s="235">
        <v>2</v>
      </c>
      <c r="B15" s="236" t="s">
        <v>435</v>
      </c>
      <c r="C15" s="237">
        <v>427323</v>
      </c>
      <c r="D15" s="237">
        <v>317371</v>
      </c>
      <c r="E15" s="237">
        <f t="shared" si="0"/>
        <v>-109952</v>
      </c>
      <c r="F15" s="238">
        <f t="shared" si="1"/>
        <v>-0.257304193783157</v>
      </c>
    </row>
    <row r="16" spans="1:7" ht="20.25" customHeight="1" x14ac:dyDescent="0.3">
      <c r="A16" s="235">
        <v>3</v>
      </c>
      <c r="B16" s="236" t="s">
        <v>436</v>
      </c>
      <c r="C16" s="237">
        <v>869944</v>
      </c>
      <c r="D16" s="237">
        <v>1448828</v>
      </c>
      <c r="E16" s="237">
        <f t="shared" si="0"/>
        <v>578884</v>
      </c>
      <c r="F16" s="238">
        <f t="shared" si="1"/>
        <v>0.6654267401120072</v>
      </c>
    </row>
    <row r="17" spans="1:6" ht="20.25" customHeight="1" x14ac:dyDescent="0.3">
      <c r="A17" s="235">
        <v>4</v>
      </c>
      <c r="B17" s="236" t="s">
        <v>437</v>
      </c>
      <c r="C17" s="237">
        <v>138637</v>
      </c>
      <c r="D17" s="237">
        <v>229055</v>
      </c>
      <c r="E17" s="237">
        <f t="shared" si="0"/>
        <v>90418</v>
      </c>
      <c r="F17" s="238">
        <f t="shared" si="1"/>
        <v>0.65219241616595858</v>
      </c>
    </row>
    <row r="18" spans="1:6" ht="20.25" customHeight="1" x14ac:dyDescent="0.3">
      <c r="A18" s="235">
        <v>5</v>
      </c>
      <c r="B18" s="236" t="s">
        <v>373</v>
      </c>
      <c r="C18" s="239">
        <v>31</v>
      </c>
      <c r="D18" s="239">
        <v>25</v>
      </c>
      <c r="E18" s="239">
        <f t="shared" si="0"/>
        <v>-6</v>
      </c>
      <c r="F18" s="238">
        <f t="shared" si="1"/>
        <v>-0.19354838709677419</v>
      </c>
    </row>
    <row r="19" spans="1:6" ht="20.25" customHeight="1" x14ac:dyDescent="0.3">
      <c r="A19" s="235">
        <v>6</v>
      </c>
      <c r="B19" s="236" t="s">
        <v>372</v>
      </c>
      <c r="C19" s="239">
        <v>155</v>
      </c>
      <c r="D19" s="239">
        <v>107</v>
      </c>
      <c r="E19" s="239">
        <f t="shared" si="0"/>
        <v>-48</v>
      </c>
      <c r="F19" s="238">
        <f t="shared" si="1"/>
        <v>-0.30967741935483872</v>
      </c>
    </row>
    <row r="20" spans="1:6" ht="20.25" customHeight="1" x14ac:dyDescent="0.3">
      <c r="A20" s="235">
        <v>7</v>
      </c>
      <c r="B20" s="236" t="s">
        <v>438</v>
      </c>
      <c r="C20" s="239">
        <v>229</v>
      </c>
      <c r="D20" s="239">
        <v>372</v>
      </c>
      <c r="E20" s="239">
        <f t="shared" si="0"/>
        <v>143</v>
      </c>
      <c r="F20" s="238">
        <f t="shared" si="1"/>
        <v>0.62445414847161573</v>
      </c>
    </row>
    <row r="21" spans="1:6" ht="20.25" customHeight="1" x14ac:dyDescent="0.3">
      <c r="A21" s="235">
        <v>8</v>
      </c>
      <c r="B21" s="236" t="s">
        <v>439</v>
      </c>
      <c r="C21" s="239">
        <v>26</v>
      </c>
      <c r="D21" s="239">
        <v>35</v>
      </c>
      <c r="E21" s="239">
        <f t="shared" si="0"/>
        <v>9</v>
      </c>
      <c r="F21" s="238">
        <f t="shared" si="1"/>
        <v>0.34615384615384615</v>
      </c>
    </row>
    <row r="22" spans="1:6" ht="20.25" customHeight="1" x14ac:dyDescent="0.3">
      <c r="A22" s="235">
        <v>9</v>
      </c>
      <c r="B22" s="236" t="s">
        <v>440</v>
      </c>
      <c r="C22" s="239">
        <v>17</v>
      </c>
      <c r="D22" s="239">
        <v>33</v>
      </c>
      <c r="E22" s="239">
        <f t="shared" si="0"/>
        <v>16</v>
      </c>
      <c r="F22" s="238">
        <f t="shared" si="1"/>
        <v>0.94117647058823528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2405306</v>
      </c>
      <c r="D23" s="243">
        <f>+D14+D16</f>
        <v>2783129</v>
      </c>
      <c r="E23" s="243">
        <f t="shared" si="0"/>
        <v>377823</v>
      </c>
      <c r="F23" s="244">
        <f t="shared" si="1"/>
        <v>0.15707897456706132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565960</v>
      </c>
      <c r="D24" s="243">
        <f>+D15+D17</f>
        <v>546426</v>
      </c>
      <c r="E24" s="243">
        <f t="shared" si="0"/>
        <v>-19534</v>
      </c>
      <c r="F24" s="244">
        <f t="shared" si="1"/>
        <v>-3.4514806700120151E-2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26525</v>
      </c>
      <c r="E29" s="237">
        <f t="shared" si="2"/>
        <v>26525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665</v>
      </c>
      <c r="E30" s="237">
        <f t="shared" si="2"/>
        <v>665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2</v>
      </c>
      <c r="E33" s="239">
        <f t="shared" si="2"/>
        <v>2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1</v>
      </c>
      <c r="E34" s="239">
        <f t="shared" si="2"/>
        <v>1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26525</v>
      </c>
      <c r="E36" s="243">
        <f t="shared" si="2"/>
        <v>26525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665</v>
      </c>
      <c r="E37" s="243">
        <f t="shared" si="2"/>
        <v>665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2273658</v>
      </c>
      <c r="D40" s="237">
        <v>2701295</v>
      </c>
      <c r="E40" s="237">
        <f t="shared" ref="E40:E50" si="4">D40-C40</f>
        <v>427637</v>
      </c>
      <c r="F40" s="238">
        <f t="shared" ref="F40:F50" si="5">IF(C40=0,0,E40/C40)</f>
        <v>0.18808325614494353</v>
      </c>
    </row>
    <row r="41" spans="1:6" ht="20.25" customHeight="1" x14ac:dyDescent="0.3">
      <c r="A41" s="235">
        <v>2</v>
      </c>
      <c r="B41" s="236" t="s">
        <v>435</v>
      </c>
      <c r="C41" s="237">
        <v>539438</v>
      </c>
      <c r="D41" s="237">
        <v>518779</v>
      </c>
      <c r="E41" s="237">
        <f t="shared" si="4"/>
        <v>-20659</v>
      </c>
      <c r="F41" s="238">
        <f t="shared" si="5"/>
        <v>-3.8297264931280335E-2</v>
      </c>
    </row>
    <row r="42" spans="1:6" ht="20.25" customHeight="1" x14ac:dyDescent="0.3">
      <c r="A42" s="235">
        <v>3</v>
      </c>
      <c r="B42" s="236" t="s">
        <v>436</v>
      </c>
      <c r="C42" s="237">
        <v>1439001</v>
      </c>
      <c r="D42" s="237">
        <v>3581312</v>
      </c>
      <c r="E42" s="237">
        <f t="shared" si="4"/>
        <v>2142311</v>
      </c>
      <c r="F42" s="238">
        <f t="shared" si="5"/>
        <v>1.4887487916964617</v>
      </c>
    </row>
    <row r="43" spans="1:6" ht="20.25" customHeight="1" x14ac:dyDescent="0.3">
      <c r="A43" s="235">
        <v>4</v>
      </c>
      <c r="B43" s="236" t="s">
        <v>437</v>
      </c>
      <c r="C43" s="237">
        <v>172690</v>
      </c>
      <c r="D43" s="237">
        <v>442873</v>
      </c>
      <c r="E43" s="237">
        <f t="shared" si="4"/>
        <v>270183</v>
      </c>
      <c r="F43" s="238">
        <f t="shared" si="5"/>
        <v>1.5645549829173664</v>
      </c>
    </row>
    <row r="44" spans="1:6" ht="20.25" customHeight="1" x14ac:dyDescent="0.3">
      <c r="A44" s="235">
        <v>5</v>
      </c>
      <c r="B44" s="236" t="s">
        <v>373</v>
      </c>
      <c r="C44" s="239">
        <v>23</v>
      </c>
      <c r="D44" s="239">
        <v>31</v>
      </c>
      <c r="E44" s="239">
        <f t="shared" si="4"/>
        <v>8</v>
      </c>
      <c r="F44" s="238">
        <f t="shared" si="5"/>
        <v>0.34782608695652173</v>
      </c>
    </row>
    <row r="45" spans="1:6" ht="20.25" customHeight="1" x14ac:dyDescent="0.3">
      <c r="A45" s="235">
        <v>6</v>
      </c>
      <c r="B45" s="236" t="s">
        <v>372</v>
      </c>
      <c r="C45" s="239">
        <v>258</v>
      </c>
      <c r="D45" s="239">
        <v>263</v>
      </c>
      <c r="E45" s="239">
        <f t="shared" si="4"/>
        <v>5</v>
      </c>
      <c r="F45" s="238">
        <f t="shared" si="5"/>
        <v>1.937984496124031E-2</v>
      </c>
    </row>
    <row r="46" spans="1:6" ht="20.25" customHeight="1" x14ac:dyDescent="0.3">
      <c r="A46" s="235">
        <v>7</v>
      </c>
      <c r="B46" s="236" t="s">
        <v>438</v>
      </c>
      <c r="C46" s="239">
        <v>407</v>
      </c>
      <c r="D46" s="239">
        <v>900</v>
      </c>
      <c r="E46" s="239">
        <f t="shared" si="4"/>
        <v>493</v>
      </c>
      <c r="F46" s="238">
        <f t="shared" si="5"/>
        <v>1.2113022113022114</v>
      </c>
    </row>
    <row r="47" spans="1:6" ht="20.25" customHeight="1" x14ac:dyDescent="0.3">
      <c r="A47" s="235">
        <v>8</v>
      </c>
      <c r="B47" s="236" t="s">
        <v>439</v>
      </c>
      <c r="C47" s="239">
        <v>35</v>
      </c>
      <c r="D47" s="239">
        <v>56</v>
      </c>
      <c r="E47" s="239">
        <f t="shared" si="4"/>
        <v>21</v>
      </c>
      <c r="F47" s="238">
        <f t="shared" si="5"/>
        <v>0.6</v>
      </c>
    </row>
    <row r="48" spans="1:6" ht="20.25" customHeight="1" x14ac:dyDescent="0.3">
      <c r="A48" s="235">
        <v>9</v>
      </c>
      <c r="B48" s="236" t="s">
        <v>440</v>
      </c>
      <c r="C48" s="239">
        <v>14</v>
      </c>
      <c r="D48" s="239">
        <v>27</v>
      </c>
      <c r="E48" s="239">
        <f t="shared" si="4"/>
        <v>13</v>
      </c>
      <c r="F48" s="238">
        <f t="shared" si="5"/>
        <v>0.9285714285714286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3712659</v>
      </c>
      <c r="D49" s="243">
        <f>+D40+D42</f>
        <v>6282607</v>
      </c>
      <c r="E49" s="243">
        <f t="shared" si="4"/>
        <v>2569948</v>
      </c>
      <c r="F49" s="244">
        <f t="shared" si="5"/>
        <v>0.69221223926032527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712128</v>
      </c>
      <c r="D50" s="243">
        <f>+D41+D43</f>
        <v>961652</v>
      </c>
      <c r="E50" s="243">
        <f t="shared" si="4"/>
        <v>249524</v>
      </c>
      <c r="F50" s="244">
        <f t="shared" si="5"/>
        <v>0.35039206434798237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25711343</v>
      </c>
      <c r="D53" s="237">
        <v>8035366</v>
      </c>
      <c r="E53" s="237">
        <f t="shared" ref="E53:E63" si="6">D53-C53</f>
        <v>-17675977</v>
      </c>
      <c r="F53" s="238">
        <f t="shared" ref="F53:F63" si="7">IF(C53=0,0,E53/C53)</f>
        <v>-0.68747777974880586</v>
      </c>
    </row>
    <row r="54" spans="1:6" ht="20.25" customHeight="1" x14ac:dyDescent="0.3">
      <c r="A54" s="235">
        <v>2</v>
      </c>
      <c r="B54" s="236" t="s">
        <v>435</v>
      </c>
      <c r="C54" s="237">
        <v>6737504</v>
      </c>
      <c r="D54" s="237">
        <v>1585967</v>
      </c>
      <c r="E54" s="237">
        <f t="shared" si="6"/>
        <v>-5151537</v>
      </c>
      <c r="F54" s="238">
        <f t="shared" si="7"/>
        <v>-0.76460615088317574</v>
      </c>
    </row>
    <row r="55" spans="1:6" ht="20.25" customHeight="1" x14ac:dyDescent="0.3">
      <c r="A55" s="235">
        <v>3</v>
      </c>
      <c r="B55" s="236" t="s">
        <v>436</v>
      </c>
      <c r="C55" s="237">
        <v>18757018</v>
      </c>
      <c r="D55" s="237">
        <v>5628168</v>
      </c>
      <c r="E55" s="237">
        <f t="shared" si="6"/>
        <v>-13128850</v>
      </c>
      <c r="F55" s="238">
        <f t="shared" si="7"/>
        <v>-0.69994334920401524</v>
      </c>
    </row>
    <row r="56" spans="1:6" ht="20.25" customHeight="1" x14ac:dyDescent="0.3">
      <c r="A56" s="235">
        <v>4</v>
      </c>
      <c r="B56" s="236" t="s">
        <v>437</v>
      </c>
      <c r="C56" s="237">
        <v>2463590</v>
      </c>
      <c r="D56" s="237">
        <v>729646</v>
      </c>
      <c r="E56" s="237">
        <f t="shared" si="6"/>
        <v>-1733944</v>
      </c>
      <c r="F56" s="238">
        <f t="shared" si="7"/>
        <v>-0.70382815322354775</v>
      </c>
    </row>
    <row r="57" spans="1:6" ht="20.25" customHeight="1" x14ac:dyDescent="0.3">
      <c r="A57" s="235">
        <v>5</v>
      </c>
      <c r="B57" s="236" t="s">
        <v>373</v>
      </c>
      <c r="C57" s="239">
        <v>515</v>
      </c>
      <c r="D57" s="239">
        <v>136</v>
      </c>
      <c r="E57" s="239">
        <f t="shared" si="6"/>
        <v>-379</v>
      </c>
      <c r="F57" s="238">
        <f t="shared" si="7"/>
        <v>-0.73592233009708741</v>
      </c>
    </row>
    <row r="58" spans="1:6" ht="20.25" customHeight="1" x14ac:dyDescent="0.3">
      <c r="A58" s="235">
        <v>6</v>
      </c>
      <c r="B58" s="236" t="s">
        <v>372</v>
      </c>
      <c r="C58" s="239">
        <v>3255</v>
      </c>
      <c r="D58" s="239">
        <v>952</v>
      </c>
      <c r="E58" s="239">
        <f t="shared" si="6"/>
        <v>-2303</v>
      </c>
      <c r="F58" s="238">
        <f t="shared" si="7"/>
        <v>-0.7075268817204301</v>
      </c>
    </row>
    <row r="59" spans="1:6" ht="20.25" customHeight="1" x14ac:dyDescent="0.3">
      <c r="A59" s="235">
        <v>7</v>
      </c>
      <c r="B59" s="236" t="s">
        <v>438</v>
      </c>
      <c r="C59" s="239">
        <v>6896</v>
      </c>
      <c r="D59" s="239">
        <v>1774</v>
      </c>
      <c r="E59" s="239">
        <f t="shared" si="6"/>
        <v>-5122</v>
      </c>
      <c r="F59" s="238">
        <f t="shared" si="7"/>
        <v>-0.74274941995359633</v>
      </c>
    </row>
    <row r="60" spans="1:6" ht="20.25" customHeight="1" x14ac:dyDescent="0.3">
      <c r="A60" s="235">
        <v>8</v>
      </c>
      <c r="B60" s="236" t="s">
        <v>439</v>
      </c>
      <c r="C60" s="239">
        <v>508</v>
      </c>
      <c r="D60" s="239">
        <v>123</v>
      </c>
      <c r="E60" s="239">
        <f t="shared" si="6"/>
        <v>-385</v>
      </c>
      <c r="F60" s="238">
        <f t="shared" si="7"/>
        <v>-0.75787401574803148</v>
      </c>
    </row>
    <row r="61" spans="1:6" ht="20.25" customHeight="1" x14ac:dyDescent="0.3">
      <c r="A61" s="235">
        <v>9</v>
      </c>
      <c r="B61" s="236" t="s">
        <v>440</v>
      </c>
      <c r="C61" s="239">
        <v>297</v>
      </c>
      <c r="D61" s="239">
        <v>108</v>
      </c>
      <c r="E61" s="239">
        <f t="shared" si="6"/>
        <v>-189</v>
      </c>
      <c r="F61" s="238">
        <f t="shared" si="7"/>
        <v>-0.63636363636363635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44468361</v>
      </c>
      <c r="D62" s="243">
        <f>+D53+D55</f>
        <v>13663534</v>
      </c>
      <c r="E62" s="243">
        <f t="shared" si="6"/>
        <v>-30804827</v>
      </c>
      <c r="F62" s="244">
        <f t="shared" si="7"/>
        <v>-0.69273583076291023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9201094</v>
      </c>
      <c r="D63" s="243">
        <f>+D54+D56</f>
        <v>2315613</v>
      </c>
      <c r="E63" s="243">
        <f t="shared" si="6"/>
        <v>-6885481</v>
      </c>
      <c r="F63" s="244">
        <f t="shared" si="7"/>
        <v>-0.74833286128801635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803662</v>
      </c>
      <c r="D66" s="237">
        <v>519198</v>
      </c>
      <c r="E66" s="237">
        <f t="shared" ref="E66:E76" si="8">D66-C66</f>
        <v>-284464</v>
      </c>
      <c r="F66" s="238">
        <f t="shared" ref="F66:F76" si="9">IF(C66=0,0,E66/C66)</f>
        <v>-0.35395974924781809</v>
      </c>
    </row>
    <row r="67" spans="1:6" ht="20.25" customHeight="1" x14ac:dyDescent="0.3">
      <c r="A67" s="235">
        <v>2</v>
      </c>
      <c r="B67" s="236" t="s">
        <v>435</v>
      </c>
      <c r="C67" s="237">
        <v>209972</v>
      </c>
      <c r="D67" s="237">
        <v>102880</v>
      </c>
      <c r="E67" s="237">
        <f t="shared" si="8"/>
        <v>-107092</v>
      </c>
      <c r="F67" s="238">
        <f t="shared" si="9"/>
        <v>-0.51002990874973808</v>
      </c>
    </row>
    <row r="68" spans="1:6" ht="20.25" customHeight="1" x14ac:dyDescent="0.3">
      <c r="A68" s="235">
        <v>3</v>
      </c>
      <c r="B68" s="236" t="s">
        <v>436</v>
      </c>
      <c r="C68" s="237">
        <v>1144841</v>
      </c>
      <c r="D68" s="237">
        <v>488396</v>
      </c>
      <c r="E68" s="237">
        <f t="shared" si="8"/>
        <v>-656445</v>
      </c>
      <c r="F68" s="238">
        <f t="shared" si="9"/>
        <v>-0.57339403463013638</v>
      </c>
    </row>
    <row r="69" spans="1:6" ht="20.25" customHeight="1" x14ac:dyDescent="0.3">
      <c r="A69" s="235">
        <v>4</v>
      </c>
      <c r="B69" s="236" t="s">
        <v>437</v>
      </c>
      <c r="C69" s="237">
        <v>185115</v>
      </c>
      <c r="D69" s="237">
        <v>81450</v>
      </c>
      <c r="E69" s="237">
        <f t="shared" si="8"/>
        <v>-103665</v>
      </c>
      <c r="F69" s="238">
        <f t="shared" si="9"/>
        <v>-0.5600032412284256</v>
      </c>
    </row>
    <row r="70" spans="1:6" ht="20.25" customHeight="1" x14ac:dyDescent="0.3">
      <c r="A70" s="235">
        <v>5</v>
      </c>
      <c r="B70" s="236" t="s">
        <v>373</v>
      </c>
      <c r="C70" s="239">
        <v>17</v>
      </c>
      <c r="D70" s="239">
        <v>15</v>
      </c>
      <c r="E70" s="239">
        <f t="shared" si="8"/>
        <v>-2</v>
      </c>
      <c r="F70" s="238">
        <f t="shared" si="9"/>
        <v>-0.11764705882352941</v>
      </c>
    </row>
    <row r="71" spans="1:6" ht="20.25" customHeight="1" x14ac:dyDescent="0.3">
      <c r="A71" s="235">
        <v>6</v>
      </c>
      <c r="B71" s="236" t="s">
        <v>372</v>
      </c>
      <c r="C71" s="239">
        <v>52</v>
      </c>
      <c r="D71" s="239">
        <v>67</v>
      </c>
      <c r="E71" s="239">
        <f t="shared" si="8"/>
        <v>15</v>
      </c>
      <c r="F71" s="238">
        <f t="shared" si="9"/>
        <v>0.28846153846153844</v>
      </c>
    </row>
    <row r="72" spans="1:6" ht="20.25" customHeight="1" x14ac:dyDescent="0.3">
      <c r="A72" s="235">
        <v>7</v>
      </c>
      <c r="B72" s="236" t="s">
        <v>438</v>
      </c>
      <c r="C72" s="239">
        <v>142</v>
      </c>
      <c r="D72" s="239">
        <v>62</v>
      </c>
      <c r="E72" s="239">
        <f t="shared" si="8"/>
        <v>-80</v>
      </c>
      <c r="F72" s="238">
        <f t="shared" si="9"/>
        <v>-0.56338028169014087</v>
      </c>
    </row>
    <row r="73" spans="1:6" ht="20.25" customHeight="1" x14ac:dyDescent="0.3">
      <c r="A73" s="235">
        <v>8</v>
      </c>
      <c r="B73" s="236" t="s">
        <v>439</v>
      </c>
      <c r="C73" s="239">
        <v>31</v>
      </c>
      <c r="D73" s="239">
        <v>20</v>
      </c>
      <c r="E73" s="239">
        <f t="shared" si="8"/>
        <v>-11</v>
      </c>
      <c r="F73" s="238">
        <f t="shared" si="9"/>
        <v>-0.35483870967741937</v>
      </c>
    </row>
    <row r="74" spans="1:6" ht="20.25" customHeight="1" x14ac:dyDescent="0.3">
      <c r="A74" s="235">
        <v>9</v>
      </c>
      <c r="B74" s="236" t="s">
        <v>440</v>
      </c>
      <c r="C74" s="239">
        <v>10</v>
      </c>
      <c r="D74" s="239">
        <v>15</v>
      </c>
      <c r="E74" s="239">
        <f t="shared" si="8"/>
        <v>5</v>
      </c>
      <c r="F74" s="238">
        <f t="shared" si="9"/>
        <v>0.5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1948503</v>
      </c>
      <c r="D75" s="243">
        <f>+D66+D68</f>
        <v>1007594</v>
      </c>
      <c r="E75" s="243">
        <f t="shared" si="8"/>
        <v>-940909</v>
      </c>
      <c r="F75" s="244">
        <f t="shared" si="9"/>
        <v>-0.48288814541214459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395087</v>
      </c>
      <c r="D76" s="243">
        <f>+D67+D69</f>
        <v>184330</v>
      </c>
      <c r="E76" s="243">
        <f t="shared" si="8"/>
        <v>-210757</v>
      </c>
      <c r="F76" s="244">
        <f t="shared" si="9"/>
        <v>-0.53344453247006351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85580</v>
      </c>
      <c r="D79" s="237">
        <v>277769</v>
      </c>
      <c r="E79" s="237">
        <f t="shared" ref="E79:E89" si="10">D79-C79</f>
        <v>192189</v>
      </c>
      <c r="F79" s="238">
        <f t="shared" ref="F79:F89" si="11">IF(C79=0,0,E79/C79)</f>
        <v>2.2457232998364103</v>
      </c>
    </row>
    <row r="80" spans="1:6" ht="20.25" customHeight="1" x14ac:dyDescent="0.3">
      <c r="A80" s="235">
        <v>2</v>
      </c>
      <c r="B80" s="236" t="s">
        <v>435</v>
      </c>
      <c r="C80" s="237">
        <v>33089</v>
      </c>
      <c r="D80" s="237">
        <v>51379</v>
      </c>
      <c r="E80" s="237">
        <f t="shared" si="10"/>
        <v>18290</v>
      </c>
      <c r="F80" s="238">
        <f t="shared" si="11"/>
        <v>0.55275166973918821</v>
      </c>
    </row>
    <row r="81" spans="1:6" ht="20.25" customHeight="1" x14ac:dyDescent="0.3">
      <c r="A81" s="235">
        <v>3</v>
      </c>
      <c r="B81" s="236" t="s">
        <v>436</v>
      </c>
      <c r="C81" s="237">
        <v>176294</v>
      </c>
      <c r="D81" s="237">
        <v>204269</v>
      </c>
      <c r="E81" s="237">
        <f t="shared" si="10"/>
        <v>27975</v>
      </c>
      <c r="F81" s="238">
        <f t="shared" si="11"/>
        <v>0.15868378957877183</v>
      </c>
    </row>
    <row r="82" spans="1:6" ht="20.25" customHeight="1" x14ac:dyDescent="0.3">
      <c r="A82" s="235">
        <v>4</v>
      </c>
      <c r="B82" s="236" t="s">
        <v>437</v>
      </c>
      <c r="C82" s="237">
        <v>27576</v>
      </c>
      <c r="D82" s="237">
        <v>34844</v>
      </c>
      <c r="E82" s="237">
        <f t="shared" si="10"/>
        <v>7268</v>
      </c>
      <c r="F82" s="238">
        <f t="shared" si="11"/>
        <v>0.26356251813170872</v>
      </c>
    </row>
    <row r="83" spans="1:6" ht="20.25" customHeight="1" x14ac:dyDescent="0.3">
      <c r="A83" s="235">
        <v>5</v>
      </c>
      <c r="B83" s="236" t="s">
        <v>373</v>
      </c>
      <c r="C83" s="239">
        <v>3</v>
      </c>
      <c r="D83" s="239">
        <v>5</v>
      </c>
      <c r="E83" s="239">
        <f t="shared" si="10"/>
        <v>2</v>
      </c>
      <c r="F83" s="238">
        <f t="shared" si="11"/>
        <v>0.66666666666666663</v>
      </c>
    </row>
    <row r="84" spans="1:6" ht="20.25" customHeight="1" x14ac:dyDescent="0.3">
      <c r="A84" s="235">
        <v>6</v>
      </c>
      <c r="B84" s="236" t="s">
        <v>372</v>
      </c>
      <c r="C84" s="239">
        <v>16</v>
      </c>
      <c r="D84" s="239">
        <v>26</v>
      </c>
      <c r="E84" s="239">
        <f t="shared" si="10"/>
        <v>10</v>
      </c>
      <c r="F84" s="238">
        <f t="shared" si="11"/>
        <v>0.625</v>
      </c>
    </row>
    <row r="85" spans="1:6" ht="20.25" customHeight="1" x14ac:dyDescent="0.3">
      <c r="A85" s="235">
        <v>7</v>
      </c>
      <c r="B85" s="236" t="s">
        <v>438</v>
      </c>
      <c r="C85" s="239">
        <v>33</v>
      </c>
      <c r="D85" s="239">
        <v>51</v>
      </c>
      <c r="E85" s="239">
        <f t="shared" si="10"/>
        <v>18</v>
      </c>
      <c r="F85" s="238">
        <f t="shared" si="11"/>
        <v>0.54545454545454541</v>
      </c>
    </row>
    <row r="86" spans="1:6" ht="20.25" customHeight="1" x14ac:dyDescent="0.3">
      <c r="A86" s="235">
        <v>8</v>
      </c>
      <c r="B86" s="236" t="s">
        <v>439</v>
      </c>
      <c r="C86" s="239">
        <v>2</v>
      </c>
      <c r="D86" s="239">
        <v>4</v>
      </c>
      <c r="E86" s="239">
        <f t="shared" si="10"/>
        <v>2</v>
      </c>
      <c r="F86" s="238">
        <f t="shared" si="11"/>
        <v>1</v>
      </c>
    </row>
    <row r="87" spans="1:6" ht="20.25" customHeight="1" x14ac:dyDescent="0.3">
      <c r="A87" s="235">
        <v>9</v>
      </c>
      <c r="B87" s="236" t="s">
        <v>440</v>
      </c>
      <c r="C87" s="239">
        <v>2</v>
      </c>
      <c r="D87" s="239">
        <v>4</v>
      </c>
      <c r="E87" s="239">
        <f t="shared" si="10"/>
        <v>2</v>
      </c>
      <c r="F87" s="238">
        <f t="shared" si="11"/>
        <v>1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261874</v>
      </c>
      <c r="D88" s="243">
        <f>+D79+D81</f>
        <v>482038</v>
      </c>
      <c r="E88" s="243">
        <f t="shared" si="10"/>
        <v>220164</v>
      </c>
      <c r="F88" s="244">
        <f t="shared" si="11"/>
        <v>0.84072492878254423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60665</v>
      </c>
      <c r="D89" s="243">
        <f>+D80+D82</f>
        <v>86223</v>
      </c>
      <c r="E89" s="243">
        <f t="shared" si="10"/>
        <v>25558</v>
      </c>
      <c r="F89" s="244">
        <f t="shared" si="11"/>
        <v>0.42129728838704361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1254600</v>
      </c>
      <c r="D92" s="237">
        <v>23324959</v>
      </c>
      <c r="E92" s="237">
        <f t="shared" ref="E92:E102" si="12">D92-C92</f>
        <v>22070359</v>
      </c>
      <c r="F92" s="238">
        <f t="shared" ref="F92:F102" si="13">IF(C92=0,0,E92/C92)</f>
        <v>17.591550294914715</v>
      </c>
    </row>
    <row r="93" spans="1:6" ht="20.25" customHeight="1" x14ac:dyDescent="0.3">
      <c r="A93" s="235">
        <v>2</v>
      </c>
      <c r="B93" s="236" t="s">
        <v>435</v>
      </c>
      <c r="C93" s="237">
        <v>297662</v>
      </c>
      <c r="D93" s="237">
        <v>4489970</v>
      </c>
      <c r="E93" s="237">
        <f t="shared" si="12"/>
        <v>4192308</v>
      </c>
      <c r="F93" s="238">
        <f t="shared" si="13"/>
        <v>14.084122259475512</v>
      </c>
    </row>
    <row r="94" spans="1:6" ht="20.25" customHeight="1" x14ac:dyDescent="0.3">
      <c r="A94" s="235">
        <v>3</v>
      </c>
      <c r="B94" s="236" t="s">
        <v>436</v>
      </c>
      <c r="C94" s="237">
        <v>1527677</v>
      </c>
      <c r="D94" s="237">
        <v>24311949</v>
      </c>
      <c r="E94" s="237">
        <f t="shared" si="12"/>
        <v>22784272</v>
      </c>
      <c r="F94" s="238">
        <f t="shared" si="13"/>
        <v>14.914325475869571</v>
      </c>
    </row>
    <row r="95" spans="1:6" ht="20.25" customHeight="1" x14ac:dyDescent="0.3">
      <c r="A95" s="235">
        <v>4</v>
      </c>
      <c r="B95" s="236" t="s">
        <v>437</v>
      </c>
      <c r="C95" s="237">
        <v>239194</v>
      </c>
      <c r="D95" s="237">
        <v>3603252</v>
      </c>
      <c r="E95" s="237">
        <f t="shared" si="12"/>
        <v>3364058</v>
      </c>
      <c r="F95" s="238">
        <f t="shared" si="13"/>
        <v>14.064140404859653</v>
      </c>
    </row>
    <row r="96" spans="1:6" ht="20.25" customHeight="1" x14ac:dyDescent="0.3">
      <c r="A96" s="235">
        <v>5</v>
      </c>
      <c r="B96" s="236" t="s">
        <v>373</v>
      </c>
      <c r="C96" s="239">
        <v>31</v>
      </c>
      <c r="D96" s="239">
        <v>423</v>
      </c>
      <c r="E96" s="239">
        <f t="shared" si="12"/>
        <v>392</v>
      </c>
      <c r="F96" s="238">
        <f t="shared" si="13"/>
        <v>12.64516129032258</v>
      </c>
    </row>
    <row r="97" spans="1:6" ht="20.25" customHeight="1" x14ac:dyDescent="0.3">
      <c r="A97" s="235">
        <v>6</v>
      </c>
      <c r="B97" s="236" t="s">
        <v>372</v>
      </c>
      <c r="C97" s="239">
        <v>131</v>
      </c>
      <c r="D97" s="239">
        <v>2521</v>
      </c>
      <c r="E97" s="239">
        <f t="shared" si="12"/>
        <v>2390</v>
      </c>
      <c r="F97" s="238">
        <f t="shared" si="13"/>
        <v>18.244274809160306</v>
      </c>
    </row>
    <row r="98" spans="1:6" ht="20.25" customHeight="1" x14ac:dyDescent="0.3">
      <c r="A98" s="235">
        <v>7</v>
      </c>
      <c r="B98" s="236" t="s">
        <v>438</v>
      </c>
      <c r="C98" s="239">
        <v>412</v>
      </c>
      <c r="D98" s="239">
        <v>7589</v>
      </c>
      <c r="E98" s="239">
        <f t="shared" si="12"/>
        <v>7177</v>
      </c>
      <c r="F98" s="238">
        <f t="shared" si="13"/>
        <v>17.41990291262136</v>
      </c>
    </row>
    <row r="99" spans="1:6" ht="20.25" customHeight="1" x14ac:dyDescent="0.3">
      <c r="A99" s="235">
        <v>8</v>
      </c>
      <c r="B99" s="236" t="s">
        <v>439</v>
      </c>
      <c r="C99" s="239">
        <v>58</v>
      </c>
      <c r="D99" s="239">
        <v>508</v>
      </c>
      <c r="E99" s="239">
        <f t="shared" si="12"/>
        <v>450</v>
      </c>
      <c r="F99" s="238">
        <f t="shared" si="13"/>
        <v>7.7586206896551726</v>
      </c>
    </row>
    <row r="100" spans="1:6" ht="20.25" customHeight="1" x14ac:dyDescent="0.3">
      <c r="A100" s="235">
        <v>9</v>
      </c>
      <c r="B100" s="236" t="s">
        <v>440</v>
      </c>
      <c r="C100" s="239">
        <v>13</v>
      </c>
      <c r="D100" s="239">
        <v>337</v>
      </c>
      <c r="E100" s="239">
        <f t="shared" si="12"/>
        <v>324</v>
      </c>
      <c r="F100" s="238">
        <f t="shared" si="13"/>
        <v>24.923076923076923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2782277</v>
      </c>
      <c r="D101" s="243">
        <f>+D92+D94</f>
        <v>47636908</v>
      </c>
      <c r="E101" s="243">
        <f t="shared" si="12"/>
        <v>44854631</v>
      </c>
      <c r="F101" s="244">
        <f t="shared" si="13"/>
        <v>16.121554755331694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536856</v>
      </c>
      <c r="D102" s="243">
        <f>+D93+D95</f>
        <v>8093222</v>
      </c>
      <c r="E102" s="243">
        <f t="shared" si="12"/>
        <v>7556366</v>
      </c>
      <c r="F102" s="244">
        <f t="shared" si="13"/>
        <v>14.075219425693296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630656</v>
      </c>
      <c r="D105" s="237">
        <v>556148</v>
      </c>
      <c r="E105" s="237">
        <f t="shared" ref="E105:E115" si="14">D105-C105</f>
        <v>-74508</v>
      </c>
      <c r="F105" s="238">
        <f t="shared" ref="F105:F115" si="15">IF(C105=0,0,E105/C105)</f>
        <v>-0.11814364724984777</v>
      </c>
    </row>
    <row r="106" spans="1:6" ht="20.25" customHeight="1" x14ac:dyDescent="0.3">
      <c r="A106" s="235">
        <v>2</v>
      </c>
      <c r="B106" s="236" t="s">
        <v>435</v>
      </c>
      <c r="C106" s="237">
        <v>136430</v>
      </c>
      <c r="D106" s="237">
        <v>114835</v>
      </c>
      <c r="E106" s="237">
        <f t="shared" si="14"/>
        <v>-21595</v>
      </c>
      <c r="F106" s="238">
        <f t="shared" si="15"/>
        <v>-0.15828630066700872</v>
      </c>
    </row>
    <row r="107" spans="1:6" ht="20.25" customHeight="1" x14ac:dyDescent="0.3">
      <c r="A107" s="235">
        <v>3</v>
      </c>
      <c r="B107" s="236" t="s">
        <v>436</v>
      </c>
      <c r="C107" s="237">
        <v>326715</v>
      </c>
      <c r="D107" s="237">
        <v>426343</v>
      </c>
      <c r="E107" s="237">
        <f t="shared" si="14"/>
        <v>99628</v>
      </c>
      <c r="F107" s="238">
        <f t="shared" si="15"/>
        <v>0.30493855500971795</v>
      </c>
    </row>
    <row r="108" spans="1:6" ht="20.25" customHeight="1" x14ac:dyDescent="0.3">
      <c r="A108" s="235">
        <v>4</v>
      </c>
      <c r="B108" s="236" t="s">
        <v>437</v>
      </c>
      <c r="C108" s="237">
        <v>25433</v>
      </c>
      <c r="D108" s="237">
        <v>49062</v>
      </c>
      <c r="E108" s="237">
        <f t="shared" si="14"/>
        <v>23629</v>
      </c>
      <c r="F108" s="238">
        <f t="shared" si="15"/>
        <v>0.92906853300829628</v>
      </c>
    </row>
    <row r="109" spans="1:6" ht="20.25" customHeight="1" x14ac:dyDescent="0.3">
      <c r="A109" s="235">
        <v>5</v>
      </c>
      <c r="B109" s="236" t="s">
        <v>373</v>
      </c>
      <c r="C109" s="239">
        <v>13</v>
      </c>
      <c r="D109" s="239">
        <v>16</v>
      </c>
      <c r="E109" s="239">
        <f t="shared" si="14"/>
        <v>3</v>
      </c>
      <c r="F109" s="238">
        <f t="shared" si="15"/>
        <v>0.23076923076923078</v>
      </c>
    </row>
    <row r="110" spans="1:6" ht="20.25" customHeight="1" x14ac:dyDescent="0.3">
      <c r="A110" s="235">
        <v>6</v>
      </c>
      <c r="B110" s="236" t="s">
        <v>372</v>
      </c>
      <c r="C110" s="239">
        <v>77</v>
      </c>
      <c r="D110" s="239">
        <v>95</v>
      </c>
      <c r="E110" s="239">
        <f t="shared" si="14"/>
        <v>18</v>
      </c>
      <c r="F110" s="238">
        <f t="shared" si="15"/>
        <v>0.23376623376623376</v>
      </c>
    </row>
    <row r="111" spans="1:6" ht="20.25" customHeight="1" x14ac:dyDescent="0.3">
      <c r="A111" s="235">
        <v>7</v>
      </c>
      <c r="B111" s="236" t="s">
        <v>438</v>
      </c>
      <c r="C111" s="239">
        <v>79</v>
      </c>
      <c r="D111" s="239">
        <v>125</v>
      </c>
      <c r="E111" s="239">
        <f t="shared" si="14"/>
        <v>46</v>
      </c>
      <c r="F111" s="238">
        <f t="shared" si="15"/>
        <v>0.58227848101265822</v>
      </c>
    </row>
    <row r="112" spans="1:6" ht="20.25" customHeight="1" x14ac:dyDescent="0.3">
      <c r="A112" s="235">
        <v>8</v>
      </c>
      <c r="B112" s="236" t="s">
        <v>439</v>
      </c>
      <c r="C112" s="239">
        <v>29</v>
      </c>
      <c r="D112" s="239">
        <v>32</v>
      </c>
      <c r="E112" s="239">
        <f t="shared" si="14"/>
        <v>3</v>
      </c>
      <c r="F112" s="238">
        <f t="shared" si="15"/>
        <v>0.10344827586206896</v>
      </c>
    </row>
    <row r="113" spans="1:6" ht="20.25" customHeight="1" x14ac:dyDescent="0.3">
      <c r="A113" s="235">
        <v>9</v>
      </c>
      <c r="B113" s="236" t="s">
        <v>440</v>
      </c>
      <c r="C113" s="239">
        <v>10</v>
      </c>
      <c r="D113" s="239">
        <v>15</v>
      </c>
      <c r="E113" s="239">
        <f t="shared" si="14"/>
        <v>5</v>
      </c>
      <c r="F113" s="238">
        <f t="shared" si="15"/>
        <v>0.5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957371</v>
      </c>
      <c r="D114" s="243">
        <f>+D105+D107</f>
        <v>982491</v>
      </c>
      <c r="E114" s="243">
        <f t="shared" si="14"/>
        <v>25120</v>
      </c>
      <c r="F114" s="244">
        <f t="shared" si="15"/>
        <v>2.6238521952304802E-2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161863</v>
      </c>
      <c r="D115" s="243">
        <f>+D106+D108</f>
        <v>163897</v>
      </c>
      <c r="E115" s="243">
        <f t="shared" si="14"/>
        <v>2034</v>
      </c>
      <c r="F115" s="244">
        <f t="shared" si="15"/>
        <v>1.2566182512371573E-2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1746126</v>
      </c>
      <c r="D118" s="237">
        <v>2556718</v>
      </c>
      <c r="E118" s="237">
        <f t="shared" ref="E118:E128" si="16">D118-C118</f>
        <v>810592</v>
      </c>
      <c r="F118" s="238">
        <f t="shared" ref="F118:F128" si="17">IF(C118=0,0,E118/C118)</f>
        <v>0.46422308584832939</v>
      </c>
    </row>
    <row r="119" spans="1:6" ht="20.25" customHeight="1" x14ac:dyDescent="0.3">
      <c r="A119" s="235">
        <v>2</v>
      </c>
      <c r="B119" s="236" t="s">
        <v>435</v>
      </c>
      <c r="C119" s="237">
        <v>434178</v>
      </c>
      <c r="D119" s="237">
        <v>554064</v>
      </c>
      <c r="E119" s="237">
        <f t="shared" si="16"/>
        <v>119886</v>
      </c>
      <c r="F119" s="238">
        <f t="shared" si="17"/>
        <v>0.27612177494023188</v>
      </c>
    </row>
    <row r="120" spans="1:6" ht="20.25" customHeight="1" x14ac:dyDescent="0.3">
      <c r="A120" s="235">
        <v>3</v>
      </c>
      <c r="B120" s="236" t="s">
        <v>436</v>
      </c>
      <c r="C120" s="237">
        <v>1981238</v>
      </c>
      <c r="D120" s="237">
        <v>2289974</v>
      </c>
      <c r="E120" s="237">
        <f t="shared" si="16"/>
        <v>308736</v>
      </c>
      <c r="F120" s="238">
        <f t="shared" si="17"/>
        <v>0.15582983972647405</v>
      </c>
    </row>
    <row r="121" spans="1:6" ht="20.25" customHeight="1" x14ac:dyDescent="0.3">
      <c r="A121" s="235">
        <v>4</v>
      </c>
      <c r="B121" s="236" t="s">
        <v>437</v>
      </c>
      <c r="C121" s="237">
        <v>233923</v>
      </c>
      <c r="D121" s="237">
        <v>415926</v>
      </c>
      <c r="E121" s="237">
        <f t="shared" si="16"/>
        <v>182003</v>
      </c>
      <c r="F121" s="238">
        <f t="shared" si="17"/>
        <v>0.77804662217909315</v>
      </c>
    </row>
    <row r="122" spans="1:6" ht="20.25" customHeight="1" x14ac:dyDescent="0.3">
      <c r="A122" s="235">
        <v>5</v>
      </c>
      <c r="B122" s="236" t="s">
        <v>373</v>
      </c>
      <c r="C122" s="239">
        <v>34</v>
      </c>
      <c r="D122" s="239">
        <v>44</v>
      </c>
      <c r="E122" s="239">
        <f t="shared" si="16"/>
        <v>10</v>
      </c>
      <c r="F122" s="238">
        <f t="shared" si="17"/>
        <v>0.29411764705882354</v>
      </c>
    </row>
    <row r="123" spans="1:6" ht="20.25" customHeight="1" x14ac:dyDescent="0.3">
      <c r="A123" s="235">
        <v>6</v>
      </c>
      <c r="B123" s="236" t="s">
        <v>372</v>
      </c>
      <c r="C123" s="239">
        <v>196</v>
      </c>
      <c r="D123" s="239">
        <v>300</v>
      </c>
      <c r="E123" s="239">
        <f t="shared" si="16"/>
        <v>104</v>
      </c>
      <c r="F123" s="238">
        <f t="shared" si="17"/>
        <v>0.53061224489795922</v>
      </c>
    </row>
    <row r="124" spans="1:6" ht="20.25" customHeight="1" x14ac:dyDescent="0.3">
      <c r="A124" s="235">
        <v>7</v>
      </c>
      <c r="B124" s="236" t="s">
        <v>438</v>
      </c>
      <c r="C124" s="239">
        <v>751</v>
      </c>
      <c r="D124" s="239">
        <v>638</v>
      </c>
      <c r="E124" s="239">
        <f t="shared" si="16"/>
        <v>-113</v>
      </c>
      <c r="F124" s="238">
        <f t="shared" si="17"/>
        <v>-0.15046604527296936</v>
      </c>
    </row>
    <row r="125" spans="1:6" ht="20.25" customHeight="1" x14ac:dyDescent="0.3">
      <c r="A125" s="235">
        <v>8</v>
      </c>
      <c r="B125" s="236" t="s">
        <v>439</v>
      </c>
      <c r="C125" s="239">
        <v>47</v>
      </c>
      <c r="D125" s="239">
        <v>39</v>
      </c>
      <c r="E125" s="239">
        <f t="shared" si="16"/>
        <v>-8</v>
      </c>
      <c r="F125" s="238">
        <f t="shared" si="17"/>
        <v>-0.1702127659574468</v>
      </c>
    </row>
    <row r="126" spans="1:6" ht="20.25" customHeight="1" x14ac:dyDescent="0.3">
      <c r="A126" s="235">
        <v>9</v>
      </c>
      <c r="B126" s="236" t="s">
        <v>440</v>
      </c>
      <c r="C126" s="239">
        <v>24</v>
      </c>
      <c r="D126" s="239">
        <v>33</v>
      </c>
      <c r="E126" s="239">
        <f t="shared" si="16"/>
        <v>9</v>
      </c>
      <c r="F126" s="238">
        <f t="shared" si="17"/>
        <v>0.375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3727364</v>
      </c>
      <c r="D127" s="243">
        <f>+D118+D120</f>
        <v>4846692</v>
      </c>
      <c r="E127" s="243">
        <f t="shared" si="16"/>
        <v>1119328</v>
      </c>
      <c r="F127" s="244">
        <f t="shared" si="17"/>
        <v>0.30030015850343567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668101</v>
      </c>
      <c r="D128" s="243">
        <f>+D119+D121</f>
        <v>969990</v>
      </c>
      <c r="E128" s="243">
        <f t="shared" si="16"/>
        <v>301889</v>
      </c>
      <c r="F128" s="244">
        <f t="shared" si="17"/>
        <v>0.45186132036922561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333486</v>
      </c>
      <c r="D131" s="237">
        <v>414317</v>
      </c>
      <c r="E131" s="237">
        <f t="shared" ref="E131:E141" si="18">D131-C131</f>
        <v>80831</v>
      </c>
      <c r="F131" s="238">
        <f t="shared" ref="F131:F141" si="19">IF(C131=0,0,E131/C131)</f>
        <v>0.24238198904901556</v>
      </c>
    </row>
    <row r="132" spans="1:6" ht="20.25" customHeight="1" x14ac:dyDescent="0.3">
      <c r="A132" s="235">
        <v>2</v>
      </c>
      <c r="B132" s="236" t="s">
        <v>435</v>
      </c>
      <c r="C132" s="237">
        <v>166551</v>
      </c>
      <c r="D132" s="237">
        <v>75445</v>
      </c>
      <c r="E132" s="237">
        <f t="shared" si="18"/>
        <v>-91106</v>
      </c>
      <c r="F132" s="238">
        <f t="shared" si="19"/>
        <v>-0.54701562884641941</v>
      </c>
    </row>
    <row r="133" spans="1:6" ht="20.25" customHeight="1" x14ac:dyDescent="0.3">
      <c r="A133" s="235">
        <v>3</v>
      </c>
      <c r="B133" s="236" t="s">
        <v>436</v>
      </c>
      <c r="C133" s="237">
        <v>298070</v>
      </c>
      <c r="D133" s="237">
        <v>295030</v>
      </c>
      <c r="E133" s="237">
        <f t="shared" si="18"/>
        <v>-3040</v>
      </c>
      <c r="F133" s="238">
        <f t="shared" si="19"/>
        <v>-1.019894655617808E-2</v>
      </c>
    </row>
    <row r="134" spans="1:6" ht="20.25" customHeight="1" x14ac:dyDescent="0.3">
      <c r="A134" s="235">
        <v>4</v>
      </c>
      <c r="B134" s="236" t="s">
        <v>437</v>
      </c>
      <c r="C134" s="237">
        <v>65224</v>
      </c>
      <c r="D134" s="237">
        <v>53806</v>
      </c>
      <c r="E134" s="237">
        <f t="shared" si="18"/>
        <v>-11418</v>
      </c>
      <c r="F134" s="238">
        <f t="shared" si="19"/>
        <v>-0.17505826076290937</v>
      </c>
    </row>
    <row r="135" spans="1:6" ht="20.25" customHeight="1" x14ac:dyDescent="0.3">
      <c r="A135" s="235">
        <v>5</v>
      </c>
      <c r="B135" s="236" t="s">
        <v>373</v>
      </c>
      <c r="C135" s="239">
        <v>6</v>
      </c>
      <c r="D135" s="239">
        <v>7</v>
      </c>
      <c r="E135" s="239">
        <f t="shared" si="18"/>
        <v>1</v>
      </c>
      <c r="F135" s="238">
        <f t="shared" si="19"/>
        <v>0.16666666666666666</v>
      </c>
    </row>
    <row r="136" spans="1:6" ht="20.25" customHeight="1" x14ac:dyDescent="0.3">
      <c r="A136" s="235">
        <v>6</v>
      </c>
      <c r="B136" s="236" t="s">
        <v>372</v>
      </c>
      <c r="C136" s="239">
        <v>31</v>
      </c>
      <c r="D136" s="239">
        <v>28</v>
      </c>
      <c r="E136" s="239">
        <f t="shared" si="18"/>
        <v>-3</v>
      </c>
      <c r="F136" s="238">
        <f t="shared" si="19"/>
        <v>-9.6774193548387094E-2</v>
      </c>
    </row>
    <row r="137" spans="1:6" ht="20.25" customHeight="1" x14ac:dyDescent="0.3">
      <c r="A137" s="235">
        <v>7</v>
      </c>
      <c r="B137" s="236" t="s">
        <v>438</v>
      </c>
      <c r="C137" s="239">
        <v>66</v>
      </c>
      <c r="D137" s="239">
        <v>71</v>
      </c>
      <c r="E137" s="239">
        <f t="shared" si="18"/>
        <v>5</v>
      </c>
      <c r="F137" s="238">
        <f t="shared" si="19"/>
        <v>7.575757575757576E-2</v>
      </c>
    </row>
    <row r="138" spans="1:6" ht="20.25" customHeight="1" x14ac:dyDescent="0.3">
      <c r="A138" s="235">
        <v>8</v>
      </c>
      <c r="B138" s="236" t="s">
        <v>439</v>
      </c>
      <c r="C138" s="239">
        <v>12</v>
      </c>
      <c r="D138" s="239">
        <v>11</v>
      </c>
      <c r="E138" s="239">
        <f t="shared" si="18"/>
        <v>-1</v>
      </c>
      <c r="F138" s="238">
        <f t="shared" si="19"/>
        <v>-8.3333333333333329E-2</v>
      </c>
    </row>
    <row r="139" spans="1:6" ht="20.25" customHeight="1" x14ac:dyDescent="0.3">
      <c r="A139" s="235">
        <v>9</v>
      </c>
      <c r="B139" s="236" t="s">
        <v>440</v>
      </c>
      <c r="C139" s="239">
        <v>3</v>
      </c>
      <c r="D139" s="239">
        <v>3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631556</v>
      </c>
      <c r="D140" s="243">
        <f>+D131+D133</f>
        <v>709347</v>
      </c>
      <c r="E140" s="243">
        <f t="shared" si="18"/>
        <v>77791</v>
      </c>
      <c r="F140" s="244">
        <f t="shared" si="19"/>
        <v>0.12317355863929723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231775</v>
      </c>
      <c r="D141" s="243">
        <f>+D132+D134</f>
        <v>129251</v>
      </c>
      <c r="E141" s="243">
        <f t="shared" si="18"/>
        <v>-102524</v>
      </c>
      <c r="F141" s="244">
        <f t="shared" si="19"/>
        <v>-0.44234278934311294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508054</v>
      </c>
      <c r="D183" s="237">
        <v>1253450</v>
      </c>
      <c r="E183" s="237">
        <f t="shared" ref="E183:E193" si="26">D183-C183</f>
        <v>745396</v>
      </c>
      <c r="F183" s="238">
        <f t="shared" ref="F183:F193" si="27">IF(C183=0,0,E183/C183)</f>
        <v>1.4671590027831687</v>
      </c>
    </row>
    <row r="184" spans="1:6" ht="20.25" customHeight="1" x14ac:dyDescent="0.3">
      <c r="A184" s="235">
        <v>2</v>
      </c>
      <c r="B184" s="236" t="s">
        <v>435</v>
      </c>
      <c r="C184" s="237">
        <v>190628</v>
      </c>
      <c r="D184" s="237">
        <v>281764</v>
      </c>
      <c r="E184" s="237">
        <f t="shared" si="26"/>
        <v>91136</v>
      </c>
      <c r="F184" s="238">
        <f t="shared" si="27"/>
        <v>0.47808296787460391</v>
      </c>
    </row>
    <row r="185" spans="1:6" ht="20.25" customHeight="1" x14ac:dyDescent="0.3">
      <c r="A185" s="235">
        <v>3</v>
      </c>
      <c r="B185" s="236" t="s">
        <v>436</v>
      </c>
      <c r="C185" s="237">
        <v>769421</v>
      </c>
      <c r="D185" s="237">
        <v>263267</v>
      </c>
      <c r="E185" s="237">
        <f t="shared" si="26"/>
        <v>-506154</v>
      </c>
      <c r="F185" s="238">
        <f t="shared" si="27"/>
        <v>-0.65783751678209978</v>
      </c>
    </row>
    <row r="186" spans="1:6" ht="20.25" customHeight="1" x14ac:dyDescent="0.3">
      <c r="A186" s="235">
        <v>4</v>
      </c>
      <c r="B186" s="236" t="s">
        <v>437</v>
      </c>
      <c r="C186" s="237">
        <v>103583</v>
      </c>
      <c r="D186" s="237">
        <v>34537</v>
      </c>
      <c r="E186" s="237">
        <f t="shared" si="26"/>
        <v>-69046</v>
      </c>
      <c r="F186" s="238">
        <f t="shared" si="27"/>
        <v>-0.66657656179102753</v>
      </c>
    </row>
    <row r="187" spans="1:6" ht="20.25" customHeight="1" x14ac:dyDescent="0.3">
      <c r="A187" s="235">
        <v>5</v>
      </c>
      <c r="B187" s="236" t="s">
        <v>373</v>
      </c>
      <c r="C187" s="239">
        <v>13</v>
      </c>
      <c r="D187" s="239">
        <v>7</v>
      </c>
      <c r="E187" s="239">
        <f t="shared" si="26"/>
        <v>-6</v>
      </c>
      <c r="F187" s="238">
        <f t="shared" si="27"/>
        <v>-0.46153846153846156</v>
      </c>
    </row>
    <row r="188" spans="1:6" ht="20.25" customHeight="1" x14ac:dyDescent="0.3">
      <c r="A188" s="235">
        <v>6</v>
      </c>
      <c r="B188" s="236" t="s">
        <v>372</v>
      </c>
      <c r="C188" s="239">
        <v>153</v>
      </c>
      <c r="D188" s="239">
        <v>296</v>
      </c>
      <c r="E188" s="239">
        <f t="shared" si="26"/>
        <v>143</v>
      </c>
      <c r="F188" s="238">
        <f t="shared" si="27"/>
        <v>0.934640522875817</v>
      </c>
    </row>
    <row r="189" spans="1:6" ht="20.25" customHeight="1" x14ac:dyDescent="0.3">
      <c r="A189" s="235">
        <v>7</v>
      </c>
      <c r="B189" s="236" t="s">
        <v>438</v>
      </c>
      <c r="C189" s="239">
        <v>187</v>
      </c>
      <c r="D189" s="239">
        <v>110</v>
      </c>
      <c r="E189" s="239">
        <f t="shared" si="26"/>
        <v>-77</v>
      </c>
      <c r="F189" s="238">
        <f t="shared" si="27"/>
        <v>-0.41176470588235292</v>
      </c>
    </row>
    <row r="190" spans="1:6" ht="20.25" customHeight="1" x14ac:dyDescent="0.3">
      <c r="A190" s="235">
        <v>8</v>
      </c>
      <c r="B190" s="236" t="s">
        <v>439</v>
      </c>
      <c r="C190" s="239">
        <v>17</v>
      </c>
      <c r="D190" s="239">
        <v>17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7</v>
      </c>
      <c r="D191" s="239">
        <v>6</v>
      </c>
      <c r="E191" s="239">
        <f t="shared" si="26"/>
        <v>-1</v>
      </c>
      <c r="F191" s="238">
        <f t="shared" si="27"/>
        <v>-0.14285714285714285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1277475</v>
      </c>
      <c r="D192" s="243">
        <f>+D183+D185</f>
        <v>1516717</v>
      </c>
      <c r="E192" s="243">
        <f t="shared" si="26"/>
        <v>239242</v>
      </c>
      <c r="F192" s="244">
        <f t="shared" si="27"/>
        <v>0.18727724613006125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294211</v>
      </c>
      <c r="D193" s="243">
        <f>+D184+D186</f>
        <v>316301</v>
      </c>
      <c r="E193" s="243">
        <f t="shared" si="26"/>
        <v>22090</v>
      </c>
      <c r="F193" s="244">
        <f t="shared" si="27"/>
        <v>7.5082168919584927E-2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34882527</v>
      </c>
      <c r="D198" s="243">
        <f t="shared" si="28"/>
        <v>40973521</v>
      </c>
      <c r="E198" s="243">
        <f t="shared" ref="E198:E208" si="29">D198-C198</f>
        <v>6090994</v>
      </c>
      <c r="F198" s="251">
        <f t="shared" ref="F198:F208" si="30">IF(C198=0,0,E198/C198)</f>
        <v>0.17461447102155184</v>
      </c>
    </row>
    <row r="199" spans="1:9" ht="20.25" customHeight="1" x14ac:dyDescent="0.3">
      <c r="A199" s="249"/>
      <c r="B199" s="250" t="s">
        <v>461</v>
      </c>
      <c r="C199" s="243">
        <f t="shared" si="28"/>
        <v>9172775</v>
      </c>
      <c r="D199" s="243">
        <f t="shared" si="28"/>
        <v>8092454</v>
      </c>
      <c r="E199" s="243">
        <f t="shared" si="29"/>
        <v>-1080321</v>
      </c>
      <c r="F199" s="251">
        <f t="shared" si="30"/>
        <v>-0.11777471920983562</v>
      </c>
    </row>
    <row r="200" spans="1:9" ht="20.25" customHeight="1" x14ac:dyDescent="0.3">
      <c r="A200" s="249"/>
      <c r="B200" s="250" t="s">
        <v>462</v>
      </c>
      <c r="C200" s="243">
        <f t="shared" si="28"/>
        <v>27290219</v>
      </c>
      <c r="D200" s="243">
        <f t="shared" si="28"/>
        <v>38964061</v>
      </c>
      <c r="E200" s="243">
        <f t="shared" si="29"/>
        <v>11673842</v>
      </c>
      <c r="F200" s="251">
        <f t="shared" si="30"/>
        <v>0.42776651957245193</v>
      </c>
    </row>
    <row r="201" spans="1:9" ht="20.25" customHeight="1" x14ac:dyDescent="0.3">
      <c r="A201" s="249"/>
      <c r="B201" s="250" t="s">
        <v>463</v>
      </c>
      <c r="C201" s="243">
        <f t="shared" si="28"/>
        <v>3654965</v>
      </c>
      <c r="D201" s="243">
        <f t="shared" si="28"/>
        <v>5675116</v>
      </c>
      <c r="E201" s="243">
        <f t="shared" si="29"/>
        <v>2020151</v>
      </c>
      <c r="F201" s="251">
        <f t="shared" si="30"/>
        <v>0.55271418467755506</v>
      </c>
    </row>
    <row r="202" spans="1:9" ht="20.25" customHeight="1" x14ac:dyDescent="0.3">
      <c r="A202" s="249"/>
      <c r="B202" s="250" t="s">
        <v>464</v>
      </c>
      <c r="C202" s="252">
        <f t="shared" si="28"/>
        <v>686</v>
      </c>
      <c r="D202" s="252">
        <f t="shared" si="28"/>
        <v>709</v>
      </c>
      <c r="E202" s="252">
        <f t="shared" si="29"/>
        <v>23</v>
      </c>
      <c r="F202" s="251">
        <f t="shared" si="30"/>
        <v>3.3527696793002916E-2</v>
      </c>
    </row>
    <row r="203" spans="1:9" ht="20.25" customHeight="1" x14ac:dyDescent="0.3">
      <c r="A203" s="249"/>
      <c r="B203" s="250" t="s">
        <v>465</v>
      </c>
      <c r="C203" s="252">
        <f t="shared" si="28"/>
        <v>4324</v>
      </c>
      <c r="D203" s="252">
        <f t="shared" si="28"/>
        <v>4655</v>
      </c>
      <c r="E203" s="252">
        <f t="shared" si="29"/>
        <v>331</v>
      </c>
      <c r="F203" s="251">
        <f t="shared" si="30"/>
        <v>7.6549491211840889E-2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9202</v>
      </c>
      <c r="D204" s="252">
        <f t="shared" si="28"/>
        <v>11694</v>
      </c>
      <c r="E204" s="252">
        <f t="shared" si="29"/>
        <v>2492</v>
      </c>
      <c r="F204" s="251">
        <f t="shared" si="30"/>
        <v>0.27081069332753749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765</v>
      </c>
      <c r="D205" s="252">
        <f t="shared" si="28"/>
        <v>846</v>
      </c>
      <c r="E205" s="252">
        <f t="shared" si="29"/>
        <v>81</v>
      </c>
      <c r="F205" s="251">
        <f t="shared" si="30"/>
        <v>0.10588235294117647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397</v>
      </c>
      <c r="D206" s="252">
        <f t="shared" si="28"/>
        <v>581</v>
      </c>
      <c r="E206" s="252">
        <f t="shared" si="29"/>
        <v>184</v>
      </c>
      <c r="F206" s="251">
        <f t="shared" si="30"/>
        <v>0.46347607052896728</v>
      </c>
    </row>
    <row r="207" spans="1:9" ht="20.25" customHeight="1" x14ac:dyDescent="0.3">
      <c r="A207" s="249"/>
      <c r="B207" s="242" t="s">
        <v>469</v>
      </c>
      <c r="C207" s="243">
        <f>+C198+C200</f>
        <v>62172746</v>
      </c>
      <c r="D207" s="243">
        <f>+D198+D200</f>
        <v>79937582</v>
      </c>
      <c r="E207" s="243">
        <f t="shared" si="29"/>
        <v>17764836</v>
      </c>
      <c r="F207" s="251">
        <f t="shared" si="30"/>
        <v>0.28573349486606237</v>
      </c>
    </row>
    <row r="208" spans="1:9" ht="20.25" customHeight="1" x14ac:dyDescent="0.3">
      <c r="A208" s="249"/>
      <c r="B208" s="242" t="s">
        <v>470</v>
      </c>
      <c r="C208" s="243">
        <f>+C199+C201</f>
        <v>12827740</v>
      </c>
      <c r="D208" s="243">
        <f>+D199+D201</f>
        <v>13767570</v>
      </c>
      <c r="E208" s="243">
        <f t="shared" si="29"/>
        <v>939830</v>
      </c>
      <c r="F208" s="251">
        <f t="shared" si="30"/>
        <v>7.3265438806835809E-2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FILING&amp;RSTAMFORD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6069</v>
      </c>
      <c r="D16" s="237">
        <v>17921</v>
      </c>
      <c r="E16" s="237">
        <f t="shared" si="0"/>
        <v>11852</v>
      </c>
      <c r="F16" s="238">
        <f t="shared" si="1"/>
        <v>1.9528752677541605</v>
      </c>
    </row>
    <row r="17" spans="1:6" ht="20.25" customHeight="1" x14ac:dyDescent="0.3">
      <c r="A17" s="235">
        <v>4</v>
      </c>
      <c r="B17" s="236" t="s">
        <v>437</v>
      </c>
      <c r="C17" s="237">
        <v>842</v>
      </c>
      <c r="D17" s="237">
        <v>2611</v>
      </c>
      <c r="E17" s="237">
        <f t="shared" si="0"/>
        <v>1769</v>
      </c>
      <c r="F17" s="238">
        <f t="shared" si="1"/>
        <v>2.1009501187648456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5</v>
      </c>
      <c r="D20" s="239">
        <v>4</v>
      </c>
      <c r="E20" s="239">
        <f t="shared" si="0"/>
        <v>-1</v>
      </c>
      <c r="F20" s="238">
        <f t="shared" si="1"/>
        <v>-0.2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6069</v>
      </c>
      <c r="D23" s="243">
        <f>+D14+D16</f>
        <v>17921</v>
      </c>
      <c r="E23" s="243">
        <f t="shared" si="0"/>
        <v>11852</v>
      </c>
      <c r="F23" s="244">
        <f t="shared" si="1"/>
        <v>1.9528752677541605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842</v>
      </c>
      <c r="D24" s="243">
        <f>+D15+D17</f>
        <v>2611</v>
      </c>
      <c r="E24" s="243">
        <f t="shared" si="0"/>
        <v>1769</v>
      </c>
      <c r="F24" s="244">
        <f t="shared" si="1"/>
        <v>2.1009501187648456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12830259</v>
      </c>
      <c r="D26" s="237">
        <v>15873383</v>
      </c>
      <c r="E26" s="237">
        <f t="shared" ref="E26:E36" si="2">D26-C26</f>
        <v>3043124</v>
      </c>
      <c r="F26" s="238">
        <f t="shared" ref="F26:F36" si="3">IF(C26=0,0,E26/C26)</f>
        <v>0.23718336473176418</v>
      </c>
    </row>
    <row r="27" spans="1:6" ht="20.25" customHeight="1" x14ac:dyDescent="0.3">
      <c r="A27" s="235">
        <v>2</v>
      </c>
      <c r="B27" s="236" t="s">
        <v>435</v>
      </c>
      <c r="C27" s="237">
        <v>2837350</v>
      </c>
      <c r="D27" s="237">
        <v>2654256</v>
      </c>
      <c r="E27" s="237">
        <f t="shared" si="2"/>
        <v>-183094</v>
      </c>
      <c r="F27" s="238">
        <f t="shared" si="3"/>
        <v>-6.4529931097679169E-2</v>
      </c>
    </row>
    <row r="28" spans="1:6" ht="20.25" customHeight="1" x14ac:dyDescent="0.3">
      <c r="A28" s="235">
        <v>3</v>
      </c>
      <c r="B28" s="236" t="s">
        <v>436</v>
      </c>
      <c r="C28" s="237">
        <v>25197345</v>
      </c>
      <c r="D28" s="237">
        <v>32378581</v>
      </c>
      <c r="E28" s="237">
        <f t="shared" si="2"/>
        <v>7181236</v>
      </c>
      <c r="F28" s="238">
        <f t="shared" si="3"/>
        <v>0.28499970929476898</v>
      </c>
    </row>
    <row r="29" spans="1:6" ht="20.25" customHeight="1" x14ac:dyDescent="0.3">
      <c r="A29" s="235">
        <v>4</v>
      </c>
      <c r="B29" s="236" t="s">
        <v>437</v>
      </c>
      <c r="C29" s="237">
        <v>4321815</v>
      </c>
      <c r="D29" s="237">
        <v>5421894</v>
      </c>
      <c r="E29" s="237">
        <f t="shared" si="2"/>
        <v>1100079</v>
      </c>
      <c r="F29" s="238">
        <f t="shared" si="3"/>
        <v>0.25454097410462967</v>
      </c>
    </row>
    <row r="30" spans="1:6" ht="20.25" customHeight="1" x14ac:dyDescent="0.3">
      <c r="A30" s="235">
        <v>5</v>
      </c>
      <c r="B30" s="236" t="s">
        <v>373</v>
      </c>
      <c r="C30" s="239">
        <v>635</v>
      </c>
      <c r="D30" s="239">
        <v>749</v>
      </c>
      <c r="E30" s="239">
        <f t="shared" si="2"/>
        <v>114</v>
      </c>
      <c r="F30" s="238">
        <f t="shared" si="3"/>
        <v>0.17952755905511811</v>
      </c>
    </row>
    <row r="31" spans="1:6" ht="20.25" customHeight="1" x14ac:dyDescent="0.3">
      <c r="A31" s="235">
        <v>6</v>
      </c>
      <c r="B31" s="236" t="s">
        <v>372</v>
      </c>
      <c r="C31" s="239">
        <v>2181</v>
      </c>
      <c r="D31" s="239">
        <v>2632</v>
      </c>
      <c r="E31" s="239">
        <f t="shared" si="2"/>
        <v>451</v>
      </c>
      <c r="F31" s="238">
        <f t="shared" si="3"/>
        <v>0.20678587803759743</v>
      </c>
    </row>
    <row r="32" spans="1:6" ht="20.25" customHeight="1" x14ac:dyDescent="0.3">
      <c r="A32" s="235">
        <v>7</v>
      </c>
      <c r="B32" s="236" t="s">
        <v>438</v>
      </c>
      <c r="C32" s="239">
        <v>11988</v>
      </c>
      <c r="D32" s="239">
        <v>13395</v>
      </c>
      <c r="E32" s="239">
        <f t="shared" si="2"/>
        <v>1407</v>
      </c>
      <c r="F32" s="238">
        <f t="shared" si="3"/>
        <v>0.11736736736736737</v>
      </c>
    </row>
    <row r="33" spans="1:6" ht="20.25" customHeight="1" x14ac:dyDescent="0.3">
      <c r="A33" s="235">
        <v>8</v>
      </c>
      <c r="B33" s="236" t="s">
        <v>439</v>
      </c>
      <c r="C33" s="239">
        <v>5614</v>
      </c>
      <c r="D33" s="239">
        <v>5621</v>
      </c>
      <c r="E33" s="239">
        <f t="shared" si="2"/>
        <v>7</v>
      </c>
      <c r="F33" s="238">
        <f t="shared" si="3"/>
        <v>1.2468827930174563E-3</v>
      </c>
    </row>
    <row r="34" spans="1:6" ht="20.25" customHeight="1" x14ac:dyDescent="0.3">
      <c r="A34" s="235">
        <v>9</v>
      </c>
      <c r="B34" s="236" t="s">
        <v>440</v>
      </c>
      <c r="C34" s="239">
        <v>175</v>
      </c>
      <c r="D34" s="239">
        <v>200</v>
      </c>
      <c r="E34" s="239">
        <f t="shared" si="2"/>
        <v>25</v>
      </c>
      <c r="F34" s="238">
        <f t="shared" si="3"/>
        <v>0.14285714285714285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38027604</v>
      </c>
      <c r="D35" s="243">
        <f>+D26+D28</f>
        <v>48251964</v>
      </c>
      <c r="E35" s="243">
        <f t="shared" si="2"/>
        <v>10224360</v>
      </c>
      <c r="F35" s="244">
        <f t="shared" si="3"/>
        <v>0.26886679476308839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7159165</v>
      </c>
      <c r="D36" s="243">
        <f>+D27+D29</f>
        <v>8076150</v>
      </c>
      <c r="E36" s="243">
        <f t="shared" si="2"/>
        <v>916985</v>
      </c>
      <c r="F36" s="244">
        <f t="shared" si="3"/>
        <v>0.12808546806785429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20958</v>
      </c>
      <c r="D52" s="237">
        <v>43123</v>
      </c>
      <c r="E52" s="237">
        <f t="shared" si="6"/>
        <v>22165</v>
      </c>
      <c r="F52" s="238">
        <f t="shared" si="7"/>
        <v>1.0575913732226359</v>
      </c>
    </row>
    <row r="53" spans="1:6" ht="20.25" customHeight="1" x14ac:dyDescent="0.3">
      <c r="A53" s="235">
        <v>4</v>
      </c>
      <c r="B53" s="236" t="s">
        <v>437</v>
      </c>
      <c r="C53" s="237">
        <v>4280</v>
      </c>
      <c r="D53" s="237">
        <v>8591</v>
      </c>
      <c r="E53" s="237">
        <f t="shared" si="6"/>
        <v>4311</v>
      </c>
      <c r="F53" s="238">
        <f t="shared" si="7"/>
        <v>1.0072429906542055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28</v>
      </c>
      <c r="D56" s="239">
        <v>24</v>
      </c>
      <c r="E56" s="239">
        <f t="shared" si="6"/>
        <v>-4</v>
      </c>
      <c r="F56" s="238">
        <f t="shared" si="7"/>
        <v>-0.14285714285714285</v>
      </c>
    </row>
    <row r="57" spans="1:6" ht="20.25" customHeight="1" x14ac:dyDescent="0.3">
      <c r="A57" s="235">
        <v>8</v>
      </c>
      <c r="B57" s="236" t="s">
        <v>439</v>
      </c>
      <c r="C57" s="239">
        <v>6</v>
      </c>
      <c r="D57" s="239">
        <v>0</v>
      </c>
      <c r="E57" s="239">
        <f t="shared" si="6"/>
        <v>-6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20958</v>
      </c>
      <c r="D59" s="243">
        <f>+D50+D52</f>
        <v>43123</v>
      </c>
      <c r="E59" s="243">
        <f t="shared" si="6"/>
        <v>22165</v>
      </c>
      <c r="F59" s="244">
        <f t="shared" si="7"/>
        <v>1.0575913732226359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4280</v>
      </c>
      <c r="D60" s="243">
        <f>+D51+D53</f>
        <v>8591</v>
      </c>
      <c r="E60" s="243">
        <f t="shared" si="6"/>
        <v>4311</v>
      </c>
      <c r="F60" s="244">
        <f t="shared" si="7"/>
        <v>1.0072429906542055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10340</v>
      </c>
      <c r="E76" s="237">
        <f t="shared" si="10"/>
        <v>10340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2360</v>
      </c>
      <c r="E77" s="237">
        <f t="shared" si="10"/>
        <v>2360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2</v>
      </c>
      <c r="E80" s="239">
        <f t="shared" si="10"/>
        <v>2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1</v>
      </c>
      <c r="E81" s="239">
        <f t="shared" si="10"/>
        <v>1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10340</v>
      </c>
      <c r="E83" s="243">
        <f t="shared" si="10"/>
        <v>10340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2360</v>
      </c>
      <c r="E84" s="243">
        <f t="shared" si="10"/>
        <v>2360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4395619</v>
      </c>
      <c r="D86" s="237">
        <v>4509431</v>
      </c>
      <c r="E86" s="237">
        <f t="shared" ref="E86:E96" si="12">D86-C86</f>
        <v>113812</v>
      </c>
      <c r="F86" s="238">
        <f t="shared" ref="F86:F96" si="13">IF(C86=0,0,E86/C86)</f>
        <v>2.5892143973351649E-2</v>
      </c>
    </row>
    <row r="87" spans="1:6" ht="20.25" customHeight="1" x14ac:dyDescent="0.3">
      <c r="A87" s="235">
        <v>2</v>
      </c>
      <c r="B87" s="236" t="s">
        <v>435</v>
      </c>
      <c r="C87" s="237">
        <v>969036</v>
      </c>
      <c r="D87" s="237">
        <v>860630</v>
      </c>
      <c r="E87" s="237">
        <f t="shared" si="12"/>
        <v>-108406</v>
      </c>
      <c r="F87" s="238">
        <f t="shared" si="13"/>
        <v>-0.11186994084843081</v>
      </c>
    </row>
    <row r="88" spans="1:6" ht="20.25" customHeight="1" x14ac:dyDescent="0.3">
      <c r="A88" s="235">
        <v>3</v>
      </c>
      <c r="B88" s="236" t="s">
        <v>436</v>
      </c>
      <c r="C88" s="237">
        <v>6420479</v>
      </c>
      <c r="D88" s="237">
        <v>8447310</v>
      </c>
      <c r="E88" s="237">
        <f t="shared" si="12"/>
        <v>2026831</v>
      </c>
      <c r="F88" s="238">
        <f t="shared" si="13"/>
        <v>0.31568221000333463</v>
      </c>
    </row>
    <row r="89" spans="1:6" ht="20.25" customHeight="1" x14ac:dyDescent="0.3">
      <c r="A89" s="235">
        <v>4</v>
      </c>
      <c r="B89" s="236" t="s">
        <v>437</v>
      </c>
      <c r="C89" s="237">
        <v>1202705</v>
      </c>
      <c r="D89" s="237">
        <v>1535565</v>
      </c>
      <c r="E89" s="237">
        <f t="shared" si="12"/>
        <v>332860</v>
      </c>
      <c r="F89" s="238">
        <f t="shared" si="13"/>
        <v>0.27675947135831314</v>
      </c>
    </row>
    <row r="90" spans="1:6" ht="20.25" customHeight="1" x14ac:dyDescent="0.3">
      <c r="A90" s="235">
        <v>5</v>
      </c>
      <c r="B90" s="236" t="s">
        <v>373</v>
      </c>
      <c r="C90" s="239">
        <v>202</v>
      </c>
      <c r="D90" s="239">
        <v>214</v>
      </c>
      <c r="E90" s="239">
        <f t="shared" si="12"/>
        <v>12</v>
      </c>
      <c r="F90" s="238">
        <f t="shared" si="13"/>
        <v>5.9405940594059403E-2</v>
      </c>
    </row>
    <row r="91" spans="1:6" ht="20.25" customHeight="1" x14ac:dyDescent="0.3">
      <c r="A91" s="235">
        <v>6</v>
      </c>
      <c r="B91" s="236" t="s">
        <v>372</v>
      </c>
      <c r="C91" s="239">
        <v>661</v>
      </c>
      <c r="D91" s="239">
        <v>734</v>
      </c>
      <c r="E91" s="239">
        <f t="shared" si="12"/>
        <v>73</v>
      </c>
      <c r="F91" s="238">
        <f t="shared" si="13"/>
        <v>0.11043872919818457</v>
      </c>
    </row>
    <row r="92" spans="1:6" ht="20.25" customHeight="1" x14ac:dyDescent="0.3">
      <c r="A92" s="235">
        <v>7</v>
      </c>
      <c r="B92" s="236" t="s">
        <v>438</v>
      </c>
      <c r="C92" s="239">
        <v>2721</v>
      </c>
      <c r="D92" s="239">
        <v>3231</v>
      </c>
      <c r="E92" s="239">
        <f t="shared" si="12"/>
        <v>510</v>
      </c>
      <c r="F92" s="238">
        <f t="shared" si="13"/>
        <v>0.1874310915104741</v>
      </c>
    </row>
    <row r="93" spans="1:6" ht="20.25" customHeight="1" x14ac:dyDescent="0.3">
      <c r="A93" s="235">
        <v>8</v>
      </c>
      <c r="B93" s="236" t="s">
        <v>439</v>
      </c>
      <c r="C93" s="239">
        <v>1164</v>
      </c>
      <c r="D93" s="239">
        <v>1332</v>
      </c>
      <c r="E93" s="239">
        <f t="shared" si="12"/>
        <v>168</v>
      </c>
      <c r="F93" s="238">
        <f t="shared" si="13"/>
        <v>0.14432989690721648</v>
      </c>
    </row>
    <row r="94" spans="1:6" ht="20.25" customHeight="1" x14ac:dyDescent="0.3">
      <c r="A94" s="235">
        <v>9</v>
      </c>
      <c r="B94" s="236" t="s">
        <v>440</v>
      </c>
      <c r="C94" s="239">
        <v>43</v>
      </c>
      <c r="D94" s="239">
        <v>57</v>
      </c>
      <c r="E94" s="239">
        <f t="shared" si="12"/>
        <v>14</v>
      </c>
      <c r="F94" s="238">
        <f t="shared" si="13"/>
        <v>0.32558139534883723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10816098</v>
      </c>
      <c r="D95" s="243">
        <f>+D86+D88</f>
        <v>12956741</v>
      </c>
      <c r="E95" s="243">
        <f t="shared" si="12"/>
        <v>2140643</v>
      </c>
      <c r="F95" s="244">
        <f t="shared" si="13"/>
        <v>0.19791268533254783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2171741</v>
      </c>
      <c r="D96" s="243">
        <f>+D87+D89</f>
        <v>2396195</v>
      </c>
      <c r="E96" s="243">
        <f t="shared" si="12"/>
        <v>224454</v>
      </c>
      <c r="F96" s="244">
        <f t="shared" si="13"/>
        <v>0.10335210322041165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3637096</v>
      </c>
      <c r="D98" s="237">
        <v>4514597</v>
      </c>
      <c r="E98" s="237">
        <f t="shared" ref="E98:E108" si="14">D98-C98</f>
        <v>877501</v>
      </c>
      <c r="F98" s="238">
        <f t="shared" ref="F98:F108" si="15">IF(C98=0,0,E98/C98)</f>
        <v>0.24126418439326319</v>
      </c>
    </row>
    <row r="99" spans="1:7" ht="20.25" customHeight="1" x14ac:dyDescent="0.3">
      <c r="A99" s="235">
        <v>2</v>
      </c>
      <c r="B99" s="236" t="s">
        <v>435</v>
      </c>
      <c r="C99" s="237">
        <v>534182</v>
      </c>
      <c r="D99" s="237">
        <v>841264</v>
      </c>
      <c r="E99" s="237">
        <f t="shared" si="14"/>
        <v>307082</v>
      </c>
      <c r="F99" s="238">
        <f t="shared" si="15"/>
        <v>0.57486399766371765</v>
      </c>
    </row>
    <row r="100" spans="1:7" ht="20.25" customHeight="1" x14ac:dyDescent="0.3">
      <c r="A100" s="235">
        <v>3</v>
      </c>
      <c r="B100" s="236" t="s">
        <v>436</v>
      </c>
      <c r="C100" s="237">
        <v>6119428</v>
      </c>
      <c r="D100" s="237">
        <v>8026469</v>
      </c>
      <c r="E100" s="237">
        <f t="shared" si="14"/>
        <v>1907041</v>
      </c>
      <c r="F100" s="238">
        <f t="shared" si="15"/>
        <v>0.31163713340527904</v>
      </c>
    </row>
    <row r="101" spans="1:7" ht="20.25" customHeight="1" x14ac:dyDescent="0.3">
      <c r="A101" s="235">
        <v>4</v>
      </c>
      <c r="B101" s="236" t="s">
        <v>437</v>
      </c>
      <c r="C101" s="237">
        <v>1180464</v>
      </c>
      <c r="D101" s="237">
        <v>1494918</v>
      </c>
      <c r="E101" s="237">
        <f t="shared" si="14"/>
        <v>314454</v>
      </c>
      <c r="F101" s="238">
        <f t="shared" si="15"/>
        <v>0.26638169397796119</v>
      </c>
    </row>
    <row r="102" spans="1:7" ht="20.25" customHeight="1" x14ac:dyDescent="0.3">
      <c r="A102" s="235">
        <v>5</v>
      </c>
      <c r="B102" s="236" t="s">
        <v>373</v>
      </c>
      <c r="C102" s="239">
        <v>186</v>
      </c>
      <c r="D102" s="239">
        <v>209</v>
      </c>
      <c r="E102" s="239">
        <f t="shared" si="14"/>
        <v>23</v>
      </c>
      <c r="F102" s="238">
        <f t="shared" si="15"/>
        <v>0.12365591397849462</v>
      </c>
    </row>
    <row r="103" spans="1:7" ht="20.25" customHeight="1" x14ac:dyDescent="0.3">
      <c r="A103" s="235">
        <v>6</v>
      </c>
      <c r="B103" s="236" t="s">
        <v>372</v>
      </c>
      <c r="C103" s="239">
        <v>694</v>
      </c>
      <c r="D103" s="239">
        <v>740</v>
      </c>
      <c r="E103" s="239">
        <f t="shared" si="14"/>
        <v>46</v>
      </c>
      <c r="F103" s="238">
        <f t="shared" si="15"/>
        <v>6.6282420749279536E-2</v>
      </c>
    </row>
    <row r="104" spans="1:7" ht="20.25" customHeight="1" x14ac:dyDescent="0.3">
      <c r="A104" s="235">
        <v>7</v>
      </c>
      <c r="B104" s="236" t="s">
        <v>438</v>
      </c>
      <c r="C104" s="239">
        <v>2821</v>
      </c>
      <c r="D104" s="239">
        <v>3337</v>
      </c>
      <c r="E104" s="239">
        <f t="shared" si="14"/>
        <v>516</v>
      </c>
      <c r="F104" s="238">
        <f t="shared" si="15"/>
        <v>0.18291386033321516</v>
      </c>
    </row>
    <row r="105" spans="1:7" ht="20.25" customHeight="1" x14ac:dyDescent="0.3">
      <c r="A105" s="235">
        <v>8</v>
      </c>
      <c r="B105" s="236" t="s">
        <v>439</v>
      </c>
      <c r="C105" s="239">
        <v>1106</v>
      </c>
      <c r="D105" s="239">
        <v>1134</v>
      </c>
      <c r="E105" s="239">
        <f t="shared" si="14"/>
        <v>28</v>
      </c>
      <c r="F105" s="238">
        <f t="shared" si="15"/>
        <v>2.5316455696202531E-2</v>
      </c>
    </row>
    <row r="106" spans="1:7" ht="20.25" customHeight="1" x14ac:dyDescent="0.3">
      <c r="A106" s="235">
        <v>9</v>
      </c>
      <c r="B106" s="236" t="s">
        <v>440</v>
      </c>
      <c r="C106" s="239">
        <v>38</v>
      </c>
      <c r="D106" s="239">
        <v>54</v>
      </c>
      <c r="E106" s="239">
        <f t="shared" si="14"/>
        <v>16</v>
      </c>
      <c r="F106" s="238">
        <f t="shared" si="15"/>
        <v>0.42105263157894735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9756524</v>
      </c>
      <c r="D107" s="243">
        <f>+D98+D100</f>
        <v>12541066</v>
      </c>
      <c r="E107" s="243">
        <f t="shared" si="14"/>
        <v>2784542</v>
      </c>
      <c r="F107" s="244">
        <f t="shared" si="15"/>
        <v>0.28540308003137183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1714646</v>
      </c>
      <c r="D108" s="243">
        <f>+D99+D101</f>
        <v>2336182</v>
      </c>
      <c r="E108" s="243">
        <f t="shared" si="14"/>
        <v>621536</v>
      </c>
      <c r="F108" s="244">
        <f t="shared" si="15"/>
        <v>0.36248648409059364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20862974</v>
      </c>
      <c r="D112" s="243">
        <f t="shared" si="16"/>
        <v>24897411</v>
      </c>
      <c r="E112" s="243">
        <f t="shared" ref="E112:E122" si="17">D112-C112</f>
        <v>4034437</v>
      </c>
      <c r="F112" s="244">
        <f t="shared" ref="F112:F122" si="18">IF(C112=0,0,E112/C112)</f>
        <v>0.19337784728102522</v>
      </c>
    </row>
    <row r="113" spans="1:6" ht="20.25" customHeight="1" x14ac:dyDescent="0.3">
      <c r="A113" s="249"/>
      <c r="B113" s="250" t="s">
        <v>461</v>
      </c>
      <c r="C113" s="243">
        <f t="shared" si="16"/>
        <v>4340568</v>
      </c>
      <c r="D113" s="243">
        <f t="shared" si="16"/>
        <v>4356150</v>
      </c>
      <c r="E113" s="243">
        <f t="shared" si="17"/>
        <v>15582</v>
      </c>
      <c r="F113" s="244">
        <f t="shared" si="18"/>
        <v>3.5898527565977542E-3</v>
      </c>
    </row>
    <row r="114" spans="1:6" ht="20.25" customHeight="1" x14ac:dyDescent="0.3">
      <c r="A114" s="249"/>
      <c r="B114" s="250" t="s">
        <v>462</v>
      </c>
      <c r="C114" s="243">
        <f t="shared" si="16"/>
        <v>37764279</v>
      </c>
      <c r="D114" s="243">
        <f t="shared" si="16"/>
        <v>48923744</v>
      </c>
      <c r="E114" s="243">
        <f t="shared" si="17"/>
        <v>11159465</v>
      </c>
      <c r="F114" s="244">
        <f t="shared" si="18"/>
        <v>0.29550319231568012</v>
      </c>
    </row>
    <row r="115" spans="1:6" ht="20.25" customHeight="1" x14ac:dyDescent="0.3">
      <c r="A115" s="249"/>
      <c r="B115" s="250" t="s">
        <v>463</v>
      </c>
      <c r="C115" s="243">
        <f t="shared" si="16"/>
        <v>6710106</v>
      </c>
      <c r="D115" s="243">
        <f t="shared" si="16"/>
        <v>8465939</v>
      </c>
      <c r="E115" s="243">
        <f t="shared" si="17"/>
        <v>1755833</v>
      </c>
      <c r="F115" s="244">
        <f t="shared" si="18"/>
        <v>0.26166993487137163</v>
      </c>
    </row>
    <row r="116" spans="1:6" ht="20.25" customHeight="1" x14ac:dyDescent="0.3">
      <c r="A116" s="249"/>
      <c r="B116" s="250" t="s">
        <v>464</v>
      </c>
      <c r="C116" s="252">
        <f t="shared" si="16"/>
        <v>1023</v>
      </c>
      <c r="D116" s="252">
        <f t="shared" si="16"/>
        <v>1172</v>
      </c>
      <c r="E116" s="252">
        <f t="shared" si="17"/>
        <v>149</v>
      </c>
      <c r="F116" s="244">
        <f t="shared" si="18"/>
        <v>0.14565004887585534</v>
      </c>
    </row>
    <row r="117" spans="1:6" ht="20.25" customHeight="1" x14ac:dyDescent="0.3">
      <c r="A117" s="249"/>
      <c r="B117" s="250" t="s">
        <v>465</v>
      </c>
      <c r="C117" s="252">
        <f t="shared" si="16"/>
        <v>3536</v>
      </c>
      <c r="D117" s="252">
        <f t="shared" si="16"/>
        <v>4106</v>
      </c>
      <c r="E117" s="252">
        <f t="shared" si="17"/>
        <v>570</v>
      </c>
      <c r="F117" s="244">
        <f t="shared" si="18"/>
        <v>0.16119909502262444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17563</v>
      </c>
      <c r="D118" s="252">
        <f t="shared" si="16"/>
        <v>19993</v>
      </c>
      <c r="E118" s="252">
        <f t="shared" si="17"/>
        <v>2430</v>
      </c>
      <c r="F118" s="244">
        <f t="shared" si="18"/>
        <v>0.13835905027614873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7890</v>
      </c>
      <c r="D119" s="252">
        <f t="shared" si="16"/>
        <v>8088</v>
      </c>
      <c r="E119" s="252">
        <f t="shared" si="17"/>
        <v>198</v>
      </c>
      <c r="F119" s="244">
        <f t="shared" si="18"/>
        <v>2.5095057034220533E-2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256</v>
      </c>
      <c r="D120" s="252">
        <f t="shared" si="16"/>
        <v>311</v>
      </c>
      <c r="E120" s="252">
        <f t="shared" si="17"/>
        <v>55</v>
      </c>
      <c r="F120" s="244">
        <f t="shared" si="18"/>
        <v>0.21484375</v>
      </c>
    </row>
    <row r="121" spans="1:6" ht="39.950000000000003" customHeight="1" x14ac:dyDescent="0.3">
      <c r="A121" s="249"/>
      <c r="B121" s="242" t="s">
        <v>441</v>
      </c>
      <c r="C121" s="243">
        <f>+C112+C114</f>
        <v>58627253</v>
      </c>
      <c r="D121" s="243">
        <f>+D112+D114</f>
        <v>73821155</v>
      </c>
      <c r="E121" s="243">
        <f t="shared" si="17"/>
        <v>15193902</v>
      </c>
      <c r="F121" s="244">
        <f t="shared" si="18"/>
        <v>0.25916107650481252</v>
      </c>
    </row>
    <row r="122" spans="1:6" ht="39.950000000000003" customHeight="1" x14ac:dyDescent="0.3">
      <c r="A122" s="249"/>
      <c r="B122" s="242" t="s">
        <v>470</v>
      </c>
      <c r="C122" s="243">
        <f>+C113+C115</f>
        <v>11050674</v>
      </c>
      <c r="D122" s="243">
        <f>+D113+D115</f>
        <v>12822089</v>
      </c>
      <c r="E122" s="243">
        <f t="shared" si="17"/>
        <v>1771415</v>
      </c>
      <c r="F122" s="244">
        <f t="shared" si="18"/>
        <v>0.16029927224348486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FILING&amp;RSTAMFORD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58541000</v>
      </c>
      <c r="D13" s="23">
        <v>94498000</v>
      </c>
      <c r="E13" s="23">
        <f t="shared" ref="E13:E22" si="0">D13-C13</f>
        <v>35957000</v>
      </c>
      <c r="F13" s="24">
        <f t="shared" ref="F13:F22" si="1">IF(C13=0,0,E13/C13)</f>
        <v>0.61421909430997079</v>
      </c>
    </row>
    <row r="14" spans="1:8" ht="24" customHeight="1" x14ac:dyDescent="0.2">
      <c r="A14" s="21">
        <v>2</v>
      </c>
      <c r="B14" s="22" t="s">
        <v>17</v>
      </c>
      <c r="C14" s="23">
        <v>24454000</v>
      </c>
      <c r="D14" s="23">
        <v>25033000</v>
      </c>
      <c r="E14" s="23">
        <f t="shared" si="0"/>
        <v>579000</v>
      </c>
      <c r="F14" s="24">
        <f t="shared" si="1"/>
        <v>2.3677108039584525E-2</v>
      </c>
    </row>
    <row r="15" spans="1:8" ht="35.1" customHeight="1" x14ac:dyDescent="0.2">
      <c r="A15" s="21">
        <v>3</v>
      </c>
      <c r="B15" s="22" t="s">
        <v>18</v>
      </c>
      <c r="C15" s="23">
        <v>51581000</v>
      </c>
      <c r="D15" s="23">
        <v>62433000</v>
      </c>
      <c r="E15" s="23">
        <f t="shared" si="0"/>
        <v>10852000</v>
      </c>
      <c r="F15" s="24">
        <f t="shared" si="1"/>
        <v>0.2103875458017487</v>
      </c>
    </row>
    <row r="16" spans="1:8" ht="35.1" customHeight="1" x14ac:dyDescent="0.2">
      <c r="A16" s="21">
        <v>4</v>
      </c>
      <c r="B16" s="22" t="s">
        <v>19</v>
      </c>
      <c r="C16" s="23">
        <v>1874000</v>
      </c>
      <c r="D16" s="23">
        <v>748000</v>
      </c>
      <c r="E16" s="23">
        <f t="shared" si="0"/>
        <v>-1126000</v>
      </c>
      <c r="F16" s="24">
        <f t="shared" si="1"/>
        <v>-0.60085378868729988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3941000</v>
      </c>
      <c r="D18" s="23">
        <v>2592000</v>
      </c>
      <c r="E18" s="23">
        <f t="shared" si="0"/>
        <v>-1349000</v>
      </c>
      <c r="F18" s="24">
        <f t="shared" si="1"/>
        <v>-0.34229890890636894</v>
      </c>
    </row>
    <row r="19" spans="1:11" ht="24" customHeight="1" x14ac:dyDescent="0.2">
      <c r="A19" s="21">
        <v>7</v>
      </c>
      <c r="B19" s="22" t="s">
        <v>22</v>
      </c>
      <c r="C19" s="23">
        <v>4777000</v>
      </c>
      <c r="D19" s="23">
        <v>4793000</v>
      </c>
      <c r="E19" s="23">
        <f t="shared" si="0"/>
        <v>16000</v>
      </c>
      <c r="F19" s="24">
        <f t="shared" si="1"/>
        <v>3.3493824576093785E-3</v>
      </c>
    </row>
    <row r="20" spans="1:11" ht="24" customHeight="1" x14ac:dyDescent="0.2">
      <c r="A20" s="21">
        <v>8</v>
      </c>
      <c r="B20" s="22" t="s">
        <v>23</v>
      </c>
      <c r="C20" s="23">
        <v>4430000</v>
      </c>
      <c r="D20" s="23">
        <v>4424000</v>
      </c>
      <c r="E20" s="23">
        <f t="shared" si="0"/>
        <v>-6000</v>
      </c>
      <c r="F20" s="24">
        <f t="shared" si="1"/>
        <v>-1.3544018058690745E-3</v>
      </c>
    </row>
    <row r="21" spans="1:11" ht="24" customHeight="1" x14ac:dyDescent="0.2">
      <c r="A21" s="21">
        <v>9</v>
      </c>
      <c r="B21" s="22" t="s">
        <v>24</v>
      </c>
      <c r="C21" s="23">
        <v>4964000</v>
      </c>
      <c r="D21" s="23">
        <v>8202000</v>
      </c>
      <c r="E21" s="23">
        <f t="shared" si="0"/>
        <v>3238000</v>
      </c>
      <c r="F21" s="24">
        <f t="shared" si="1"/>
        <v>0.65229653505237717</v>
      </c>
    </row>
    <row r="22" spans="1:11" ht="24" customHeight="1" x14ac:dyDescent="0.25">
      <c r="A22" s="25"/>
      <c r="B22" s="26" t="s">
        <v>25</v>
      </c>
      <c r="C22" s="27">
        <f>SUM(C13:C21)</f>
        <v>154562000</v>
      </c>
      <c r="D22" s="27">
        <f>SUM(D13:D21)</f>
        <v>202723000</v>
      </c>
      <c r="E22" s="27">
        <f t="shared" si="0"/>
        <v>48161000</v>
      </c>
      <c r="F22" s="28">
        <f t="shared" si="1"/>
        <v>0.31159664083021699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1699000</v>
      </c>
      <c r="D25" s="23">
        <v>1699000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46251000</v>
      </c>
      <c r="D28" s="23">
        <v>43117000</v>
      </c>
      <c r="E28" s="23">
        <f>D28-C28</f>
        <v>-3134000</v>
      </c>
      <c r="F28" s="24">
        <f>IF(C28=0,0,E28/C28)</f>
        <v>-6.7760697066009387E-2</v>
      </c>
    </row>
    <row r="29" spans="1:11" ht="35.1" customHeight="1" x14ac:dyDescent="0.25">
      <c r="A29" s="25"/>
      <c r="B29" s="26" t="s">
        <v>32</v>
      </c>
      <c r="C29" s="27">
        <f>SUM(C25:C28)</f>
        <v>47950000</v>
      </c>
      <c r="D29" s="27">
        <f>SUM(D25:D28)</f>
        <v>44816000</v>
      </c>
      <c r="E29" s="27">
        <f>D29-C29</f>
        <v>-3134000</v>
      </c>
      <c r="F29" s="28">
        <f>IF(C29=0,0,E29/C29)</f>
        <v>-6.5359749739311787E-2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102939000</v>
      </c>
      <c r="D32" s="23">
        <v>106144000</v>
      </c>
      <c r="E32" s="23">
        <f>D32-C32</f>
        <v>3205000</v>
      </c>
      <c r="F32" s="24">
        <f>IF(C32=0,0,E32/C32)</f>
        <v>3.1134943995958772E-2</v>
      </c>
    </row>
    <row r="33" spans="1:8" ht="24" customHeight="1" x14ac:dyDescent="0.2">
      <c r="A33" s="21">
        <v>7</v>
      </c>
      <c r="B33" s="22" t="s">
        <v>35</v>
      </c>
      <c r="C33" s="23">
        <v>7495000</v>
      </c>
      <c r="D33" s="23">
        <v>70741000</v>
      </c>
      <c r="E33" s="23">
        <f>D33-C33</f>
        <v>63246000</v>
      </c>
      <c r="F33" s="24">
        <f>IF(C33=0,0,E33/C33)</f>
        <v>8.4384256170780514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624066000</v>
      </c>
      <c r="D36" s="23">
        <v>559662000</v>
      </c>
      <c r="E36" s="23">
        <f>D36-C36</f>
        <v>-64404000</v>
      </c>
      <c r="F36" s="24">
        <f>IF(C36=0,0,E36/C36)</f>
        <v>-0.10320062301102768</v>
      </c>
    </row>
    <row r="37" spans="1:8" ht="24" customHeight="1" x14ac:dyDescent="0.2">
      <c r="A37" s="21">
        <v>2</v>
      </c>
      <c r="B37" s="22" t="s">
        <v>39</v>
      </c>
      <c r="C37" s="23">
        <v>329471000</v>
      </c>
      <c r="D37" s="23">
        <v>329376000</v>
      </c>
      <c r="E37" s="23">
        <f>D37-C37</f>
        <v>-95000</v>
      </c>
      <c r="F37" s="23">
        <f>IF(C37=0,0,E37/C37)</f>
        <v>-2.8834100725101756E-4</v>
      </c>
    </row>
    <row r="38" spans="1:8" ht="24" customHeight="1" x14ac:dyDescent="0.25">
      <c r="A38" s="25"/>
      <c r="B38" s="26" t="s">
        <v>40</v>
      </c>
      <c r="C38" s="27">
        <f>C36-C37</f>
        <v>294595000</v>
      </c>
      <c r="D38" s="27">
        <f>D36-D37</f>
        <v>230286000</v>
      </c>
      <c r="E38" s="27">
        <f>D38-C38</f>
        <v>-64309000</v>
      </c>
      <c r="F38" s="28">
        <f>IF(C38=0,0,E38/C38)</f>
        <v>-0.21829630509682785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20384000</v>
      </c>
      <c r="D40" s="23">
        <v>23297000</v>
      </c>
      <c r="E40" s="23">
        <f>D40-C40</f>
        <v>2913000</v>
      </c>
      <c r="F40" s="24">
        <f>IF(C40=0,0,E40/C40)</f>
        <v>0.14290620094191522</v>
      </c>
    </row>
    <row r="41" spans="1:8" ht="24" customHeight="1" x14ac:dyDescent="0.25">
      <c r="A41" s="25"/>
      <c r="B41" s="26" t="s">
        <v>42</v>
      </c>
      <c r="C41" s="27">
        <f>+C38+C40</f>
        <v>314979000</v>
      </c>
      <c r="D41" s="27">
        <f>+D38+D40</f>
        <v>253583000</v>
      </c>
      <c r="E41" s="27">
        <f>D41-C41</f>
        <v>-61396000</v>
      </c>
      <c r="F41" s="28">
        <f>IF(C41=0,0,E41/C41)</f>
        <v>-0.19492093123668561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627925000</v>
      </c>
      <c r="D43" s="27">
        <f>D22+D29+D31+D32+D33+D41</f>
        <v>678007000</v>
      </c>
      <c r="E43" s="27">
        <f>D43-C43</f>
        <v>50082000</v>
      </c>
      <c r="F43" s="28">
        <f>IF(C43=0,0,E43/C43)</f>
        <v>7.9757932874148979E-2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46648000</v>
      </c>
      <c r="D49" s="23">
        <v>51497000</v>
      </c>
      <c r="E49" s="23">
        <f t="shared" ref="E49:E56" si="2">D49-C49</f>
        <v>4849000</v>
      </c>
      <c r="F49" s="24">
        <f t="shared" ref="F49:F56" si="3">IF(C49=0,0,E49/C49)</f>
        <v>0.1039487223460813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11036000</v>
      </c>
      <c r="D50" s="23">
        <v>10176000</v>
      </c>
      <c r="E50" s="23">
        <f t="shared" si="2"/>
        <v>-860000</v>
      </c>
      <c r="F50" s="24">
        <f t="shared" si="3"/>
        <v>-7.7926785067053278E-2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9227000</v>
      </c>
      <c r="D51" s="23">
        <v>10254000</v>
      </c>
      <c r="E51" s="23">
        <f t="shared" si="2"/>
        <v>1027000</v>
      </c>
      <c r="F51" s="24">
        <f t="shared" si="3"/>
        <v>0.11130378237780426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8592000</v>
      </c>
      <c r="D53" s="23">
        <v>6018000</v>
      </c>
      <c r="E53" s="23">
        <f t="shared" si="2"/>
        <v>-2574000</v>
      </c>
      <c r="F53" s="24">
        <f t="shared" si="3"/>
        <v>-0.29958100558659218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15889000</v>
      </c>
      <c r="D55" s="23">
        <v>19975000</v>
      </c>
      <c r="E55" s="23">
        <f t="shared" si="2"/>
        <v>4086000</v>
      </c>
      <c r="F55" s="24">
        <f t="shared" si="3"/>
        <v>0.25715904084586821</v>
      </c>
    </row>
    <row r="56" spans="1:6" ht="24" customHeight="1" x14ac:dyDescent="0.25">
      <c r="A56" s="25"/>
      <c r="B56" s="26" t="s">
        <v>54</v>
      </c>
      <c r="C56" s="27">
        <f>SUM(C49:C55)</f>
        <v>91392000</v>
      </c>
      <c r="D56" s="27">
        <f>SUM(D49:D55)</f>
        <v>97920000</v>
      </c>
      <c r="E56" s="27">
        <f t="shared" si="2"/>
        <v>6528000</v>
      </c>
      <c r="F56" s="28">
        <f t="shared" si="3"/>
        <v>7.1428571428571425E-2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147143000</v>
      </c>
      <c r="D59" s="23">
        <v>151881000</v>
      </c>
      <c r="E59" s="23">
        <f>D59-C59</f>
        <v>4738000</v>
      </c>
      <c r="F59" s="24">
        <f>IF(C59=0,0,E59/C59)</f>
        <v>3.2199968737894429E-2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147143000</v>
      </c>
      <c r="D61" s="27">
        <f>SUM(D59:D60)</f>
        <v>151881000</v>
      </c>
      <c r="E61" s="27">
        <f>D61-C61</f>
        <v>4738000</v>
      </c>
      <c r="F61" s="28">
        <f>IF(C61=0,0,E61/C61)</f>
        <v>3.2199968737894429E-2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90083000</v>
      </c>
      <c r="D63" s="23">
        <v>102463000</v>
      </c>
      <c r="E63" s="23">
        <f>D63-C63</f>
        <v>12380000</v>
      </c>
      <c r="F63" s="24">
        <f>IF(C63=0,0,E63/C63)</f>
        <v>0.13742881564779147</v>
      </c>
    </row>
    <row r="64" spans="1:6" ht="24" customHeight="1" x14ac:dyDescent="0.2">
      <c r="A64" s="21">
        <v>4</v>
      </c>
      <c r="B64" s="22" t="s">
        <v>60</v>
      </c>
      <c r="C64" s="23">
        <v>120489000</v>
      </c>
      <c r="D64" s="23">
        <v>127629000</v>
      </c>
      <c r="E64" s="23">
        <f>D64-C64</f>
        <v>7140000</v>
      </c>
      <c r="F64" s="24">
        <f>IF(C64=0,0,E64/C64)</f>
        <v>5.9258521524786494E-2</v>
      </c>
    </row>
    <row r="65" spans="1:6" ht="24" customHeight="1" x14ac:dyDescent="0.25">
      <c r="A65" s="25"/>
      <c r="B65" s="26" t="s">
        <v>61</v>
      </c>
      <c r="C65" s="27">
        <f>SUM(C61:C64)</f>
        <v>357715000</v>
      </c>
      <c r="D65" s="27">
        <f>SUM(D61:D64)</f>
        <v>381973000</v>
      </c>
      <c r="E65" s="27">
        <f>D65-C65</f>
        <v>24258000</v>
      </c>
      <c r="F65" s="28">
        <f>IF(C65=0,0,E65/C65)</f>
        <v>6.7813762352710957E-2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148882000</v>
      </c>
      <c r="D70" s="23">
        <v>169011000</v>
      </c>
      <c r="E70" s="23">
        <f>D70-C70</f>
        <v>20129000</v>
      </c>
      <c r="F70" s="24">
        <f>IF(C70=0,0,E70/C70)</f>
        <v>0.13520103168952594</v>
      </c>
    </row>
    <row r="71" spans="1:6" ht="24" customHeight="1" x14ac:dyDescent="0.2">
      <c r="A71" s="21">
        <v>2</v>
      </c>
      <c r="B71" s="22" t="s">
        <v>65</v>
      </c>
      <c r="C71" s="23">
        <v>21856000</v>
      </c>
      <c r="D71" s="23">
        <v>21023000</v>
      </c>
      <c r="E71" s="23">
        <f>D71-C71</f>
        <v>-833000</v>
      </c>
      <c r="F71" s="24">
        <f>IF(C71=0,0,E71/C71)</f>
        <v>-3.8113103953147875E-2</v>
      </c>
    </row>
    <row r="72" spans="1:6" ht="24" customHeight="1" x14ac:dyDescent="0.2">
      <c r="A72" s="21">
        <v>3</v>
      </c>
      <c r="B72" s="22" t="s">
        <v>66</v>
      </c>
      <c r="C72" s="23">
        <v>8080000</v>
      </c>
      <c r="D72" s="23">
        <v>8080000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178818000</v>
      </c>
      <c r="D73" s="27">
        <f>SUM(D70:D72)</f>
        <v>198114000</v>
      </c>
      <c r="E73" s="27">
        <f>D73-C73</f>
        <v>19296000</v>
      </c>
      <c r="F73" s="28">
        <f>IF(C73=0,0,E73/C73)</f>
        <v>0.10790859980538872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627925000</v>
      </c>
      <c r="D75" s="27">
        <f>D56+D65+D67+D73</f>
        <v>678007000</v>
      </c>
      <c r="E75" s="27">
        <f>D75-C75</f>
        <v>50082000</v>
      </c>
      <c r="F75" s="28">
        <f>IF(C75=0,0,E75/C75)</f>
        <v>7.9757932874148979E-2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FILING&amp;RSTAMFORD HEALTH SYSTEM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1288625775</v>
      </c>
      <c r="D12" s="51">
        <v>1459332537</v>
      </c>
      <c r="E12" s="51">
        <f t="shared" ref="E12:E19" si="0">D12-C12</f>
        <v>170706762</v>
      </c>
      <c r="F12" s="70">
        <f t="shared" ref="F12:F19" si="1">IF(C12=0,0,E12/C12)</f>
        <v>0.13247194438587107</v>
      </c>
    </row>
    <row r="13" spans="1:8" ht="23.1" customHeight="1" x14ac:dyDescent="0.2">
      <c r="A13" s="25">
        <v>2</v>
      </c>
      <c r="B13" s="48" t="s">
        <v>72</v>
      </c>
      <c r="C13" s="51">
        <v>837497446</v>
      </c>
      <c r="D13" s="51">
        <v>967141721</v>
      </c>
      <c r="E13" s="51">
        <f t="shared" si="0"/>
        <v>129644275</v>
      </c>
      <c r="F13" s="70">
        <f t="shared" si="1"/>
        <v>0.15479960639784446</v>
      </c>
    </row>
    <row r="14" spans="1:8" ht="23.1" customHeight="1" x14ac:dyDescent="0.2">
      <c r="A14" s="25">
        <v>3</v>
      </c>
      <c r="B14" s="48" t="s">
        <v>73</v>
      </c>
      <c r="C14" s="51">
        <v>23197205</v>
      </c>
      <c r="D14" s="51">
        <v>27344589</v>
      </c>
      <c r="E14" s="51">
        <f t="shared" si="0"/>
        <v>4147384</v>
      </c>
      <c r="F14" s="70">
        <f t="shared" si="1"/>
        <v>0.17878809106528135</v>
      </c>
    </row>
    <row r="15" spans="1:8" ht="23.1" customHeight="1" x14ac:dyDescent="0.2">
      <c r="A15" s="25">
        <v>4</v>
      </c>
      <c r="B15" s="48" t="s">
        <v>74</v>
      </c>
      <c r="C15" s="51">
        <v>-6413371</v>
      </c>
      <c r="D15" s="51">
        <v>-10412752</v>
      </c>
      <c r="E15" s="51">
        <f t="shared" si="0"/>
        <v>-3999381</v>
      </c>
      <c r="F15" s="70">
        <f t="shared" si="1"/>
        <v>0.62360044351090871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434344495</v>
      </c>
      <c r="D16" s="27">
        <f>D12-D13-D14-D15</f>
        <v>475258979</v>
      </c>
      <c r="E16" s="27">
        <f t="shared" si="0"/>
        <v>40914484</v>
      </c>
      <c r="F16" s="28">
        <f t="shared" si="1"/>
        <v>9.4198233132896048E-2</v>
      </c>
    </row>
    <row r="17" spans="1:7" ht="23.1" customHeight="1" x14ac:dyDescent="0.2">
      <c r="A17" s="25">
        <v>5</v>
      </c>
      <c r="B17" s="48" t="s">
        <v>76</v>
      </c>
      <c r="C17" s="51">
        <v>56264067</v>
      </c>
      <c r="D17" s="51">
        <v>36379771</v>
      </c>
      <c r="E17" s="51">
        <f t="shared" si="0"/>
        <v>-19884296</v>
      </c>
      <c r="F17" s="70">
        <f t="shared" si="1"/>
        <v>-0.35341021472905609</v>
      </c>
      <c r="G17" s="64"/>
    </row>
    <row r="18" spans="1:7" ht="33" customHeight="1" x14ac:dyDescent="0.2">
      <c r="A18" s="25">
        <v>6</v>
      </c>
      <c r="B18" s="45" t="s">
        <v>77</v>
      </c>
      <c r="C18" s="51">
        <v>2979880</v>
      </c>
      <c r="D18" s="51">
        <v>2397063</v>
      </c>
      <c r="E18" s="51">
        <f t="shared" si="0"/>
        <v>-582817</v>
      </c>
      <c r="F18" s="70">
        <f t="shared" si="1"/>
        <v>-0.19558405036444421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493588442</v>
      </c>
      <c r="D19" s="27">
        <f>SUM(D16:D18)</f>
        <v>514035813</v>
      </c>
      <c r="E19" s="27">
        <f t="shared" si="0"/>
        <v>20447371</v>
      </c>
      <c r="F19" s="28">
        <f t="shared" si="1"/>
        <v>4.1425951785151405E-2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173118513</v>
      </c>
      <c r="D22" s="51">
        <v>187106689</v>
      </c>
      <c r="E22" s="51">
        <f t="shared" ref="E22:E31" si="2">D22-C22</f>
        <v>13988176</v>
      </c>
      <c r="F22" s="70">
        <f t="shared" ref="F22:F31" si="3">IF(C22=0,0,E22/C22)</f>
        <v>8.0801156142093253E-2</v>
      </c>
    </row>
    <row r="23" spans="1:7" ht="23.1" customHeight="1" x14ac:dyDescent="0.2">
      <c r="A23" s="25">
        <v>2</v>
      </c>
      <c r="B23" s="48" t="s">
        <v>81</v>
      </c>
      <c r="C23" s="51">
        <v>46639139</v>
      </c>
      <c r="D23" s="51">
        <v>51862161</v>
      </c>
      <c r="E23" s="51">
        <f t="shared" si="2"/>
        <v>5223022</v>
      </c>
      <c r="F23" s="70">
        <f t="shared" si="3"/>
        <v>0.11198795929744758</v>
      </c>
    </row>
    <row r="24" spans="1:7" ht="23.1" customHeight="1" x14ac:dyDescent="0.2">
      <c r="A24" s="25">
        <v>3</v>
      </c>
      <c r="B24" s="48" t="s">
        <v>82</v>
      </c>
      <c r="C24" s="51">
        <v>8971251</v>
      </c>
      <c r="D24" s="51">
        <v>12483575</v>
      </c>
      <c r="E24" s="51">
        <f t="shared" si="2"/>
        <v>3512324</v>
      </c>
      <c r="F24" s="70">
        <f t="shared" si="3"/>
        <v>0.39150883193436459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43403655</v>
      </c>
      <c r="D25" s="51">
        <v>51436302</v>
      </c>
      <c r="E25" s="51">
        <f t="shared" si="2"/>
        <v>8032647</v>
      </c>
      <c r="F25" s="70">
        <f t="shared" si="3"/>
        <v>0.18506844642461562</v>
      </c>
    </row>
    <row r="26" spans="1:7" ht="23.1" customHeight="1" x14ac:dyDescent="0.2">
      <c r="A26" s="25">
        <v>5</v>
      </c>
      <c r="B26" s="48" t="s">
        <v>84</v>
      </c>
      <c r="C26" s="51">
        <v>32505448</v>
      </c>
      <c r="D26" s="51">
        <v>29299797</v>
      </c>
      <c r="E26" s="51">
        <f t="shared" si="2"/>
        <v>-3205651</v>
      </c>
      <c r="F26" s="70">
        <f t="shared" si="3"/>
        <v>-9.8618883825259074E-2</v>
      </c>
    </row>
    <row r="27" spans="1:7" ht="23.1" customHeight="1" x14ac:dyDescent="0.2">
      <c r="A27" s="25">
        <v>6</v>
      </c>
      <c r="B27" s="48" t="s">
        <v>85</v>
      </c>
      <c r="C27" s="51">
        <v>43441930</v>
      </c>
      <c r="D27" s="51">
        <v>47360053</v>
      </c>
      <c r="E27" s="51">
        <f t="shared" si="2"/>
        <v>3918123</v>
      </c>
      <c r="F27" s="70">
        <f t="shared" si="3"/>
        <v>9.0192194499645856E-2</v>
      </c>
    </row>
    <row r="28" spans="1:7" ht="23.1" customHeight="1" x14ac:dyDescent="0.2">
      <c r="A28" s="25">
        <v>7</v>
      </c>
      <c r="B28" s="48" t="s">
        <v>86</v>
      </c>
      <c r="C28" s="51">
        <v>5077006</v>
      </c>
      <c r="D28" s="51">
        <v>5683048</v>
      </c>
      <c r="E28" s="51">
        <f t="shared" si="2"/>
        <v>606042</v>
      </c>
      <c r="F28" s="70">
        <f t="shared" si="3"/>
        <v>0.11936995938157252</v>
      </c>
    </row>
    <row r="29" spans="1:7" ht="23.1" customHeight="1" x14ac:dyDescent="0.2">
      <c r="A29" s="25">
        <v>8</v>
      </c>
      <c r="B29" s="48" t="s">
        <v>87</v>
      </c>
      <c r="C29" s="51">
        <v>2284250</v>
      </c>
      <c r="D29" s="51">
        <v>2927387</v>
      </c>
      <c r="E29" s="51">
        <f t="shared" si="2"/>
        <v>643137</v>
      </c>
      <c r="F29" s="70">
        <f t="shared" si="3"/>
        <v>0.28155280726715554</v>
      </c>
    </row>
    <row r="30" spans="1:7" ht="23.1" customHeight="1" x14ac:dyDescent="0.2">
      <c r="A30" s="25">
        <v>9</v>
      </c>
      <c r="B30" s="48" t="s">
        <v>88</v>
      </c>
      <c r="C30" s="51">
        <v>115443039</v>
      </c>
      <c r="D30" s="51">
        <v>97892022</v>
      </c>
      <c r="E30" s="51">
        <f t="shared" si="2"/>
        <v>-17551017</v>
      </c>
      <c r="F30" s="70">
        <f t="shared" si="3"/>
        <v>-0.15203183450498042</v>
      </c>
    </row>
    <row r="31" spans="1:7" ht="23.1" customHeight="1" x14ac:dyDescent="0.25">
      <c r="A31" s="29"/>
      <c r="B31" s="71" t="s">
        <v>89</v>
      </c>
      <c r="C31" s="27">
        <f>SUM(C22:C30)</f>
        <v>470884231</v>
      </c>
      <c r="D31" s="27">
        <f>SUM(D22:D30)</f>
        <v>486051034</v>
      </c>
      <c r="E31" s="27">
        <f t="shared" si="2"/>
        <v>15166803</v>
      </c>
      <c r="F31" s="28">
        <f t="shared" si="3"/>
        <v>3.2209197083943125E-2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22704211</v>
      </c>
      <c r="D33" s="27">
        <f>+D19-D31</f>
        <v>27984779</v>
      </c>
      <c r="E33" s="27">
        <f>D33-C33</f>
        <v>5280568</v>
      </c>
      <c r="F33" s="28">
        <f>IF(C33=0,0,E33/C33)</f>
        <v>0.23258099565758969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4785985</v>
      </c>
      <c r="D36" s="51">
        <v>-1859644</v>
      </c>
      <c r="E36" s="51">
        <f>D36-C36</f>
        <v>-6645629</v>
      </c>
      <c r="F36" s="70">
        <f>IF(C36=0,0,E36/C36)</f>
        <v>-1.3885603486011762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281204</v>
      </c>
      <c r="D38" s="51">
        <v>-405449</v>
      </c>
      <c r="E38" s="51">
        <f>D38-C38</f>
        <v>-686653</v>
      </c>
      <c r="F38" s="70">
        <f>IF(C38=0,0,E38/C38)</f>
        <v>-2.441832264121421</v>
      </c>
    </row>
    <row r="39" spans="1:6" ht="23.1" customHeight="1" x14ac:dyDescent="0.25">
      <c r="A39" s="20"/>
      <c r="B39" s="71" t="s">
        <v>95</v>
      </c>
      <c r="C39" s="27">
        <f>SUM(C36:C38)</f>
        <v>5067189</v>
      </c>
      <c r="D39" s="27">
        <f>SUM(D36:D38)</f>
        <v>-2265093</v>
      </c>
      <c r="E39" s="27">
        <f>D39-C39</f>
        <v>-7332282</v>
      </c>
      <c r="F39" s="28">
        <f>IF(C39=0,0,E39/C39)</f>
        <v>-1.4470117455654408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27771400</v>
      </c>
      <c r="D41" s="27">
        <f>D33+D39</f>
        <v>25719686</v>
      </c>
      <c r="E41" s="27">
        <f>D41-C41</f>
        <v>-2051714</v>
      </c>
      <c r="F41" s="28">
        <f>IF(C41=0,0,E41/C41)</f>
        <v>-7.3878666541838001E-2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-189780</v>
      </c>
      <c r="D44" s="51">
        <v>1541084</v>
      </c>
      <c r="E44" s="51">
        <f>D44-C44</f>
        <v>1730864</v>
      </c>
      <c r="F44" s="70">
        <f>IF(C44=0,0,E44/C44)</f>
        <v>-9.1203709558436081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-189780</v>
      </c>
      <c r="D46" s="27">
        <f>SUM(D44:D45)</f>
        <v>1541084</v>
      </c>
      <c r="E46" s="27">
        <f>D46-C46</f>
        <v>1730864</v>
      </c>
      <c r="F46" s="28">
        <f>IF(C46=0,0,E46/C46)</f>
        <v>-9.1203709558436081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27581620</v>
      </c>
      <c r="D48" s="27">
        <f>D41+D46</f>
        <v>27260770</v>
      </c>
      <c r="E48" s="27">
        <f>D48-C48</f>
        <v>-320850</v>
      </c>
      <c r="F48" s="28">
        <f>IF(C48=0,0,E48/C48)</f>
        <v>-1.1632746734963357E-2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FILING&amp;R&amp;8STAMFORD HEALTH SYSTEM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2012-06-21T13:02:09Z</cp:lastPrinted>
  <dcterms:created xsi:type="dcterms:W3CDTF">2006-08-03T13:49:12Z</dcterms:created>
  <dcterms:modified xsi:type="dcterms:W3CDTF">2012-06-29T18:31:46Z</dcterms:modified>
</cp:coreProperties>
</file>