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 firstSheet="8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80" i="14"/>
  <c r="D189" i="14"/>
  <c r="D262" i="14"/>
  <c r="D188" i="14"/>
  <c r="D261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207" i="14"/>
  <c r="D208" i="14"/>
  <c r="D135" i="14"/>
  <c r="D130" i="14"/>
  <c r="D129" i="14"/>
  <c r="D123" i="14"/>
  <c r="D124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7" i="14"/>
  <c r="D30" i="14"/>
  <c r="D31" i="14"/>
  <c r="D32" i="14"/>
  <c r="D29" i="14"/>
  <c r="D24" i="14"/>
  <c r="D23" i="14"/>
  <c r="D20" i="14"/>
  <c r="D21" i="14"/>
  <c r="D126" i="14"/>
  <c r="D127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77" i="19"/>
  <c r="E109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3" i="19"/>
  <c r="E54" i="19"/>
  <c r="C23" i="19"/>
  <c r="C46" i="19"/>
  <c r="C22" i="19"/>
  <c r="C45" i="19"/>
  <c r="E21" i="19"/>
  <c r="D21" i="19"/>
  <c r="C21" i="19"/>
  <c r="E12" i="19"/>
  <c r="E34" i="19"/>
  <c r="E33" i="19"/>
  <c r="D12" i="19"/>
  <c r="D33" i="19"/>
  <c r="C12" i="19"/>
  <c r="C34" i="19"/>
  <c r="C3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D36" i="17"/>
  <c r="D40" i="17"/>
  <c r="C36" i="17"/>
  <c r="C40" i="17"/>
  <c r="F35" i="17"/>
  <c r="E35" i="17"/>
  <c r="F34" i="17"/>
  <c r="E34" i="17"/>
  <c r="F33" i="17"/>
  <c r="E33" i="17"/>
  <c r="E36" i="17"/>
  <c r="F30" i="17"/>
  <c r="E30" i="17"/>
  <c r="F29" i="17"/>
  <c r="E29" i="17"/>
  <c r="F28" i="17"/>
  <c r="E28" i="17"/>
  <c r="F27" i="17"/>
  <c r="E27" i="17"/>
  <c r="D25" i="17"/>
  <c r="D39" i="17"/>
  <c r="C25" i="17"/>
  <c r="C39" i="17"/>
  <c r="F24" i="17"/>
  <c r="E24" i="17"/>
  <c r="F23" i="17"/>
  <c r="E23" i="17"/>
  <c r="F22" i="17"/>
  <c r="E22" i="17"/>
  <c r="E25" i="17"/>
  <c r="D19" i="17"/>
  <c r="D20" i="17"/>
  <c r="E20" i="17"/>
  <c r="C19" i="17"/>
  <c r="C20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5" i="16"/>
  <c r="C114" i="16"/>
  <c r="C116" i="16"/>
  <c r="C119" i="16"/>
  <c r="C123" i="16"/>
  <c r="C60" i="16"/>
  <c r="C59" i="16"/>
  <c r="C48" i="16"/>
  <c r="C64" i="16"/>
  <c r="C36" i="16"/>
  <c r="C38" i="16"/>
  <c r="C127" i="16"/>
  <c r="C129" i="16"/>
  <c r="C133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C301" i="15"/>
  <c r="E301" i="15"/>
  <c r="D293" i="15"/>
  <c r="E293" i="15"/>
  <c r="C293" i="15"/>
  <c r="D292" i="15"/>
  <c r="E292" i="15"/>
  <c r="C292" i="15"/>
  <c r="D291" i="15"/>
  <c r="C291" i="15"/>
  <c r="E291" i="15"/>
  <c r="D290" i="15"/>
  <c r="C290" i="15"/>
  <c r="E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/>
  <c r="D228" i="15"/>
  <c r="C228" i="15"/>
  <c r="E228" i="15"/>
  <c r="D227" i="15"/>
  <c r="E227" i="15"/>
  <c r="C227" i="15"/>
  <c r="D221" i="15"/>
  <c r="D245" i="15"/>
  <c r="E245" i="15"/>
  <c r="C221" i="15"/>
  <c r="C245" i="15"/>
  <c r="D220" i="15"/>
  <c r="E220" i="15"/>
  <c r="C220" i="15"/>
  <c r="C244" i="15"/>
  <c r="D219" i="15"/>
  <c r="D243" i="15"/>
  <c r="E243" i="15"/>
  <c r="C219" i="15"/>
  <c r="C243" i="15"/>
  <c r="D218" i="15"/>
  <c r="D242" i="15"/>
  <c r="C218" i="15"/>
  <c r="C222" i="15"/>
  <c r="D216" i="15"/>
  <c r="E216" i="15"/>
  <c r="C216" i="15"/>
  <c r="C240" i="15"/>
  <c r="D215" i="15"/>
  <c r="C215" i="15"/>
  <c r="C223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D195" i="15"/>
  <c r="D260" i="15"/>
  <c r="C195" i="15"/>
  <c r="E195" i="15"/>
  <c r="E194" i="15"/>
  <c r="E193" i="15"/>
  <c r="E192" i="15"/>
  <c r="E191" i="15"/>
  <c r="E190" i="15"/>
  <c r="D188" i="15"/>
  <c r="D189" i="15"/>
  <c r="C188" i="15"/>
  <c r="C261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E155" i="15"/>
  <c r="E154" i="15"/>
  <c r="E153" i="15"/>
  <c r="E152" i="15"/>
  <c r="D151" i="15"/>
  <c r="D156" i="15"/>
  <c r="C151" i="15"/>
  <c r="C156" i="15"/>
  <c r="C157" i="15"/>
  <c r="E150" i="15"/>
  <c r="E149" i="15"/>
  <c r="C144" i="15"/>
  <c r="C168" i="15"/>
  <c r="E143" i="15"/>
  <c r="E142" i="15"/>
  <c r="E141" i="15"/>
  <c r="E140" i="15"/>
  <c r="D139" i="15"/>
  <c r="D163" i="15"/>
  <c r="C139" i="15"/>
  <c r="C175" i="15"/>
  <c r="C163" i="15"/>
  <c r="E138" i="15"/>
  <c r="E137" i="15"/>
  <c r="D75" i="15"/>
  <c r="E75" i="15"/>
  <c r="C75" i="15"/>
  <c r="D74" i="15"/>
  <c r="E74" i="15"/>
  <c r="C74" i="15"/>
  <c r="D73" i="15"/>
  <c r="C73" i="15"/>
  <c r="E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E41" i="15"/>
  <c r="C41" i="15"/>
  <c r="D40" i="15"/>
  <c r="E40" i="15"/>
  <c r="C40" i="15"/>
  <c r="D39" i="15"/>
  <c r="C39" i="15"/>
  <c r="E39" i="15"/>
  <c r="D38" i="15"/>
  <c r="C38" i="15"/>
  <c r="D37" i="15"/>
  <c r="C37" i="15"/>
  <c r="C43" i="15"/>
  <c r="E37" i="15"/>
  <c r="D36" i="15"/>
  <c r="E36" i="15"/>
  <c r="C36" i="15"/>
  <c r="D32" i="15"/>
  <c r="C32" i="15"/>
  <c r="C33" i="15"/>
  <c r="E31" i="15"/>
  <c r="E30" i="15"/>
  <c r="E29" i="15"/>
  <c r="E28" i="15"/>
  <c r="E27" i="15"/>
  <c r="E26" i="15"/>
  <c r="E25" i="15"/>
  <c r="D22" i="15"/>
  <c r="D21" i="15"/>
  <c r="D283" i="15"/>
  <c r="C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E308" i="14"/>
  <c r="F308" i="14"/>
  <c r="C307" i="14"/>
  <c r="E307" i="14"/>
  <c r="C299" i="14"/>
  <c r="E299" i="14"/>
  <c r="C298" i="14"/>
  <c r="E298" i="14"/>
  <c r="F298" i="14"/>
  <c r="C297" i="14"/>
  <c r="E297" i="14"/>
  <c r="C296" i="14"/>
  <c r="E296" i="14"/>
  <c r="F296" i="14"/>
  <c r="E295" i="14"/>
  <c r="C295" i="14"/>
  <c r="C294" i="14"/>
  <c r="E294" i="14"/>
  <c r="F294" i="14"/>
  <c r="C250" i="14"/>
  <c r="E250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C237" i="14"/>
  <c r="E237" i="14"/>
  <c r="E234" i="14"/>
  <c r="F234" i="14"/>
  <c r="E233" i="14"/>
  <c r="F233" i="14"/>
  <c r="C230" i="14"/>
  <c r="E230" i="14"/>
  <c r="C229" i="14"/>
  <c r="E229" i="14"/>
  <c r="E228" i="14"/>
  <c r="F228" i="14"/>
  <c r="C226" i="14"/>
  <c r="E225" i="14"/>
  <c r="F225" i="14"/>
  <c r="E224" i="14"/>
  <c r="F224" i="14"/>
  <c r="E223" i="14"/>
  <c r="C223" i="14"/>
  <c r="F223" i="14"/>
  <c r="E222" i="14"/>
  <c r="F222" i="14"/>
  <c r="E221" i="14"/>
  <c r="F221" i="14"/>
  <c r="C204" i="14"/>
  <c r="C203" i="14"/>
  <c r="E203" i="14"/>
  <c r="C198" i="14"/>
  <c r="E191" i="14"/>
  <c r="C191" i="14"/>
  <c r="C280" i="14"/>
  <c r="E189" i="14"/>
  <c r="C189" i="14"/>
  <c r="C278" i="14"/>
  <c r="C188" i="14"/>
  <c r="C206" i="14"/>
  <c r="C180" i="14"/>
  <c r="E180" i="14"/>
  <c r="C179" i="14"/>
  <c r="E179" i="14"/>
  <c r="C171" i="14"/>
  <c r="C172" i="14"/>
  <c r="C170" i="14"/>
  <c r="E170" i="14"/>
  <c r="E169" i="14"/>
  <c r="F169" i="14"/>
  <c r="E168" i="14"/>
  <c r="F168" i="14"/>
  <c r="C165" i="14"/>
  <c r="E165" i="14"/>
  <c r="C164" i="14"/>
  <c r="E164" i="14"/>
  <c r="F164" i="14"/>
  <c r="F163" i="14"/>
  <c r="E163" i="14"/>
  <c r="C158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F145" i="14"/>
  <c r="C144" i="14"/>
  <c r="E144" i="14"/>
  <c r="C136" i="14"/>
  <c r="E136" i="14"/>
  <c r="C135" i="14"/>
  <c r="E135" i="14"/>
  <c r="E134" i="14"/>
  <c r="F134" i="14"/>
  <c r="E133" i="14"/>
  <c r="F133" i="14"/>
  <c r="E130" i="14"/>
  <c r="C130" i="14"/>
  <c r="F130" i="14"/>
  <c r="E129" i="14"/>
  <c r="C129" i="14"/>
  <c r="F129" i="14"/>
  <c r="E128" i="14"/>
  <c r="F128" i="14"/>
  <c r="C123" i="14"/>
  <c r="C124" i="14"/>
  <c r="E122" i="14"/>
  <c r="F122" i="14"/>
  <c r="E121" i="14"/>
  <c r="F121" i="14"/>
  <c r="C120" i="14"/>
  <c r="E120" i="14"/>
  <c r="E119" i="14"/>
  <c r="F119" i="14"/>
  <c r="E118" i="14"/>
  <c r="F118" i="14"/>
  <c r="C110" i="14"/>
  <c r="E110" i="14"/>
  <c r="F110" i="14"/>
  <c r="C109" i="14"/>
  <c r="C111" i="14"/>
  <c r="C101" i="14"/>
  <c r="C102" i="14"/>
  <c r="E102" i="14"/>
  <c r="C100" i="14"/>
  <c r="E100" i="14"/>
  <c r="F100" i="14"/>
  <c r="E99" i="14"/>
  <c r="F99" i="14"/>
  <c r="E98" i="14"/>
  <c r="F98" i="14"/>
  <c r="E95" i="14"/>
  <c r="C95" i="14"/>
  <c r="F95" i="14"/>
  <c r="C94" i="14"/>
  <c r="E94" i="14"/>
  <c r="E93" i="14"/>
  <c r="F93" i="14"/>
  <c r="C88" i="14"/>
  <c r="C89" i="14"/>
  <c r="E89" i="14"/>
  <c r="F87" i="14"/>
  <c r="E87" i="14"/>
  <c r="F86" i="14"/>
  <c r="E86" i="14"/>
  <c r="C85" i="14"/>
  <c r="E85" i="14"/>
  <c r="F85" i="14"/>
  <c r="E84" i="14"/>
  <c r="F84" i="14"/>
  <c r="E83" i="14"/>
  <c r="F83" i="14"/>
  <c r="C76" i="14"/>
  <c r="E74" i="14"/>
  <c r="F74" i="14"/>
  <c r="E73" i="14"/>
  <c r="F73" i="14"/>
  <c r="C67" i="14"/>
  <c r="E67" i="14"/>
  <c r="C66" i="14"/>
  <c r="E66" i="14"/>
  <c r="F66" i="14"/>
  <c r="C59" i="14"/>
  <c r="C60" i="14"/>
  <c r="E58" i="14"/>
  <c r="C58" i="14"/>
  <c r="F57" i="14"/>
  <c r="E57" i="14"/>
  <c r="F56" i="14"/>
  <c r="E56" i="14"/>
  <c r="C53" i="14"/>
  <c r="E53" i="14"/>
  <c r="C52" i="14"/>
  <c r="E51" i="14"/>
  <c r="F51" i="14"/>
  <c r="C47" i="14"/>
  <c r="C48" i="14"/>
  <c r="C125" i="14"/>
  <c r="E46" i="14"/>
  <c r="F46" i="14"/>
  <c r="E45" i="14"/>
  <c r="F45" i="14"/>
  <c r="C44" i="14"/>
  <c r="E44" i="14"/>
  <c r="E43" i="14"/>
  <c r="F43" i="14"/>
  <c r="E42" i="14"/>
  <c r="F42" i="14"/>
  <c r="C36" i="14"/>
  <c r="E36" i="14"/>
  <c r="F36" i="14"/>
  <c r="E35" i="14"/>
  <c r="C35" i="14"/>
  <c r="C30" i="14"/>
  <c r="C29" i="14"/>
  <c r="E29" i="14"/>
  <c r="E28" i="14"/>
  <c r="F28" i="14"/>
  <c r="E27" i="14"/>
  <c r="F27" i="14"/>
  <c r="C24" i="14"/>
  <c r="E24" i="14"/>
  <c r="C23" i="14"/>
  <c r="E22" i="14"/>
  <c r="F22" i="14"/>
  <c r="C20" i="14"/>
  <c r="C21" i="14"/>
  <c r="C126" i="14"/>
  <c r="E19" i="14"/>
  <c r="F19" i="14"/>
  <c r="E18" i="14"/>
  <c r="F18" i="14"/>
  <c r="C17" i="14"/>
  <c r="E17" i="14"/>
  <c r="F17" i="14"/>
  <c r="E16" i="14"/>
  <c r="F16" i="14"/>
  <c r="E15" i="14"/>
  <c r="F15" i="14"/>
  <c r="D23" i="13"/>
  <c r="C23" i="13"/>
  <c r="E23" i="13"/>
  <c r="E22" i="13"/>
  <c r="F22" i="13"/>
  <c r="D19" i="13"/>
  <c r="C19" i="13"/>
  <c r="E19" i="13"/>
  <c r="E18" i="13"/>
  <c r="F18" i="13"/>
  <c r="E17" i="13"/>
  <c r="F17" i="13"/>
  <c r="D14" i="13"/>
  <c r="C14" i="13"/>
  <c r="E14" i="13"/>
  <c r="E13" i="13"/>
  <c r="F13" i="13"/>
  <c r="E12" i="13"/>
  <c r="F12" i="13"/>
  <c r="D99" i="12"/>
  <c r="C99" i="12"/>
  <c r="E99" i="12"/>
  <c r="E98" i="12"/>
  <c r="F98" i="12"/>
  <c r="E97" i="12"/>
  <c r="F97" i="12"/>
  <c r="E96" i="12"/>
  <c r="F96" i="12"/>
  <c r="D92" i="12"/>
  <c r="C92" i="12"/>
  <c r="E92" i="12"/>
  <c r="E91" i="12"/>
  <c r="F91" i="12"/>
  <c r="F90" i="12"/>
  <c r="E90" i="12"/>
  <c r="F89" i="12"/>
  <c r="E89" i="12"/>
  <c r="E88" i="12"/>
  <c r="F88" i="12"/>
  <c r="E87" i="12"/>
  <c r="F87" i="12"/>
  <c r="D84" i="12"/>
  <c r="C84" i="12"/>
  <c r="E84" i="12"/>
  <c r="E83" i="12"/>
  <c r="F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E75" i="12"/>
  <c r="D70" i="12"/>
  <c r="C70" i="12"/>
  <c r="E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E55" i="12"/>
  <c r="E54" i="12"/>
  <c r="F54" i="12"/>
  <c r="E53" i="12"/>
  <c r="F53" i="12"/>
  <c r="D50" i="12"/>
  <c r="C50" i="12"/>
  <c r="E49" i="12"/>
  <c r="F49" i="12"/>
  <c r="E48" i="12"/>
  <c r="F48" i="12"/>
  <c r="D45" i="12"/>
  <c r="C45" i="12"/>
  <c r="F45" i="12"/>
  <c r="F44" i="12"/>
  <c r="E44" i="12"/>
  <c r="F43" i="12"/>
  <c r="E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29" i="12"/>
  <c r="E29" i="12"/>
  <c r="F28" i="12"/>
  <c r="E28" i="12"/>
  <c r="E27" i="12"/>
  <c r="F27" i="12"/>
  <c r="F26" i="12"/>
  <c r="E26" i="12"/>
  <c r="D23" i="12"/>
  <c r="C23" i="12"/>
  <c r="E23" i="12"/>
  <c r="F22" i="12"/>
  <c r="E22" i="12"/>
  <c r="F21" i="12"/>
  <c r="E21" i="12"/>
  <c r="E20" i="12"/>
  <c r="F20" i="12"/>
  <c r="E19" i="12"/>
  <c r="F19" i="12"/>
  <c r="D16" i="12"/>
  <c r="C16" i="12"/>
  <c r="E16" i="12"/>
  <c r="F15" i="12"/>
  <c r="E15" i="12"/>
  <c r="F14" i="12"/>
  <c r="E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/>
  <c r="D17" i="11"/>
  <c r="D33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D78" i="10"/>
  <c r="D80" i="10"/>
  <c r="D77" i="10"/>
  <c r="C78" i="10"/>
  <c r="C80" i="10"/>
  <c r="C77" i="10"/>
  <c r="D75" i="10"/>
  <c r="E73" i="10"/>
  <c r="E75" i="10"/>
  <c r="D73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D50" i="10"/>
  <c r="C54" i="10"/>
  <c r="C50" i="10"/>
  <c r="E46" i="10"/>
  <c r="D46" i="10"/>
  <c r="D48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E46" i="9"/>
  <c r="F45" i="9"/>
  <c r="E45" i="9"/>
  <c r="E44" i="9"/>
  <c r="F44" i="9"/>
  <c r="D39" i="9"/>
  <c r="E39" i="9"/>
  <c r="C39" i="9"/>
  <c r="E38" i="9"/>
  <c r="F38" i="9"/>
  <c r="F37" i="9"/>
  <c r="E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/>
  <c r="D41" i="9"/>
  <c r="D48" i="9"/>
  <c r="C16" i="9"/>
  <c r="C19" i="9"/>
  <c r="F15" i="9"/>
  <c r="E15" i="9"/>
  <c r="E14" i="9"/>
  <c r="F14" i="9"/>
  <c r="E13" i="9"/>
  <c r="F13" i="9"/>
  <c r="E12" i="9"/>
  <c r="F12" i="9"/>
  <c r="D73" i="8"/>
  <c r="C73" i="8"/>
  <c r="E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D65" i="8"/>
  <c r="C61" i="8"/>
  <c r="C65" i="8"/>
  <c r="F60" i="8"/>
  <c r="E60" i="8"/>
  <c r="E59" i="8"/>
  <c r="F59" i="8"/>
  <c r="D56" i="8"/>
  <c r="E56" i="8"/>
  <c r="F56" i="8"/>
  <c r="C56" i="8"/>
  <c r="E55" i="8"/>
  <c r="F55" i="8"/>
  <c r="F54" i="8"/>
  <c r="E54" i="8"/>
  <c r="E53" i="8"/>
  <c r="F53" i="8"/>
  <c r="F52" i="8"/>
  <c r="E52" i="8"/>
  <c r="E51" i="8"/>
  <c r="F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E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E28" i="8"/>
  <c r="F28" i="8"/>
  <c r="F27" i="8"/>
  <c r="E27" i="8"/>
  <c r="F26" i="8"/>
  <c r="E26" i="8"/>
  <c r="E25" i="8"/>
  <c r="F25" i="8"/>
  <c r="D22" i="8"/>
  <c r="C22" i="8"/>
  <c r="E21" i="8"/>
  <c r="F21" i="8"/>
  <c r="E20" i="8"/>
  <c r="F20" i="8"/>
  <c r="E19" i="8"/>
  <c r="F19" i="8"/>
  <c r="F18" i="8"/>
  <c r="E18" i="8"/>
  <c r="F17" i="8"/>
  <c r="E17" i="8"/>
  <c r="E16" i="8"/>
  <c r="F16" i="8"/>
  <c r="E15" i="8"/>
  <c r="F15" i="8"/>
  <c r="E14" i="8"/>
  <c r="F14" i="8"/>
  <c r="E13" i="8"/>
  <c r="F13" i="8"/>
  <c r="D120" i="7"/>
  <c r="C120" i="7"/>
  <c r="E120" i="7"/>
  <c r="D119" i="7"/>
  <c r="C119" i="7"/>
  <c r="E119" i="7"/>
  <c r="D118" i="7"/>
  <c r="E118" i="7"/>
  <c r="C118" i="7"/>
  <c r="D117" i="7"/>
  <c r="E117" i="7"/>
  <c r="C117" i="7"/>
  <c r="D116" i="7"/>
  <c r="C116" i="7"/>
  <c r="E116" i="7"/>
  <c r="D115" i="7"/>
  <c r="C115" i="7"/>
  <c r="E115" i="7"/>
  <c r="D114" i="7"/>
  <c r="E114" i="7"/>
  <c r="C114" i="7"/>
  <c r="D113" i="7"/>
  <c r="E113" i="7"/>
  <c r="C113" i="7"/>
  <c r="D112" i="7"/>
  <c r="D121" i="7"/>
  <c r="C112" i="7"/>
  <c r="E112" i="7"/>
  <c r="D108" i="7"/>
  <c r="C108" i="7"/>
  <c r="E108" i="7"/>
  <c r="D107" i="7"/>
  <c r="C107" i="7"/>
  <c r="E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D95" i="7"/>
  <c r="C95" i="7"/>
  <c r="E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E84" i="7"/>
  <c r="C84" i="7"/>
  <c r="D83" i="7"/>
  <c r="C83" i="7"/>
  <c r="E83" i="7"/>
  <c r="F82" i="7"/>
  <c r="E82" i="7"/>
  <c r="F81" i="7"/>
  <c r="E81" i="7"/>
  <c r="E80" i="7"/>
  <c r="F80" i="7"/>
  <c r="F79" i="7"/>
  <c r="E79" i="7"/>
  <c r="F78" i="7"/>
  <c r="E78" i="7"/>
  <c r="E77" i="7"/>
  <c r="F77" i="7"/>
  <c r="E76" i="7"/>
  <c r="F76" i="7"/>
  <c r="F75" i="7"/>
  <c r="E75" i="7"/>
  <c r="F74" i="7"/>
  <c r="E74" i="7"/>
  <c r="D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9" i="7"/>
  <c r="F58" i="7"/>
  <c r="E58" i="7"/>
  <c r="E57" i="7"/>
  <c r="F57" i="7"/>
  <c r="E56" i="7"/>
  <c r="F56" i="7"/>
  <c r="F55" i="7"/>
  <c r="E55" i="7"/>
  <c r="F54" i="7"/>
  <c r="E54" i="7"/>
  <c r="E53" i="7"/>
  <c r="F53" i="7"/>
  <c r="E52" i="7"/>
  <c r="F52" i="7"/>
  <c r="F51" i="7"/>
  <c r="E51" i="7"/>
  <c r="F50" i="7"/>
  <c r="E50" i="7"/>
  <c r="D48" i="7"/>
  <c r="C48" i="7"/>
  <c r="F48" i="7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D23" i="7"/>
  <c r="C23" i="7"/>
  <c r="E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C206" i="6"/>
  <c r="E206" i="6"/>
  <c r="D205" i="6"/>
  <c r="C205" i="6"/>
  <c r="E205" i="6"/>
  <c r="D204" i="6"/>
  <c r="E204" i="6"/>
  <c r="C204" i="6"/>
  <c r="D203" i="6"/>
  <c r="C203" i="6"/>
  <c r="E203" i="6"/>
  <c r="D202" i="6"/>
  <c r="C202" i="6"/>
  <c r="E202" i="6"/>
  <c r="D201" i="6"/>
  <c r="C201" i="6"/>
  <c r="E201" i="6"/>
  <c r="D200" i="6"/>
  <c r="E200" i="6"/>
  <c r="F200" i="6"/>
  <c r="C200" i="6"/>
  <c r="D199" i="6"/>
  <c r="E199" i="6"/>
  <c r="C199" i="6"/>
  <c r="D198" i="6"/>
  <c r="D207" i="6"/>
  <c r="C198" i="6"/>
  <c r="E198" i="6"/>
  <c r="D193" i="6"/>
  <c r="C193" i="6"/>
  <c r="E193" i="6"/>
  <c r="D192" i="6"/>
  <c r="C192" i="6"/>
  <c r="E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D140" i="6"/>
  <c r="C140" i="6"/>
  <c r="E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E128" i="6"/>
  <c r="C128" i="6"/>
  <c r="D127" i="6"/>
  <c r="C127" i="6"/>
  <c r="E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D114" i="6"/>
  <c r="E114" i="6"/>
  <c r="C114" i="6"/>
  <c r="E113" i="6"/>
  <c r="F113" i="6"/>
  <c r="E112" i="6"/>
  <c r="F112" i="6"/>
  <c r="E111" i="6"/>
  <c r="F111" i="6"/>
  <c r="F110" i="6"/>
  <c r="E110" i="6"/>
  <c r="E109" i="6"/>
  <c r="F109" i="6"/>
  <c r="E108" i="6"/>
  <c r="F108" i="6"/>
  <c r="E107" i="6"/>
  <c r="F107" i="6"/>
  <c r="F106" i="6"/>
  <c r="E106" i="6"/>
  <c r="E105" i="6"/>
  <c r="F105" i="6"/>
  <c r="D102" i="6"/>
  <c r="C102" i="6"/>
  <c r="E102" i="6"/>
  <c r="D101" i="6"/>
  <c r="C101" i="6"/>
  <c r="E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C89" i="6"/>
  <c r="E89" i="6"/>
  <c r="D88" i="6"/>
  <c r="C88" i="6"/>
  <c r="E88" i="6"/>
  <c r="F87" i="6"/>
  <c r="E87" i="6"/>
  <c r="E86" i="6"/>
  <c r="F86" i="6"/>
  <c r="E85" i="6"/>
  <c r="F85" i="6"/>
  <c r="F84" i="6"/>
  <c r="E84" i="6"/>
  <c r="F83" i="6"/>
  <c r="E83" i="6"/>
  <c r="E82" i="6"/>
  <c r="F82" i="6"/>
  <c r="E81" i="6"/>
  <c r="F81" i="6"/>
  <c r="F80" i="6"/>
  <c r="E80" i="6"/>
  <c r="F79" i="6"/>
  <c r="E79" i="6"/>
  <c r="D76" i="6"/>
  <c r="C76" i="6"/>
  <c r="E76" i="6"/>
  <c r="D75" i="6"/>
  <c r="E75" i="6"/>
  <c r="F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E63" i="6"/>
  <c r="D62" i="6"/>
  <c r="C62" i="6"/>
  <c r="E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E50" i="6"/>
  <c r="D49" i="6"/>
  <c r="C49" i="6"/>
  <c r="E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E37" i="6"/>
  <c r="D36" i="6"/>
  <c r="C36" i="6"/>
  <c r="E36" i="6"/>
  <c r="F35" i="6"/>
  <c r="E35" i="6"/>
  <c r="F34" i="6"/>
  <c r="E34" i="6"/>
  <c r="E33" i="6"/>
  <c r="F33" i="6"/>
  <c r="F32" i="6"/>
  <c r="E32" i="6"/>
  <c r="F31" i="6"/>
  <c r="E31" i="6"/>
  <c r="E30" i="6"/>
  <c r="F30" i="6"/>
  <c r="E29" i="6"/>
  <c r="F29" i="6"/>
  <c r="F28" i="6"/>
  <c r="E28" i="6"/>
  <c r="F27" i="6"/>
  <c r="E27" i="6"/>
  <c r="D24" i="6"/>
  <c r="C24" i="6"/>
  <c r="E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E143" i="5"/>
  <c r="E149" i="5"/>
  <c r="D147" i="5"/>
  <c r="C147" i="5"/>
  <c r="C143" i="5"/>
  <c r="C149" i="5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C79" i="5"/>
  <c r="D77" i="5"/>
  <c r="D71" i="5"/>
  <c r="E75" i="5"/>
  <c r="E77" i="5"/>
  <c r="E71" i="5"/>
  <c r="D75" i="5"/>
  <c r="D88" i="5"/>
  <c r="D90" i="5"/>
  <c r="D86" i="5"/>
  <c r="C75" i="5"/>
  <c r="C88" i="5"/>
  <c r="C90" i="5"/>
  <c r="C86" i="5"/>
  <c r="E74" i="5"/>
  <c r="D74" i="5"/>
  <c r="C74" i="5"/>
  <c r="E67" i="5"/>
  <c r="D67" i="5"/>
  <c r="C67" i="5"/>
  <c r="E53" i="5"/>
  <c r="E49" i="5"/>
  <c r="E38" i="5"/>
  <c r="E43" i="5"/>
  <c r="E57" i="5"/>
  <c r="E62" i="5"/>
  <c r="D38" i="5"/>
  <c r="D43" i="5"/>
  <c r="C38" i="5"/>
  <c r="C53" i="5"/>
  <c r="E33" i="5"/>
  <c r="E34" i="5"/>
  <c r="D33" i="5"/>
  <c r="D34" i="5"/>
  <c r="E26" i="5"/>
  <c r="D26" i="5"/>
  <c r="C26" i="5"/>
  <c r="E13" i="5"/>
  <c r="E15" i="5"/>
  <c r="D13" i="5"/>
  <c r="D25" i="5"/>
  <c r="D27" i="5"/>
  <c r="C13" i="5"/>
  <c r="C25" i="5"/>
  <c r="C27" i="5"/>
  <c r="E174" i="4"/>
  <c r="F174" i="4"/>
  <c r="D171" i="4"/>
  <c r="C171" i="4"/>
  <c r="F170" i="4"/>
  <c r="E170" i="4"/>
  <c r="E169" i="4"/>
  <c r="F169" i="4"/>
  <c r="F168" i="4"/>
  <c r="E168" i="4"/>
  <c r="E167" i="4"/>
  <c r="F167" i="4"/>
  <c r="E166" i="4"/>
  <c r="F166" i="4"/>
  <c r="F165" i="4"/>
  <c r="E165" i="4"/>
  <c r="E164" i="4"/>
  <c r="F164" i="4"/>
  <c r="E163" i="4"/>
  <c r="F163" i="4"/>
  <c r="E162" i="4"/>
  <c r="F162" i="4"/>
  <c r="E161" i="4"/>
  <c r="F161" i="4"/>
  <c r="F160" i="4"/>
  <c r="E160" i="4"/>
  <c r="E159" i="4"/>
  <c r="F159" i="4"/>
  <c r="E158" i="4"/>
  <c r="F158" i="4"/>
  <c r="E155" i="4"/>
  <c r="D155" i="4"/>
  <c r="C155" i="4"/>
  <c r="F155" i="4"/>
  <c r="F154" i="4"/>
  <c r="E154" i="4"/>
  <c r="F153" i="4"/>
  <c r="E153" i="4"/>
  <c r="E152" i="4"/>
  <c r="F152" i="4"/>
  <c r="F151" i="4"/>
  <c r="E151" i="4"/>
  <c r="F150" i="4"/>
  <c r="E150" i="4"/>
  <c r="F149" i="4"/>
  <c r="E149" i="4"/>
  <c r="F148" i="4"/>
  <c r="E148" i="4"/>
  <c r="E147" i="4"/>
  <c r="F147" i="4"/>
  <c r="F146" i="4"/>
  <c r="E146" i="4"/>
  <c r="E145" i="4"/>
  <c r="F145" i="4"/>
  <c r="E144" i="4"/>
  <c r="F144" i="4"/>
  <c r="E143" i="4"/>
  <c r="F143" i="4"/>
  <c r="F142" i="4"/>
  <c r="E142" i="4"/>
  <c r="F141" i="4"/>
  <c r="E141" i="4"/>
  <c r="E140" i="4"/>
  <c r="F140" i="4"/>
  <c r="E139" i="4"/>
  <c r="F139" i="4"/>
  <c r="E138" i="4"/>
  <c r="F138" i="4"/>
  <c r="F137" i="4"/>
  <c r="E137" i="4"/>
  <c r="E136" i="4"/>
  <c r="F136" i="4"/>
  <c r="E135" i="4"/>
  <c r="F135" i="4"/>
  <c r="E134" i="4"/>
  <c r="F134" i="4"/>
  <c r="E133" i="4"/>
  <c r="F133" i="4"/>
  <c r="E132" i="4"/>
  <c r="F132" i="4"/>
  <c r="F131" i="4"/>
  <c r="E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C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D109" i="4"/>
  <c r="E109" i="4"/>
  <c r="C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C78" i="4"/>
  <c r="E77" i="4"/>
  <c r="F77" i="4"/>
  <c r="E76" i="4"/>
  <c r="F76" i="4"/>
  <c r="E75" i="4"/>
  <c r="F75" i="4"/>
  <c r="E74" i="4"/>
  <c r="F74" i="4"/>
  <c r="E73" i="4"/>
  <c r="F73" i="4"/>
  <c r="F72" i="4"/>
  <c r="E72" i="4"/>
  <c r="F71" i="4"/>
  <c r="E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E41" i="4"/>
  <c r="F41" i="4"/>
  <c r="F40" i="4"/>
  <c r="E40" i="4"/>
  <c r="E39" i="4"/>
  <c r="F39" i="4"/>
  <c r="E38" i="4"/>
  <c r="F38" i="4"/>
  <c r="D35" i="4"/>
  <c r="D83" i="4"/>
  <c r="C35" i="4"/>
  <c r="E34" i="4"/>
  <c r="F34" i="4"/>
  <c r="E33" i="4"/>
  <c r="F33" i="4"/>
  <c r="D30" i="4"/>
  <c r="C30" i="4"/>
  <c r="E29" i="4"/>
  <c r="F29" i="4"/>
  <c r="E28" i="4"/>
  <c r="F28" i="4"/>
  <c r="E27" i="4"/>
  <c r="F27" i="4"/>
  <c r="D24" i="4"/>
  <c r="E24" i="4"/>
  <c r="F24" i="4"/>
  <c r="C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E179" i="3"/>
  <c r="F179" i="3"/>
  <c r="C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F165" i="3"/>
  <c r="E165" i="3"/>
  <c r="E164" i="3"/>
  <c r="F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E153" i="3"/>
  <c r="F153" i="3"/>
  <c r="C153" i="3"/>
  <c r="F152" i="3"/>
  <c r="E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F136" i="3"/>
  <c r="E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F124" i="3"/>
  <c r="C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F94" i="3"/>
  <c r="D93" i="3"/>
  <c r="E93" i="3"/>
  <c r="F93" i="3"/>
  <c r="C93" i="3"/>
  <c r="D92" i="3"/>
  <c r="E92" i="3"/>
  <c r="F92" i="3"/>
  <c r="C92" i="3"/>
  <c r="D91" i="3"/>
  <c r="E91" i="3"/>
  <c r="F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E84" i="3"/>
  <c r="C84" i="3"/>
  <c r="D81" i="3"/>
  <c r="C81" i="3"/>
  <c r="F80" i="3"/>
  <c r="E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F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E41" i="3"/>
  <c r="D41" i="3"/>
  <c r="D52" i="3"/>
  <c r="C41" i="3"/>
  <c r="F41" i="3"/>
  <c r="D38" i="3"/>
  <c r="E38" i="3"/>
  <c r="F38" i="3"/>
  <c r="C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F24" i="3"/>
  <c r="E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F45" i="2"/>
  <c r="E45" i="2"/>
  <c r="E44" i="2"/>
  <c r="F44" i="2"/>
  <c r="D39" i="2"/>
  <c r="C39" i="2"/>
  <c r="E38" i="2"/>
  <c r="F38" i="2"/>
  <c r="F37" i="2"/>
  <c r="E37" i="2"/>
  <c r="E36" i="2"/>
  <c r="F36" i="2"/>
  <c r="D31" i="2"/>
  <c r="E31" i="2"/>
  <c r="F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D19" i="2"/>
  <c r="C16" i="2"/>
  <c r="F15" i="2"/>
  <c r="E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C65" i="1"/>
  <c r="E64" i="1"/>
  <c r="F64" i="1"/>
  <c r="E63" i="1"/>
  <c r="F63" i="1"/>
  <c r="D61" i="1"/>
  <c r="D65" i="1"/>
  <c r="E65" i="1"/>
  <c r="C61" i="1"/>
  <c r="E60" i="1"/>
  <c r="F60" i="1"/>
  <c r="F59" i="1"/>
  <c r="E59" i="1"/>
  <c r="D56" i="1"/>
  <c r="C56" i="1"/>
  <c r="C75" i="1"/>
  <c r="E55" i="1"/>
  <c r="F55" i="1"/>
  <c r="F54" i="1"/>
  <c r="E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C41" i="1"/>
  <c r="E37" i="1"/>
  <c r="F37" i="1"/>
  <c r="E36" i="1"/>
  <c r="F36" i="1"/>
  <c r="E33" i="1"/>
  <c r="F33" i="1"/>
  <c r="E32" i="1"/>
  <c r="F32" i="1"/>
  <c r="F31" i="1"/>
  <c r="E31" i="1"/>
  <c r="D29" i="1"/>
  <c r="C29" i="1"/>
  <c r="E28" i="1"/>
  <c r="F28" i="1"/>
  <c r="F27" i="1"/>
  <c r="E27" i="1"/>
  <c r="F26" i="1"/>
  <c r="E26" i="1"/>
  <c r="F25" i="1"/>
  <c r="E25" i="1"/>
  <c r="D22" i="1"/>
  <c r="C22" i="1"/>
  <c r="E21" i="1"/>
  <c r="F21" i="1"/>
  <c r="E20" i="1"/>
  <c r="F20" i="1"/>
  <c r="E19" i="1"/>
  <c r="F19" i="1"/>
  <c r="E18" i="1"/>
  <c r="F18" i="1"/>
  <c r="F17" i="1"/>
  <c r="E17" i="1"/>
  <c r="E16" i="1"/>
  <c r="F16" i="1"/>
  <c r="E15" i="1"/>
  <c r="F15" i="1"/>
  <c r="E14" i="1"/>
  <c r="F14" i="1"/>
  <c r="E13" i="1"/>
  <c r="F13" i="1"/>
  <c r="D239" i="14"/>
  <c r="D278" i="14"/>
  <c r="E278" i="14"/>
  <c r="F278" i="14"/>
  <c r="D214" i="14"/>
  <c r="D254" i="14"/>
  <c r="E254" i="14"/>
  <c r="F254" i="14"/>
  <c r="D264" i="14"/>
  <c r="F58" i="14"/>
  <c r="F120" i="14"/>
  <c r="D68" i="14"/>
  <c r="D192" i="14"/>
  <c r="D146" i="14"/>
  <c r="D190" i="14"/>
  <c r="E24" i="5"/>
  <c r="E17" i="5"/>
  <c r="D137" i="5"/>
  <c r="D140" i="5"/>
  <c r="D136" i="5"/>
  <c r="D139" i="5"/>
  <c r="D135" i="5"/>
  <c r="D138" i="5"/>
  <c r="D43" i="1"/>
  <c r="C140" i="5"/>
  <c r="C136" i="5"/>
  <c r="C139" i="5"/>
  <c r="C135" i="5"/>
  <c r="C138" i="5"/>
  <c r="C137" i="5"/>
  <c r="C141" i="5"/>
  <c r="E156" i="5"/>
  <c r="E155" i="5"/>
  <c r="E154" i="5"/>
  <c r="E157" i="5"/>
  <c r="E153" i="5"/>
  <c r="E152" i="5"/>
  <c r="E158" i="5"/>
  <c r="F65" i="8"/>
  <c r="E65" i="8"/>
  <c r="E19" i="9"/>
  <c r="F19" i="9"/>
  <c r="C33" i="9"/>
  <c r="D21" i="10"/>
  <c r="D33" i="2"/>
  <c r="C21" i="5"/>
  <c r="D21" i="5"/>
  <c r="D154" i="5"/>
  <c r="D157" i="5"/>
  <c r="D153" i="5"/>
  <c r="D156" i="5"/>
  <c r="D152" i="5"/>
  <c r="D155" i="5"/>
  <c r="E138" i="5"/>
  <c r="E137" i="5"/>
  <c r="E140" i="5"/>
  <c r="E136" i="5"/>
  <c r="E139" i="5"/>
  <c r="E135" i="5"/>
  <c r="E141" i="5"/>
  <c r="C157" i="5"/>
  <c r="C153" i="5"/>
  <c r="C152" i="5"/>
  <c r="C156" i="5"/>
  <c r="C155" i="5"/>
  <c r="C154" i="5"/>
  <c r="E65" i="12"/>
  <c r="F65" i="12"/>
  <c r="C61" i="14"/>
  <c r="E60" i="14"/>
  <c r="F60" i="14"/>
  <c r="C19" i="2"/>
  <c r="E22" i="1"/>
  <c r="F22" i="1"/>
  <c r="E29" i="1"/>
  <c r="F29" i="1"/>
  <c r="E56" i="1"/>
  <c r="E61" i="1"/>
  <c r="F61" i="1"/>
  <c r="E73" i="1"/>
  <c r="F73" i="1"/>
  <c r="E16" i="2"/>
  <c r="F16" i="2"/>
  <c r="E39" i="2"/>
  <c r="F39" i="2"/>
  <c r="E46" i="2"/>
  <c r="F46" i="2"/>
  <c r="E25" i="3"/>
  <c r="F25" i="3"/>
  <c r="C52" i="3"/>
  <c r="E68" i="3"/>
  <c r="F68" i="3"/>
  <c r="C95" i="3"/>
  <c r="E111" i="3"/>
  <c r="F111" i="3"/>
  <c r="E137" i="3"/>
  <c r="F137" i="3"/>
  <c r="E166" i="3"/>
  <c r="F166" i="3"/>
  <c r="E18" i="4"/>
  <c r="F18" i="4"/>
  <c r="E30" i="4"/>
  <c r="F30" i="4"/>
  <c r="E35" i="4"/>
  <c r="F35" i="4"/>
  <c r="E59" i="4"/>
  <c r="F59" i="4"/>
  <c r="E78" i="4"/>
  <c r="E171" i="4"/>
  <c r="F171" i="4"/>
  <c r="C176" i="4"/>
  <c r="D49" i="5"/>
  <c r="C15" i="5"/>
  <c r="E25" i="5"/>
  <c r="E27" i="5"/>
  <c r="C49" i="5"/>
  <c r="D53" i="5"/>
  <c r="C77" i="5"/>
  <c r="C71" i="5"/>
  <c r="E88" i="5"/>
  <c r="E90" i="5"/>
  <c r="E86" i="5"/>
  <c r="F36" i="6"/>
  <c r="F37" i="6"/>
  <c r="F62" i="6"/>
  <c r="F63" i="6"/>
  <c r="F88" i="6"/>
  <c r="F89" i="6"/>
  <c r="F114" i="6"/>
  <c r="F128" i="6"/>
  <c r="F140" i="6"/>
  <c r="F199" i="6"/>
  <c r="F203" i="6"/>
  <c r="C207" i="6"/>
  <c r="F24" i="7"/>
  <c r="F35" i="7"/>
  <c r="F59" i="7"/>
  <c r="F84" i="7"/>
  <c r="F95" i="7"/>
  <c r="F113" i="7"/>
  <c r="F117" i="7"/>
  <c r="C121" i="7"/>
  <c r="F29" i="8"/>
  <c r="D75" i="8"/>
  <c r="C75" i="8"/>
  <c r="F39" i="9"/>
  <c r="F46" i="9"/>
  <c r="E80" i="10"/>
  <c r="E77" i="10"/>
  <c r="G17" i="11"/>
  <c r="E33" i="11"/>
  <c r="F30" i="12"/>
  <c r="E45" i="12"/>
  <c r="F55" i="12"/>
  <c r="F75" i="12"/>
  <c r="E25" i="10"/>
  <c r="E27" i="10"/>
  <c r="E15" i="10"/>
  <c r="C59" i="10"/>
  <c r="C61" i="10"/>
  <c r="C57" i="10"/>
  <c r="C48" i="10"/>
  <c r="C42" i="10"/>
  <c r="C127" i="14"/>
  <c r="E126" i="14"/>
  <c r="F126" i="14"/>
  <c r="F192" i="6"/>
  <c r="F204" i="6"/>
  <c r="F96" i="7"/>
  <c r="F107" i="7"/>
  <c r="F114" i="7"/>
  <c r="F118" i="7"/>
  <c r="E61" i="8"/>
  <c r="G31" i="11"/>
  <c r="C33" i="11"/>
  <c r="C36" i="11"/>
  <c r="C38" i="11"/>
  <c r="C40" i="11"/>
  <c r="D57" i="5"/>
  <c r="D62" i="5"/>
  <c r="F56" i="1"/>
  <c r="F78" i="4"/>
  <c r="F23" i="6"/>
  <c r="F24" i="6"/>
  <c r="F49" i="6"/>
  <c r="F50" i="6"/>
  <c r="F76" i="6"/>
  <c r="F101" i="6"/>
  <c r="F102" i="6"/>
  <c r="F193" i="6"/>
  <c r="F201" i="6"/>
  <c r="F205" i="6"/>
  <c r="C208" i="6"/>
  <c r="F108" i="7"/>
  <c r="F115" i="7"/>
  <c r="F119" i="7"/>
  <c r="C122" i="7"/>
  <c r="D42" i="10"/>
  <c r="F33" i="11"/>
  <c r="F36" i="11"/>
  <c r="F38" i="11"/>
  <c r="F40" i="11"/>
  <c r="D36" i="11"/>
  <c r="D38" i="11"/>
  <c r="D40" i="11"/>
  <c r="F23" i="12"/>
  <c r="C15" i="10"/>
  <c r="C25" i="10"/>
  <c r="C27" i="10"/>
  <c r="E48" i="10"/>
  <c r="E42" i="10"/>
  <c r="E59" i="10"/>
  <c r="E61" i="10"/>
  <c r="E57" i="10"/>
  <c r="E115" i="6"/>
  <c r="F115" i="6"/>
  <c r="F127" i="6"/>
  <c r="E141" i="6"/>
  <c r="F141" i="6"/>
  <c r="E154" i="6"/>
  <c r="F198" i="6"/>
  <c r="F202" i="6"/>
  <c r="F206" i="6"/>
  <c r="F23" i="7"/>
  <c r="E36" i="7"/>
  <c r="F36" i="7"/>
  <c r="E48" i="7"/>
  <c r="E60" i="7"/>
  <c r="F60" i="7"/>
  <c r="E72" i="7"/>
  <c r="F83" i="7"/>
  <c r="F112" i="7"/>
  <c r="F116" i="7"/>
  <c r="F120" i="7"/>
  <c r="E22" i="8"/>
  <c r="F22" i="8"/>
  <c r="F38" i="8"/>
  <c r="C41" i="8"/>
  <c r="C43" i="8"/>
  <c r="F61" i="8"/>
  <c r="F73" i="8"/>
  <c r="E16" i="9"/>
  <c r="F16" i="9"/>
  <c r="E31" i="9"/>
  <c r="F31" i="9"/>
  <c r="F16" i="12"/>
  <c r="E37" i="12"/>
  <c r="E50" i="12"/>
  <c r="F50" i="12"/>
  <c r="C277" i="14"/>
  <c r="C261" i="14"/>
  <c r="C254" i="14"/>
  <c r="E188" i="14"/>
  <c r="F188" i="14"/>
  <c r="D43" i="15"/>
  <c r="E38" i="15"/>
  <c r="D71" i="15"/>
  <c r="D65" i="15"/>
  <c r="D289" i="15"/>
  <c r="E289" i="15"/>
  <c r="E60" i="15"/>
  <c r="D144" i="15"/>
  <c r="D175" i="15"/>
  <c r="E175" i="15"/>
  <c r="E139" i="15"/>
  <c r="C108" i="19"/>
  <c r="C109" i="19"/>
  <c r="D209" i="14"/>
  <c r="D104" i="14"/>
  <c r="D174" i="14"/>
  <c r="D263" i="14"/>
  <c r="F73" i="12"/>
  <c r="F84" i="12"/>
  <c r="F99" i="12"/>
  <c r="F14" i="13"/>
  <c r="F19" i="13"/>
  <c r="E30" i="14"/>
  <c r="F30" i="14"/>
  <c r="E48" i="14"/>
  <c r="F48" i="14"/>
  <c r="E59" i="14"/>
  <c r="F59" i="14"/>
  <c r="C68" i="14"/>
  <c r="C90" i="14"/>
  <c r="F102" i="14"/>
  <c r="E109" i="14"/>
  <c r="F109" i="14"/>
  <c r="E172" i="14"/>
  <c r="F172" i="14"/>
  <c r="F179" i="14"/>
  <c r="C190" i="14"/>
  <c r="F229" i="14"/>
  <c r="F295" i="14"/>
  <c r="F299" i="14"/>
  <c r="E198" i="14"/>
  <c r="F198" i="14"/>
  <c r="C199" i="14"/>
  <c r="E226" i="14"/>
  <c r="F226" i="14"/>
  <c r="C227" i="14"/>
  <c r="C283" i="15"/>
  <c r="E283" i="15"/>
  <c r="C22" i="15"/>
  <c r="C284" i="15"/>
  <c r="D33" i="15"/>
  <c r="D294" i="15"/>
  <c r="E32" i="15"/>
  <c r="D320" i="15"/>
  <c r="E320" i="15"/>
  <c r="E316" i="15"/>
  <c r="D330" i="15"/>
  <c r="E330" i="15"/>
  <c r="E326" i="15"/>
  <c r="D41" i="17"/>
  <c r="E39" i="17"/>
  <c r="D175" i="14"/>
  <c r="D62" i="14"/>
  <c r="D210" i="14"/>
  <c r="D105" i="14"/>
  <c r="E280" i="14"/>
  <c r="F280" i="14"/>
  <c r="F24" i="14"/>
  <c r="F44" i="14"/>
  <c r="F53" i="14"/>
  <c r="F67" i="14"/>
  <c r="F89" i="14"/>
  <c r="C91" i="14"/>
  <c r="F136" i="14"/>
  <c r="C159" i="14"/>
  <c r="F170" i="14"/>
  <c r="C181" i="14"/>
  <c r="C290" i="14"/>
  <c r="E111" i="14"/>
  <c r="F111" i="14"/>
  <c r="C215" i="14"/>
  <c r="F189" i="14"/>
  <c r="C285" i="14"/>
  <c r="E204" i="14"/>
  <c r="F204" i="14"/>
  <c r="C269" i="14"/>
  <c r="D55" i="15"/>
  <c r="E55" i="15"/>
  <c r="E54" i="15"/>
  <c r="C41" i="17"/>
  <c r="F17" i="11"/>
  <c r="F70" i="12"/>
  <c r="F92" i="12"/>
  <c r="F23" i="13"/>
  <c r="E21" i="14"/>
  <c r="F21" i="14"/>
  <c r="C31" i="14"/>
  <c r="F35" i="14"/>
  <c r="C37" i="14"/>
  <c r="C49" i="14"/>
  <c r="F94" i="14"/>
  <c r="C103" i="14"/>
  <c r="F135" i="14"/>
  <c r="C146" i="14"/>
  <c r="F165" i="14"/>
  <c r="E171" i="14"/>
  <c r="F171" i="14"/>
  <c r="C173" i="14"/>
  <c r="E173" i="14"/>
  <c r="F173" i="14"/>
  <c r="C200" i="14"/>
  <c r="C214" i="14"/>
  <c r="C304" i="14"/>
  <c r="F237" i="14"/>
  <c r="C255" i="14"/>
  <c r="C274" i="14"/>
  <c r="C44" i="15"/>
  <c r="E69" i="15"/>
  <c r="C253" i="15"/>
  <c r="F20" i="17"/>
  <c r="C193" i="14"/>
  <c r="E158" i="14"/>
  <c r="F158" i="14"/>
  <c r="C145" i="15"/>
  <c r="E156" i="15"/>
  <c r="D157" i="15"/>
  <c r="E157" i="15"/>
  <c r="D109" i="19"/>
  <c r="D108" i="19"/>
  <c r="D272" i="14"/>
  <c r="C161" i="14"/>
  <c r="C137" i="14"/>
  <c r="C160" i="14"/>
  <c r="F180" i="14"/>
  <c r="C239" i="14"/>
  <c r="E21" i="15"/>
  <c r="D44" i="15"/>
  <c r="E163" i="15"/>
  <c r="F203" i="14"/>
  <c r="C205" i="14"/>
  <c r="F250" i="14"/>
  <c r="C283" i="14"/>
  <c r="E188" i="15"/>
  <c r="D210" i="15"/>
  <c r="D217" i="15"/>
  <c r="E218" i="15"/>
  <c r="E233" i="15"/>
  <c r="D239" i="15"/>
  <c r="C242" i="15"/>
  <c r="E242" i="15"/>
  <c r="E251" i="15"/>
  <c r="C260" i="15"/>
  <c r="D261" i="15"/>
  <c r="E261" i="15"/>
  <c r="C22" i="16"/>
  <c r="E22" i="19"/>
  <c r="D34" i="19"/>
  <c r="C53" i="19"/>
  <c r="D102" i="19"/>
  <c r="D103" i="19"/>
  <c r="E111" i="19"/>
  <c r="D125" i="14"/>
  <c r="E125" i="14"/>
  <c r="F125" i="14"/>
  <c r="D138" i="14"/>
  <c r="D161" i="14"/>
  <c r="D193" i="14"/>
  <c r="D266" i="14"/>
  <c r="D267" i="14"/>
  <c r="D277" i="14"/>
  <c r="D285" i="14"/>
  <c r="E285" i="14"/>
  <c r="E215" i="15"/>
  <c r="E219" i="15"/>
  <c r="D222" i="15"/>
  <c r="D229" i="15"/>
  <c r="E229" i="15"/>
  <c r="C239" i="15"/>
  <c r="D240" i="15"/>
  <c r="D252" i="15"/>
  <c r="E240" i="15"/>
  <c r="D244" i="15"/>
  <c r="E244" i="15"/>
  <c r="E314" i="15"/>
  <c r="D22" i="19"/>
  <c r="E30" i="19"/>
  <c r="E36" i="19"/>
  <c r="E40" i="19"/>
  <c r="E46" i="19"/>
  <c r="C54" i="19"/>
  <c r="E108" i="19"/>
  <c r="C110" i="19"/>
  <c r="D160" i="14"/>
  <c r="D200" i="14"/>
  <c r="E200" i="14"/>
  <c r="F200" i="14"/>
  <c r="D206" i="14"/>
  <c r="E206" i="14"/>
  <c r="F206" i="14"/>
  <c r="D274" i="14"/>
  <c r="E274" i="14"/>
  <c r="E231" i="15"/>
  <c r="E260" i="15"/>
  <c r="E324" i="15"/>
  <c r="E19" i="17"/>
  <c r="F19" i="17"/>
  <c r="E43" i="17"/>
  <c r="D23" i="19"/>
  <c r="C29" i="19"/>
  <c r="C35" i="19"/>
  <c r="C39" i="19"/>
  <c r="C111" i="19"/>
  <c r="D49" i="14"/>
  <c r="D91" i="14"/>
  <c r="D199" i="14"/>
  <c r="E199" i="14"/>
  <c r="F199" i="14"/>
  <c r="D205" i="14"/>
  <c r="D215" i="14"/>
  <c r="E221" i="15"/>
  <c r="C30" i="19"/>
  <c r="C36" i="19"/>
  <c r="C40" i="19"/>
  <c r="D286" i="14"/>
  <c r="F285" i="14"/>
  <c r="D255" i="14"/>
  <c r="E255" i="14"/>
  <c r="F255" i="14"/>
  <c r="E215" i="14"/>
  <c r="D92" i="14"/>
  <c r="E91" i="14"/>
  <c r="D194" i="14"/>
  <c r="E193" i="14"/>
  <c r="E110" i="19"/>
  <c r="E53" i="19"/>
  <c r="E45" i="19"/>
  <c r="E39" i="19"/>
  <c r="E35" i="19"/>
  <c r="E29" i="19"/>
  <c r="C286" i="14"/>
  <c r="E283" i="14"/>
  <c r="F283" i="14"/>
  <c r="C258" i="15"/>
  <c r="C98" i="15"/>
  <c r="C87" i="15"/>
  <c r="C83" i="15"/>
  <c r="C100" i="15"/>
  <c r="C96" i="15"/>
  <c r="C89" i="15"/>
  <c r="C85" i="15"/>
  <c r="C95" i="15"/>
  <c r="C84" i="15"/>
  <c r="C101" i="15"/>
  <c r="C99" i="15"/>
  <c r="C88" i="15"/>
  <c r="C97" i="15"/>
  <c r="C86" i="15"/>
  <c r="C32" i="14"/>
  <c r="E31" i="14"/>
  <c r="F31" i="14"/>
  <c r="F43" i="17"/>
  <c r="D53" i="19"/>
  <c r="D45" i="19"/>
  <c r="D39" i="19"/>
  <c r="D35" i="19"/>
  <c r="D29" i="19"/>
  <c r="D110" i="19"/>
  <c r="D270" i="14"/>
  <c r="C207" i="14"/>
  <c r="C138" i="14"/>
  <c r="E137" i="14"/>
  <c r="F137" i="14"/>
  <c r="C169" i="15"/>
  <c r="E214" i="14"/>
  <c r="C216" i="14"/>
  <c r="F214" i="14"/>
  <c r="E103" i="14"/>
  <c r="F103" i="14"/>
  <c r="E181" i="14"/>
  <c r="F181" i="14"/>
  <c r="D211" i="14"/>
  <c r="E33" i="15"/>
  <c r="E190" i="14"/>
  <c r="F190" i="14"/>
  <c r="E261" i="14"/>
  <c r="F261" i="14"/>
  <c r="C17" i="10"/>
  <c r="C28" i="10"/>
  <c r="C70" i="10"/>
  <c r="C72" i="10"/>
  <c r="C69" i="10"/>
  <c r="C24" i="10"/>
  <c r="E17" i="10"/>
  <c r="E28" i="10"/>
  <c r="E24" i="10"/>
  <c r="E121" i="7"/>
  <c r="F121" i="7"/>
  <c r="E207" i="6"/>
  <c r="F207" i="6"/>
  <c r="E21" i="5"/>
  <c r="E20" i="5"/>
  <c r="F215" i="14"/>
  <c r="D216" i="14"/>
  <c r="E216" i="14"/>
  <c r="F216" i="14"/>
  <c r="E160" i="14"/>
  <c r="E22" i="15"/>
  <c r="C158" i="5"/>
  <c r="D46" i="19"/>
  <c r="D40" i="19"/>
  <c r="D36" i="19"/>
  <c r="D30" i="19"/>
  <c r="D111" i="19"/>
  <c r="D54" i="19"/>
  <c r="E48" i="19"/>
  <c r="E38" i="19"/>
  <c r="E113" i="19"/>
  <c r="E56" i="19"/>
  <c r="D246" i="15"/>
  <c r="E222" i="15"/>
  <c r="F193" i="14"/>
  <c r="C194" i="14"/>
  <c r="C282" i="14"/>
  <c r="E37" i="14"/>
  <c r="F37" i="14"/>
  <c r="E159" i="14"/>
  <c r="F159" i="14"/>
  <c r="D106" i="14"/>
  <c r="D176" i="14"/>
  <c r="D168" i="15"/>
  <c r="E168" i="15"/>
  <c r="E144" i="15"/>
  <c r="D145" i="15"/>
  <c r="D180" i="15"/>
  <c r="D76" i="15"/>
  <c r="E36" i="11"/>
  <c r="E38" i="11"/>
  <c r="E40" i="11"/>
  <c r="G33" i="11"/>
  <c r="G36" i="11"/>
  <c r="G38" i="11"/>
  <c r="G40" i="11"/>
  <c r="E112" i="5"/>
  <c r="E111" i="5"/>
  <c r="E28" i="5"/>
  <c r="E99" i="5"/>
  <c r="E101" i="5"/>
  <c r="E98" i="5"/>
  <c r="E138" i="14"/>
  <c r="E239" i="15"/>
  <c r="D223" i="15"/>
  <c r="E290" i="14"/>
  <c r="F290" i="14"/>
  <c r="D287" i="14"/>
  <c r="D279" i="14"/>
  <c r="D284" i="14"/>
  <c r="E277" i="14"/>
  <c r="D234" i="15"/>
  <c r="D211" i="15"/>
  <c r="C56" i="19"/>
  <c r="C48" i="19"/>
  <c r="C38" i="19"/>
  <c r="C113" i="19"/>
  <c r="D50" i="14"/>
  <c r="E49" i="14"/>
  <c r="F49" i="14"/>
  <c r="C112" i="19"/>
  <c r="C55" i="19"/>
  <c r="C47" i="19"/>
  <c r="C37" i="19"/>
  <c r="D162" i="14"/>
  <c r="E161" i="14"/>
  <c r="D241" i="15"/>
  <c r="D99" i="15"/>
  <c r="E99" i="15"/>
  <c r="D95" i="15"/>
  <c r="D88" i="15"/>
  <c r="E88" i="15"/>
  <c r="D84" i="15"/>
  <c r="E44" i="15"/>
  <c r="D258" i="15"/>
  <c r="D101" i="15"/>
  <c r="E101" i="15"/>
  <c r="D97" i="15"/>
  <c r="E97" i="15"/>
  <c r="D86" i="15"/>
  <c r="E86" i="15"/>
  <c r="D100" i="15"/>
  <c r="E100" i="15"/>
  <c r="D89" i="15"/>
  <c r="E89" i="15"/>
  <c r="D98" i="15"/>
  <c r="E98" i="15"/>
  <c r="D87" i="15"/>
  <c r="E87" i="15"/>
  <c r="D96" i="15"/>
  <c r="D85" i="15"/>
  <c r="E85" i="15"/>
  <c r="D83" i="15"/>
  <c r="E146" i="14"/>
  <c r="F146" i="14"/>
  <c r="C50" i="14"/>
  <c r="E68" i="14"/>
  <c r="F68" i="14"/>
  <c r="D66" i="15"/>
  <c r="E41" i="8"/>
  <c r="F41" i="8"/>
  <c r="C24" i="5"/>
  <c r="C20" i="5"/>
  <c r="C17" i="5"/>
  <c r="C33" i="2"/>
  <c r="C104" i="14"/>
  <c r="C139" i="14"/>
  <c r="E61" i="14"/>
  <c r="F61" i="14"/>
  <c r="C174" i="14"/>
  <c r="E33" i="2"/>
  <c r="D41" i="2"/>
  <c r="C41" i="9"/>
  <c r="E33" i="9"/>
  <c r="F33" i="9"/>
  <c r="F160" i="14"/>
  <c r="E205" i="14"/>
  <c r="F205" i="14"/>
  <c r="D300" i="14"/>
  <c r="D253" i="15"/>
  <c r="E253" i="15"/>
  <c r="D140" i="14"/>
  <c r="E239" i="14"/>
  <c r="F239" i="14"/>
  <c r="C288" i="14"/>
  <c r="C289" i="14"/>
  <c r="D268" i="14"/>
  <c r="D139" i="14"/>
  <c r="E139" i="14"/>
  <c r="E75" i="8"/>
  <c r="D158" i="5"/>
  <c r="D141" i="5"/>
  <c r="F161" i="14"/>
  <c r="C162" i="14"/>
  <c r="E269" i="14"/>
  <c r="F269" i="14"/>
  <c r="F91" i="14"/>
  <c r="C92" i="14"/>
  <c r="D63" i="14"/>
  <c r="E227" i="14"/>
  <c r="F227" i="14"/>
  <c r="E90" i="14"/>
  <c r="F90" i="14"/>
  <c r="D259" i="15"/>
  <c r="E43" i="15"/>
  <c r="C287" i="14"/>
  <c r="C279" i="14"/>
  <c r="F277" i="14"/>
  <c r="C284" i="14"/>
  <c r="E127" i="14"/>
  <c r="F127" i="14"/>
  <c r="E20" i="10"/>
  <c r="E21" i="10"/>
  <c r="E286" i="14"/>
  <c r="D282" i="14"/>
  <c r="F274" i="14"/>
  <c r="D288" i="14"/>
  <c r="E288" i="14"/>
  <c r="F288" i="14"/>
  <c r="D271" i="14"/>
  <c r="C266" i="14"/>
  <c r="F75" i="8"/>
  <c r="E19" i="2"/>
  <c r="F19" i="2"/>
  <c r="E52" i="3"/>
  <c r="F52" i="3"/>
  <c r="C291" i="14"/>
  <c r="C48" i="9"/>
  <c r="E41" i="9"/>
  <c r="F41" i="9"/>
  <c r="C112" i="5"/>
  <c r="C111" i="5"/>
  <c r="C28" i="5"/>
  <c r="E83" i="15"/>
  <c r="D91" i="15"/>
  <c r="D90" i="15"/>
  <c r="E84" i="15"/>
  <c r="D235" i="15"/>
  <c r="C281" i="14"/>
  <c r="C175" i="14"/>
  <c r="E32" i="14"/>
  <c r="F32" i="14"/>
  <c r="C105" i="14"/>
  <c r="C140" i="14"/>
  <c r="C62" i="14"/>
  <c r="D324" i="14"/>
  <c r="D113" i="14"/>
  <c r="E92" i="14"/>
  <c r="F92" i="14"/>
  <c r="C197" i="14"/>
  <c r="E284" i="14"/>
  <c r="D183" i="14"/>
  <c r="D323" i="14"/>
  <c r="E162" i="14"/>
  <c r="F162" i="14"/>
  <c r="D70" i="14"/>
  <c r="E50" i="14"/>
  <c r="D77" i="15"/>
  <c r="D113" i="19"/>
  <c r="D56" i="19"/>
  <c r="D48" i="19"/>
  <c r="D38" i="19"/>
  <c r="F207" i="14"/>
  <c r="E207" i="14"/>
  <c r="C208" i="14"/>
  <c r="C210" i="14"/>
  <c r="D47" i="19"/>
  <c r="D37" i="19"/>
  <c r="D112" i="19"/>
  <c r="D55" i="19"/>
  <c r="E47" i="19"/>
  <c r="E37" i="19"/>
  <c r="E112" i="19"/>
  <c r="E55" i="19"/>
  <c r="D295" i="15"/>
  <c r="D304" i="14"/>
  <c r="D273" i="14"/>
  <c r="D141" i="14"/>
  <c r="E140" i="14"/>
  <c r="E282" i="14"/>
  <c r="F282" i="14"/>
  <c r="D281" i="14"/>
  <c r="E281" i="14"/>
  <c r="F281" i="14"/>
  <c r="D263" i="15"/>
  <c r="D48" i="2"/>
  <c r="C41" i="2"/>
  <c r="E41" i="2"/>
  <c r="F41" i="2"/>
  <c r="F33" i="2"/>
  <c r="E96" i="15"/>
  <c r="D102" i="15"/>
  <c r="D103" i="15"/>
  <c r="E258" i="15"/>
  <c r="E95" i="15"/>
  <c r="D291" i="14"/>
  <c r="D289" i="14"/>
  <c r="E289" i="14"/>
  <c r="E287" i="14"/>
  <c r="F287" i="14"/>
  <c r="E223" i="15"/>
  <c r="D247" i="15"/>
  <c r="E194" i="14"/>
  <c r="D196" i="14"/>
  <c r="E196" i="14"/>
  <c r="D195" i="14"/>
  <c r="F284" i="14"/>
  <c r="F139" i="14"/>
  <c r="E104" i="14"/>
  <c r="F104" i="14"/>
  <c r="E22" i="5"/>
  <c r="F138" i="14"/>
  <c r="C90" i="15"/>
  <c r="C91" i="15"/>
  <c r="C105" i="15"/>
  <c r="C102" i="15"/>
  <c r="C103" i="15"/>
  <c r="F50" i="14"/>
  <c r="D181" i="15"/>
  <c r="E145" i="15"/>
  <c r="D169" i="15"/>
  <c r="E169" i="15"/>
  <c r="F194" i="14"/>
  <c r="C195" i="14"/>
  <c r="C196" i="14"/>
  <c r="E279" i="14"/>
  <c r="F279" i="14"/>
  <c r="E174" i="14"/>
  <c r="F174" i="14"/>
  <c r="F286" i="14"/>
  <c r="C176" i="14"/>
  <c r="E175" i="14"/>
  <c r="F175" i="14"/>
  <c r="E48" i="9"/>
  <c r="F48" i="9"/>
  <c r="F140" i="14"/>
  <c r="C141" i="14"/>
  <c r="E141" i="14"/>
  <c r="D197" i="14"/>
  <c r="E197" i="14"/>
  <c r="F197" i="14"/>
  <c r="C48" i="2"/>
  <c r="D322" i="14"/>
  <c r="D148" i="14"/>
  <c r="E148" i="14"/>
  <c r="F148" i="14"/>
  <c r="D126" i="15"/>
  <c r="D122" i="15"/>
  <c r="D115" i="15"/>
  <c r="D111" i="15"/>
  <c r="D124" i="15"/>
  <c r="D113" i="15"/>
  <c r="D109" i="15"/>
  <c r="D123" i="15"/>
  <c r="D112" i="15"/>
  <c r="D121" i="15"/>
  <c r="D110" i="15"/>
  <c r="D116" i="15"/>
  <c r="D127" i="15"/>
  <c r="D125" i="15"/>
  <c r="D114" i="15"/>
  <c r="C63" i="14"/>
  <c r="E62" i="14"/>
  <c r="F62" i="14"/>
  <c r="E102" i="15"/>
  <c r="E48" i="2"/>
  <c r="E195" i="14"/>
  <c r="F195" i="14"/>
  <c r="E90" i="15"/>
  <c r="D305" i="14"/>
  <c r="E291" i="14"/>
  <c r="E208" i="14"/>
  <c r="F208" i="14"/>
  <c r="C209" i="14"/>
  <c r="D325" i="14"/>
  <c r="C106" i="14"/>
  <c r="E105" i="14"/>
  <c r="F105" i="14"/>
  <c r="C99" i="5"/>
  <c r="C101" i="5"/>
  <c r="C98" i="5"/>
  <c r="C22" i="5"/>
  <c r="F291" i="14"/>
  <c r="C305" i="14"/>
  <c r="D309" i="14"/>
  <c r="D310" i="14"/>
  <c r="E305" i="14"/>
  <c r="F305" i="14"/>
  <c r="D129" i="15"/>
  <c r="D128" i="15"/>
  <c r="C113" i="14"/>
  <c r="C324" i="14"/>
  <c r="E106" i="14"/>
  <c r="F106" i="14"/>
  <c r="C183" i="14"/>
  <c r="E176" i="14"/>
  <c r="F176" i="14"/>
  <c r="C323" i="14"/>
  <c r="F48" i="2"/>
  <c r="E63" i="14"/>
  <c r="F209" i="14"/>
  <c r="E209" i="14"/>
  <c r="C211" i="14"/>
  <c r="E211" i="14"/>
  <c r="C322" i="14"/>
  <c r="F141" i="14"/>
  <c r="C148" i="14"/>
  <c r="E323" i="14"/>
  <c r="F323" i="14"/>
  <c r="E183" i="14"/>
  <c r="F183" i="14"/>
  <c r="E113" i="14"/>
  <c r="F211" i="14"/>
  <c r="C325" i="14"/>
  <c r="E324" i="14"/>
  <c r="F324" i="14"/>
  <c r="E322" i="14"/>
  <c r="F322" i="14"/>
  <c r="D117" i="15"/>
  <c r="E325" i="14"/>
  <c r="D312" i="14"/>
  <c r="D131" i="15"/>
  <c r="D313" i="14"/>
  <c r="F63" i="14"/>
  <c r="F196" i="14"/>
  <c r="D105" i="15"/>
  <c r="E105" i="15"/>
  <c r="E103" i="15"/>
  <c r="F289" i="14"/>
  <c r="E41" i="1"/>
  <c r="D75" i="1"/>
  <c r="E75" i="1"/>
  <c r="F75" i="1"/>
  <c r="F65" i="1"/>
  <c r="F325" i="14"/>
  <c r="F113" i="14"/>
  <c r="E210" i="14"/>
  <c r="F210" i="14"/>
  <c r="E70" i="10"/>
  <c r="E72" i="10"/>
  <c r="E69" i="10"/>
  <c r="E22" i="10"/>
  <c r="D254" i="15"/>
  <c r="E266" i="14"/>
  <c r="F266" i="14"/>
  <c r="D265" i="14"/>
  <c r="E304" i="14"/>
  <c r="F304" i="14"/>
  <c r="C22" i="10"/>
  <c r="C21" i="10"/>
  <c r="C20" i="10"/>
  <c r="C43" i="1"/>
  <c r="F41" i="1"/>
  <c r="F84" i="3"/>
  <c r="D284" i="15"/>
  <c r="E284" i="15"/>
  <c r="E38" i="1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E81" i="3"/>
  <c r="F81" i="3"/>
  <c r="C83" i="4"/>
  <c r="D43" i="8"/>
  <c r="E43" i="8"/>
  <c r="F43" i="8"/>
  <c r="C70" i="14"/>
  <c r="E91" i="15"/>
  <c r="D264" i="15"/>
  <c r="F39" i="17"/>
  <c r="F38" i="1"/>
  <c r="D95" i="3"/>
  <c r="E95" i="3"/>
  <c r="F95" i="3"/>
  <c r="E118" i="4"/>
  <c r="F118" i="4"/>
  <c r="D176" i="4"/>
  <c r="E176" i="4"/>
  <c r="F176" i="4"/>
  <c r="D15" i="5"/>
  <c r="C43" i="5"/>
  <c r="E153" i="6"/>
  <c r="E47" i="7"/>
  <c r="E71" i="7"/>
  <c r="D15" i="10"/>
  <c r="D59" i="10"/>
  <c r="D61" i="10"/>
  <c r="D57" i="10"/>
  <c r="D31" i="11"/>
  <c r="F31" i="11"/>
  <c r="E23" i="14"/>
  <c r="F23" i="14"/>
  <c r="E52" i="14"/>
  <c r="F52" i="14"/>
  <c r="C77" i="14"/>
  <c r="E77" i="14"/>
  <c r="F124" i="14"/>
  <c r="E124" i="14"/>
  <c r="C57" i="5"/>
  <c r="C62" i="5"/>
  <c r="D208" i="6"/>
  <c r="E208" i="6"/>
  <c r="F208" i="6"/>
  <c r="D122" i="7"/>
  <c r="E122" i="7"/>
  <c r="F122" i="7"/>
  <c r="E20" i="14"/>
  <c r="F20" i="14"/>
  <c r="F29" i="14"/>
  <c r="E47" i="14"/>
  <c r="F47" i="14"/>
  <c r="E76" i="14"/>
  <c r="F76" i="14"/>
  <c r="E88" i="14"/>
  <c r="F88" i="14"/>
  <c r="E101" i="14"/>
  <c r="F101" i="14"/>
  <c r="E123" i="14"/>
  <c r="F144" i="14"/>
  <c r="F155" i="14"/>
  <c r="C192" i="14"/>
  <c r="F191" i="14"/>
  <c r="C267" i="14"/>
  <c r="F230" i="14"/>
  <c r="F238" i="14"/>
  <c r="C306" i="14"/>
  <c r="C264" i="14"/>
  <c r="F297" i="14"/>
  <c r="F307" i="14"/>
  <c r="E311" i="14"/>
  <c r="F311" i="14"/>
  <c r="C65" i="15"/>
  <c r="C71" i="15"/>
  <c r="E151" i="15"/>
  <c r="C252" i="15"/>
  <c r="C254" i="15"/>
  <c r="F123" i="14"/>
  <c r="C262" i="14"/>
  <c r="E40" i="17"/>
  <c r="F40" i="17"/>
  <c r="F44" i="17"/>
  <c r="C189" i="15"/>
  <c r="E189" i="15"/>
  <c r="C49" i="16"/>
  <c r="E16" i="17"/>
  <c r="F16" i="17"/>
  <c r="E44" i="17"/>
  <c r="E45" i="17"/>
  <c r="F45" i="17"/>
  <c r="C210" i="15"/>
  <c r="C217" i="15"/>
  <c r="D302" i="15"/>
  <c r="F25" i="17"/>
  <c r="F36" i="17"/>
  <c r="E101" i="19"/>
  <c r="E103" i="19"/>
  <c r="C101" i="19"/>
  <c r="C103" i="19"/>
  <c r="C76" i="15"/>
  <c r="E71" i="15"/>
  <c r="E306" i="14"/>
  <c r="C309" i="14"/>
  <c r="D24" i="5"/>
  <c r="D20" i="5"/>
  <c r="D17" i="5"/>
  <c r="E83" i="4"/>
  <c r="F83" i="4"/>
  <c r="E254" i="15"/>
  <c r="D251" i="14"/>
  <c r="D315" i="14"/>
  <c r="D256" i="14"/>
  <c r="D314" i="14"/>
  <c r="C241" i="15"/>
  <c r="E241" i="15"/>
  <c r="E217" i="15"/>
  <c r="D303" i="15"/>
  <c r="E302" i="15"/>
  <c r="C234" i="15"/>
  <c r="E234" i="15"/>
  <c r="C180" i="15"/>
  <c r="E180" i="15"/>
  <c r="C211" i="15"/>
  <c r="E210" i="15"/>
  <c r="E46" i="17"/>
  <c r="F46" i="17"/>
  <c r="E262" i="14"/>
  <c r="F262" i="14"/>
  <c r="C263" i="14"/>
  <c r="C272" i="14"/>
  <c r="C66" i="15"/>
  <c r="C246" i="15"/>
  <c r="E246" i="15"/>
  <c r="C294" i="15"/>
  <c r="E294" i="15"/>
  <c r="E65" i="15"/>
  <c r="C300" i="14"/>
  <c r="E264" i="14"/>
  <c r="F264" i="14"/>
  <c r="C265" i="14"/>
  <c r="C270" i="14"/>
  <c r="F267" i="14"/>
  <c r="C271" i="14"/>
  <c r="C268" i="14"/>
  <c r="E267" i="14"/>
  <c r="E192" i="14"/>
  <c r="F192" i="14"/>
  <c r="D24" i="10"/>
  <c r="D20" i="10"/>
  <c r="D17" i="10"/>
  <c r="D28" i="10"/>
  <c r="D266" i="15"/>
  <c r="F70" i="14"/>
  <c r="E70" i="14"/>
  <c r="E43" i="1"/>
  <c r="F43" i="1"/>
  <c r="E41" i="17"/>
  <c r="F41" i="17"/>
  <c r="E265" i="14"/>
  <c r="E252" i="15"/>
  <c r="F268" i="14"/>
  <c r="E268" i="14"/>
  <c r="D70" i="10"/>
  <c r="D72" i="10"/>
  <c r="D69" i="10"/>
  <c r="D22" i="10"/>
  <c r="C273" i="14"/>
  <c r="E271" i="14"/>
  <c r="F271" i="14"/>
  <c r="E270" i="14"/>
  <c r="F270" i="14"/>
  <c r="C295" i="15"/>
  <c r="E295" i="15"/>
  <c r="C247" i="15"/>
  <c r="E247" i="15"/>
  <c r="E66" i="15"/>
  <c r="F263" i="14"/>
  <c r="E263" i="14"/>
  <c r="D257" i="14"/>
  <c r="E309" i="14"/>
  <c r="F309" i="14"/>
  <c r="C310" i="14"/>
  <c r="D267" i="15"/>
  <c r="F265" i="14"/>
  <c r="F300" i="14"/>
  <c r="E300" i="14"/>
  <c r="E272" i="14"/>
  <c r="F272" i="14"/>
  <c r="C181" i="15"/>
  <c r="E181" i="15"/>
  <c r="E211" i="15"/>
  <c r="C235" i="15"/>
  <c r="E235" i="15"/>
  <c r="D306" i="15"/>
  <c r="E303" i="15"/>
  <c r="D318" i="14"/>
  <c r="D112" i="5"/>
  <c r="D111" i="5"/>
  <c r="D28" i="5"/>
  <c r="C259" i="15"/>
  <c r="E76" i="15"/>
  <c r="C77" i="15"/>
  <c r="D99" i="5"/>
  <c r="D101" i="5"/>
  <c r="D98" i="5"/>
  <c r="D22" i="5"/>
  <c r="C121" i="15"/>
  <c r="C110" i="15"/>
  <c r="C123" i="15"/>
  <c r="E123" i="15"/>
  <c r="C126" i="15"/>
  <c r="E126" i="15"/>
  <c r="C124" i="15"/>
  <c r="E124" i="15"/>
  <c r="C122" i="15"/>
  <c r="C109" i="15"/>
  <c r="E77" i="15"/>
  <c r="C125" i="15"/>
  <c r="E125" i="15"/>
  <c r="C114" i="15"/>
  <c r="E114" i="15"/>
  <c r="C127" i="15"/>
  <c r="E127" i="15"/>
  <c r="C112" i="15"/>
  <c r="E112" i="15"/>
  <c r="C115" i="15"/>
  <c r="E115" i="15"/>
  <c r="C113" i="15"/>
  <c r="E113" i="15"/>
  <c r="C111" i="15"/>
  <c r="E111" i="15"/>
  <c r="C263" i="15"/>
  <c r="E259" i="15"/>
  <c r="D310" i="15"/>
  <c r="E310" i="15"/>
  <c r="E306" i="15"/>
  <c r="D269" i="15"/>
  <c r="D268" i="15"/>
  <c r="C312" i="14"/>
  <c r="E310" i="14"/>
  <c r="F310" i="14"/>
  <c r="E273" i="14"/>
  <c r="F273" i="14"/>
  <c r="D271" i="15"/>
  <c r="C264" i="15"/>
  <c r="E263" i="15"/>
  <c r="C128" i="15"/>
  <c r="E128" i="15"/>
  <c r="E122" i="15"/>
  <c r="C116" i="15"/>
  <c r="E116" i="15"/>
  <c r="E110" i="15"/>
  <c r="C313" i="14"/>
  <c r="F312" i="14"/>
  <c r="E312" i="14"/>
  <c r="C117" i="15"/>
  <c r="E109" i="15"/>
  <c r="C129" i="15"/>
  <c r="E129" i="15"/>
  <c r="E121" i="15"/>
  <c r="F313" i="14"/>
  <c r="C256" i="14"/>
  <c r="C315" i="14"/>
  <c r="C251" i="14"/>
  <c r="C314" i="14"/>
  <c r="E313" i="14"/>
  <c r="C266" i="15"/>
  <c r="E264" i="15"/>
  <c r="C131" i="15"/>
  <c r="E131" i="15"/>
  <c r="E117" i="15"/>
  <c r="C318" i="14"/>
  <c r="E314" i="14"/>
  <c r="F314" i="14"/>
  <c r="E251" i="14"/>
  <c r="F251" i="14"/>
  <c r="C257" i="14"/>
  <c r="E256" i="14"/>
  <c r="F256" i="14"/>
  <c r="C267" i="15"/>
  <c r="E266" i="15"/>
  <c r="F315" i="14"/>
  <c r="E315" i="14"/>
  <c r="C268" i="15"/>
  <c r="C269" i="15"/>
  <c r="E269" i="15"/>
  <c r="E267" i="15"/>
  <c r="F257" i="14"/>
  <c r="E257" i="14"/>
  <c r="F318" i="14"/>
  <c r="E318" i="14"/>
  <c r="C271" i="15"/>
  <c r="E271" i="15"/>
  <c r="E268" i="15"/>
</calcChain>
</file>

<file path=xl/sharedStrings.xml><?xml version="1.0" encoding="utf-8"?>
<sst xmlns="http://schemas.openxmlformats.org/spreadsheetml/2006/main" count="2302" uniqueCount="979">
  <si>
    <t>STAMFORD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</si>
  <si>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</si>
  <si>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</si>
  <si>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</si>
  <si>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</si>
  <si>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</si>
  <si>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</si>
  <si>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</si>
  <si>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</si>
  <si>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</si>
  <si>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</si>
  <si>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</si>
  <si>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</si>
  <si>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</si>
  <si>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</si>
  <si>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</si>
  <si>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</si>
  <si>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</si>
  <si>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</si>
  <si>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</si>
  <si>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</si>
  <si>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</si>
  <si>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</si>
  <si>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</si>
  <si>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</si>
  <si>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</si>
  <si>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</si>
  <si>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</si>
  <si>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</si>
  <si>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</si>
  <si>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</si>
  <si>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</si>
  <si>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</si>
  <si>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</si>
  <si>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</si>
  <si>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</si>
  <si>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</si>
  <si>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</si>
  <si>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</si>
  <si>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</si>
  <si>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</si>
  <si>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</si>
  <si>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</si>
  <si>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</si>
  <si>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</si>
  <si>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</si>
  <si>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</si>
  <si>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</si>
  <si>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</si>
  <si>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</si>
  <si>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</si>
  <si>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</si>
  <si>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</si>
  <si>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</si>
  <si>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</si>
  <si>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</si>
  <si>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</si>
  <si>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</si>
  <si>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</si>
  <si>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</si>
  <si>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</si>
  <si>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</si>
  <si>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</si>
  <si>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</si>
  <si>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</si>
  <si>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</si>
  <si>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</si>
  <si>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</si>
  <si>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</si>
  <si>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</si>
  <si>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</si>
  <si>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</si>
  <si>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</si>
  <si>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</si>
  <si>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</si>
  <si>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</si>
  <si>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</si>
  <si>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</si>
  <si>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</si>
  <si>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</si>
  <si>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</si>
  <si>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</si>
  <si>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</si>
  <si>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</si>
  <si>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</si>
  <si>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</si>
  <si>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</si>
  <si>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</si>
  <si>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</si>
  <si>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</si>
  <si>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</si>
  <si>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</si>
  <si>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</si>
  <si>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</si>
  <si>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</si>
  <si>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</si>
  <si>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</si>
  <si>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</si>
  <si>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</si>
  <si>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</si>
  <si>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</si>
  <si>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</si>
  <si>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</si>
  <si>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</si>
  <si>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</si>
  <si>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</si>
  <si>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</si>
  <si>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</si>
  <si>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</si>
  <si>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</si>
  <si>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</si>
  <si>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</si>
  <si>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</si>
  <si>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</si>
  <si>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</si>
  <si>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</si>
  <si>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</si>
  <si>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</si>
  <si>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</si>
  <si>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</si>
  <si>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</si>
  <si>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</si>
  <si>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</si>
  <si>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</si>
  <si>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</si>
  <si>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</si>
  <si>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</si>
  <si>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</si>
  <si>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</si>
  <si>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</si>
  <si>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</si>
  <si>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</si>
  <si>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</si>
  <si>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</si>
  <si>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</si>
  <si>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</si>
  <si>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</si>
  <si>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</si>
  <si>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</si>
  <si>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</si>
  <si>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</si>
  <si>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</si>
  <si>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</si>
  <si>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</si>
  <si>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</si>
  <si>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</si>
  <si>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</si>
  <si>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</si>
  <si>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</si>
  <si>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</si>
  <si>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</si>
  <si>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</si>
  <si>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</si>
  <si>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</si>
  <si>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</si>
  <si>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</si>
  <si>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</si>
  <si>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</si>
  <si>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</si>
  <si>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</si>
  <si>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</si>
  <si>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</si>
  <si>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</si>
  <si>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</si>
  <si>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</si>
  <si>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</si>
  <si>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</si>
  <si>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</si>
  <si>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</si>
  <si>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</si>
  <si>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</si>
  <si>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</si>
  <si>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</si>
  <si>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</si>
  <si>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</si>
  <si>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</si>
  <si>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</si>
  <si>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</si>
  <si>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</si>
  <si>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</si>
  <si>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</si>
  <si>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</si>
  <si>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</si>
  <si>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</si>
  <si>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</si>
  <si>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</si>
  <si>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</si>
  <si>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</si>
  <si>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</si>
  <si>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</si>
  <si>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</si>
  <si>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</si>
  <si>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</si>
  <si>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</si>
  <si>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</si>
  <si>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</si>
  <si>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</si>
  <si>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</si>
  <si>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</si>
  <si>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</si>
  <si>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</si>
  <si>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</si>
  <si>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</si>
  <si>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</si>
  <si>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</si>
  <si>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</si>
  <si>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</si>
  <si>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</si>
  <si>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</si>
  <si>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</si>
  <si>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</si>
  <si>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</si>
  <si>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</si>
  <si>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</si>
  <si>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</si>
  <si>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</si>
  <si>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</si>
  <si>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</si>
  <si>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</si>
  <si>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</si>
  <si>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</si>
  <si>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</si>
  <si>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</si>
  <si>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</si>
  <si>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</si>
  <si>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</si>
  <si>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</si>
  <si>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</si>
  <si>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</si>
  <si>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</si>
  <si>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</si>
  <si>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</si>
  <si>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</si>
  <si>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</si>
  <si>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</si>
  <si>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</si>
  <si>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</si>
  <si>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</si>
  <si>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</si>
  <si>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</si>
  <si>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</si>
  <si>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</si>
  <si>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</si>
  <si>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</si>
  <si>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</si>
  <si>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</si>
  <si>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</si>
  <si>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</si>
  <si>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</si>
  <si>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</si>
  <si>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</si>
  <si>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</si>
  <si>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</si>
  <si>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</si>
  <si>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</si>
  <si>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</si>
  <si>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</si>
  <si>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</si>
  <si>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</si>
  <si>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</si>
  <si>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</si>
  <si>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</si>
  <si>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</si>
  <si>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</si>
  <si>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</si>
  <si>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</si>
  <si>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</si>
  <si>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</si>
  <si>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</si>
  <si>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</si>
  <si>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</si>
  <si>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</si>
  <si>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</si>
  <si>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</si>
  <si>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</si>
  <si>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</si>
  <si>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</si>
  <si>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</si>
  <si>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</si>
  <si>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</si>
  <si>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</si>
  <si>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</si>
  <si>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</si>
  <si>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</si>
  <si>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</si>
  <si>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</si>
  <si>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</si>
  <si>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</si>
  <si>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</si>
  <si>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</si>
  <si>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</si>
  <si>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</si>
  <si>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</si>
  <si>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</si>
  <si>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</si>
  <si>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</si>
  <si>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</si>
  <si>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</si>
  <si>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</si>
  <si>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</si>
  <si>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</si>
  <si>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</si>
  <si>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</si>
  <si>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</si>
  <si>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</si>
  <si>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</si>
  <si>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</si>
  <si>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</si>
  <si>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</si>
  <si>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</si>
  <si>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</si>
  <si>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</si>
  <si>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</si>
  <si>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</si>
  <si>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</si>
  <si>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</si>
  <si>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</si>
  <si>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</si>
  <si>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</si>
  <si>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</si>
  <si>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</si>
  <si>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</si>
  <si>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</si>
  <si>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</si>
  <si>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</si>
  <si>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</si>
  <si>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</si>
  <si>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</si>
  <si>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</si>
  <si>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</si>
  <si>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</si>
  <si>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</si>
  <si>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</si>
  <si>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</si>
  <si>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</si>
  <si>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</si>
  <si>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</si>
  <si>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</si>
  <si>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</si>
  <si>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</si>
  <si>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</si>
  <si>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</si>
  <si>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</si>
  <si>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</si>
  <si>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</si>
  <si>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</si>
  <si>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</si>
  <si>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</si>
  <si>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</si>
  <si>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</si>
  <si>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</si>
  <si>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</si>
  <si>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</si>
  <si>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</si>
  <si>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</si>
  <si>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</si>
  <si>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</si>
  <si>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</si>
  <si>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</si>
  <si>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</si>
  <si>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</si>
  <si>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</si>
  <si>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</si>
  <si>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</si>
  <si>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</si>
  <si>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</si>
  <si>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</si>
  <si>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</si>
  <si>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</si>
  <si>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</si>
  <si>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</si>
  <si>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</si>
  <si>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</si>
  <si>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</si>
  <si>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</si>
  <si>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</si>
  <si>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</si>
  <si>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</si>
  <si>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</si>
  <si>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</si>
  <si>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</si>
  <si>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</si>
  <si>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</si>
  <si>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</si>
  <si>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</si>
  <si>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</si>
  <si>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</si>
  <si>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</si>
  <si>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</si>
  <si>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</si>
  <si>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</si>
  <si>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</si>
  <si>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</si>
  <si>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</si>
  <si>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</si>
  <si>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</si>
  <si>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</si>
  <si>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</si>
  <si>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</si>
  <si>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</si>
  <si>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</si>
  <si>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</si>
  <si>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</si>
  <si>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</si>
  <si>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</si>
  <si>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</si>
  <si>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</si>
  <si>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</si>
  <si>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</si>
  <si>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</si>
  <si>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</si>
  <si>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</si>
  <si>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</si>
  <si>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</si>
  <si>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</si>
  <si>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</si>
  <si>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</si>
  <si>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</si>
  <si>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</si>
  <si>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</si>
  <si>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</si>
  <si>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</si>
  <si>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</si>
  <si>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</si>
  <si>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</si>
  <si>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</si>
  <si>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</si>
  <si>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</si>
  <si>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</si>
  <si>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</si>
  <si>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</si>
  <si>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</si>
  <si>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</si>
  <si>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</si>
  <si>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</si>
  <si>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</si>
  <si>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</si>
  <si>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</si>
  <si>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</si>
  <si>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</si>
  <si>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</si>
  <si>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</si>
  <si>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</si>
  <si>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</si>
  <si>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</si>
  <si>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</si>
  <si>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</si>
  <si>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</si>
  <si>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</si>
  <si>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</si>
  <si>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</si>
  <si>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</si>
  <si>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</si>
  <si>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</si>
  <si>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</si>
  <si>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</si>
  <si>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</si>
  <si>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</si>
  <si>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</si>
  <si>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</si>
  <si>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</si>
  <si>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</si>
  <si>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</si>
  <si>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</si>
  <si>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</si>
  <si>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</si>
  <si>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</si>
  <si>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</si>
  <si>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</si>
  <si>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</si>
  <si>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</si>
  <si>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</si>
  <si>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</si>
  <si>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</si>
  <si>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</si>
  <si>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</si>
  <si>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</si>
  <si>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</si>
  <si>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</si>
  <si>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STAMFORD HEALTH SYSTEM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</si>
  <si>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</si>
  <si>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</si>
  <si>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</si>
  <si>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</si>
  <si>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</si>
  <si>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</si>
  <si>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</si>
  <si>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</si>
  <si>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</si>
  <si>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</si>
  <si>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</si>
  <si>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</si>
  <si>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</si>
  <si>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</si>
  <si>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</si>
  <si>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</si>
  <si>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</si>
  <si>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</si>
  <si>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</si>
  <si>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</si>
  <si>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</si>
  <si>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</si>
  <si>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</si>
  <si>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</si>
  <si>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</si>
  <si>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</si>
  <si>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</si>
  <si>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</si>
  <si>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</si>
  <si>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</si>
  <si>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</si>
  <si>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</si>
  <si>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</si>
  <si>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</si>
  <si>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</si>
  <si>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</si>
  <si>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</si>
  <si>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</si>
  <si>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</si>
  <si>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</si>
  <si>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</si>
  <si>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</si>
  <si>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</si>
  <si>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</si>
  <si>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</si>
  <si>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</si>
  <si>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</si>
  <si>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</si>
  <si>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</si>
  <si>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</si>
  <si>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</si>
  <si>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</si>
  <si>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</si>
  <si>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</si>
  <si>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</si>
  <si>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</si>
  <si>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</si>
  <si>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</si>
  <si>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</si>
  <si>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</si>
  <si>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</si>
  <si>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</si>
  <si>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</si>
  <si>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</si>
  <si>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</si>
  <si>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</si>
  <si>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</si>
  <si>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</si>
  <si>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</si>
  <si>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</si>
  <si>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</si>
  <si>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</si>
  <si>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</si>
  <si>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</si>
  <si>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</si>
  <si>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</si>
  <si>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</si>
  <si>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</si>
  <si>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</si>
  <si>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</si>
  <si>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</si>
  <si>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</si>
  <si>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</si>
  <si>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</si>
  <si>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</si>
  <si>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</si>
  <si>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</si>
  <si>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</si>
  <si>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</si>
  <si>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</si>
  <si>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</si>
  <si>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</si>
  <si>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</si>
  <si>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</si>
  <si>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</si>
  <si>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</si>
  <si>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</si>
  <si>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</si>
  <si>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</si>
  <si>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</si>
  <si>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</si>
  <si>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</si>
  <si>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</si>
  <si>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Stamford Hospital</t>
  </si>
  <si>
    <t>Tully Health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</si>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</sst>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9668000</v>
      </c>
      <c r="D13" s="23">
        <v>49254000</v>
      </c>
      <c r="E13" s="23">
        <f t="shared" ref="E13:E22" si="0">D13-C13</f>
        <v>39586000</v>
      </c>
      <c r="F13" s="24">
        <f t="shared" ref="F13:F22" si="1">IF(C13=0,0,E13/C13)</f>
        <v>4.0945386843194038</v>
      </c>
    </row>
    <row r="14" spans="1:8" ht="24" customHeight="1" x14ac:dyDescent="0.2">
      <c r="A14" s="21">
        <v>2</v>
      </c>
      <c r="B14" s="22" t="s">
        <v>17</v>
      </c>
      <c r="C14" s="23">
        <v>166000</v>
      </c>
      <c r="D14" s="23">
        <v>188000</v>
      </c>
      <c r="E14" s="23">
        <f t="shared" si="0"/>
        <v>22000</v>
      </c>
      <c r="F14" s="24">
        <f t="shared" si="1"/>
        <v>0.13253012048192772</v>
      </c>
    </row>
    <row r="15" spans="1:8" ht="32.25" customHeight="1" x14ac:dyDescent="0.2">
      <c r="A15" s="21">
        <v>3</v>
      </c>
      <c r="B15" s="22" t="s">
        <v>18</v>
      </c>
      <c r="C15" s="23">
        <v>50590000</v>
      </c>
      <c r="D15" s="23">
        <v>50691000</v>
      </c>
      <c r="E15" s="23">
        <f t="shared" si="0"/>
        <v>101000</v>
      </c>
      <c r="F15" s="24">
        <f t="shared" si="1"/>
        <v>1.9964419845819332E-3</v>
      </c>
    </row>
    <row r="16" spans="1:8" ht="24" customHeight="1" x14ac:dyDescent="0.2">
      <c r="A16" s="21">
        <v>4</v>
      </c>
      <c r="B16" s="22" t="s">
        <v>19</v>
      </c>
      <c r="C16" s="23">
        <v>2254000</v>
      </c>
      <c r="D16" s="23">
        <v>2497000</v>
      </c>
      <c r="E16" s="23">
        <f t="shared" si="0"/>
        <v>243000</v>
      </c>
      <c r="F16" s="24">
        <f t="shared" si="1"/>
        <v>0.10780834072759539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2899000</v>
      </c>
      <c r="D18" s="23">
        <v>3941000</v>
      </c>
      <c r="E18" s="23">
        <f t="shared" si="0"/>
        <v>1042000</v>
      </c>
      <c r="F18" s="24">
        <f t="shared" si="1"/>
        <v>0.35943428768540875</v>
      </c>
    </row>
    <row r="19" spans="1:11" ht="24" customHeight="1" x14ac:dyDescent="0.2">
      <c r="A19" s="21">
        <v>7</v>
      </c>
      <c r="B19" s="22" t="s">
        <v>22</v>
      </c>
      <c r="C19" s="23">
        <v>5144000</v>
      </c>
      <c r="D19" s="23">
        <v>4742000</v>
      </c>
      <c r="E19" s="23">
        <f t="shared" si="0"/>
        <v>-402000</v>
      </c>
      <c r="F19" s="24">
        <f t="shared" si="1"/>
        <v>-7.814930015552099E-2</v>
      </c>
    </row>
    <row r="20" spans="1:11" ht="24" customHeight="1" x14ac:dyDescent="0.2">
      <c r="A20" s="21">
        <v>8</v>
      </c>
      <c r="B20" s="22" t="s">
        <v>23</v>
      </c>
      <c r="C20" s="23">
        <v>3690000</v>
      </c>
      <c r="D20" s="23">
        <v>4094000</v>
      </c>
      <c r="E20" s="23">
        <f t="shared" si="0"/>
        <v>404000</v>
      </c>
      <c r="F20" s="24">
        <f t="shared" si="1"/>
        <v>0.10948509485094851</v>
      </c>
    </row>
    <row r="21" spans="1:11" ht="24" customHeight="1" x14ac:dyDescent="0.2">
      <c r="A21" s="21">
        <v>9</v>
      </c>
      <c r="B21" s="22" t="s">
        <v>24</v>
      </c>
      <c r="C21" s="23">
        <v>1243000</v>
      </c>
      <c r="D21" s="23">
        <v>176000</v>
      </c>
      <c r="E21" s="23">
        <f t="shared" si="0"/>
        <v>-1067000</v>
      </c>
      <c r="F21" s="24">
        <f t="shared" si="1"/>
        <v>-0.8584070796460177</v>
      </c>
    </row>
    <row r="22" spans="1:11" ht="24" customHeight="1" x14ac:dyDescent="0.25">
      <c r="A22" s="25"/>
      <c r="B22" s="26" t="s">
        <v>25</v>
      </c>
      <c r="C22" s="27">
        <f>SUM(C13:C21)</f>
        <v>75654000</v>
      </c>
      <c r="D22" s="27">
        <f>SUM(D13:D21)</f>
        <v>115583000</v>
      </c>
      <c r="E22" s="27">
        <f t="shared" si="0"/>
        <v>39929000</v>
      </c>
      <c r="F22" s="28">
        <f t="shared" si="1"/>
        <v>0.52778438681365158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26439000</v>
      </c>
      <c r="D28" s="23">
        <v>33570000</v>
      </c>
      <c r="E28" s="23">
        <f>D28-C28</f>
        <v>7131000</v>
      </c>
      <c r="F28" s="24">
        <f>IF(C28=0,0,E28/C28)</f>
        <v>0.26971519346420059</v>
      </c>
    </row>
    <row r="29" spans="1:11" ht="24" customHeight="1" x14ac:dyDescent="0.25">
      <c r="A29" s="25"/>
      <c r="B29" s="26" t="s">
        <v>32</v>
      </c>
      <c r="C29" s="27">
        <f>SUM(C25:C28)</f>
        <v>26439000</v>
      </c>
      <c r="D29" s="27">
        <f>SUM(D25:D28)</f>
        <v>33570000</v>
      </c>
      <c r="E29" s="27">
        <f>D29-C29</f>
        <v>7131000</v>
      </c>
      <c r="F29" s="28">
        <f>IF(C29=0,0,E29/C29)</f>
        <v>0.26971519346420059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34115000</v>
      </c>
      <c r="D32" s="23">
        <v>36046000</v>
      </c>
      <c r="E32" s="23">
        <f>D32-C32</f>
        <v>1931000</v>
      </c>
      <c r="F32" s="24">
        <f>IF(C32=0,0,E32/C32)</f>
        <v>5.6602667448336509E-2</v>
      </c>
    </row>
    <row r="33" spans="1:8" ht="24" customHeight="1" x14ac:dyDescent="0.2">
      <c r="A33" s="21">
        <v>7</v>
      </c>
      <c r="B33" s="22" t="s">
        <v>35</v>
      </c>
      <c r="C33" s="23">
        <v>2273000</v>
      </c>
      <c r="D33" s="23">
        <v>4453000</v>
      </c>
      <c r="E33" s="23">
        <f>D33-C33</f>
        <v>2180000</v>
      </c>
      <c r="F33" s="24">
        <f>IF(C33=0,0,E33/C33)</f>
        <v>0.95908490981082273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458928000</v>
      </c>
      <c r="D36" s="23">
        <v>504669000</v>
      </c>
      <c r="E36" s="23">
        <f>D36-C36</f>
        <v>45741000</v>
      </c>
      <c r="F36" s="24">
        <f>IF(C36=0,0,E36/C36)</f>
        <v>9.9669229160129699E-2</v>
      </c>
    </row>
    <row r="37" spans="1:8" ht="24" customHeight="1" x14ac:dyDescent="0.2">
      <c r="A37" s="21">
        <v>2</v>
      </c>
      <c r="B37" s="22" t="s">
        <v>39</v>
      </c>
      <c r="C37" s="23">
        <v>262993000</v>
      </c>
      <c r="D37" s="23">
        <v>285332000</v>
      </c>
      <c r="E37" s="23">
        <f>D37-C37</f>
        <v>22339000</v>
      </c>
      <c r="F37" s="24">
        <f>IF(C37=0,0,E37/C37)</f>
        <v>8.494142429646416E-2</v>
      </c>
    </row>
    <row r="38" spans="1:8" ht="24" customHeight="1" x14ac:dyDescent="0.25">
      <c r="A38" s="25"/>
      <c r="B38" s="26" t="s">
        <v>40</v>
      </c>
      <c r="C38" s="27">
        <f>C36-C37</f>
        <v>195935000</v>
      </c>
      <c r="D38" s="27">
        <f>D36-D37</f>
        <v>219337000</v>
      </c>
      <c r="E38" s="27">
        <f>D38-C38</f>
        <v>23402000</v>
      </c>
      <c r="F38" s="28">
        <f>IF(C38=0,0,E38/C38)</f>
        <v>0.11943756858141731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14792000</v>
      </c>
      <c r="D40" s="23">
        <v>19984000</v>
      </c>
      <c r="E40" s="23">
        <f>D40-C40</f>
        <v>5192000</v>
      </c>
      <c r="F40" s="24">
        <f>IF(C40=0,0,E40/C40)</f>
        <v>0.35100054083288262</v>
      </c>
    </row>
    <row r="41" spans="1:8" ht="24" customHeight="1" x14ac:dyDescent="0.25">
      <c r="A41" s="25"/>
      <c r="B41" s="26" t="s">
        <v>42</v>
      </c>
      <c r="C41" s="27">
        <f>+C38+C40</f>
        <v>210727000</v>
      </c>
      <c r="D41" s="27">
        <f>+D38+D40</f>
        <v>239321000</v>
      </c>
      <c r="E41" s="27">
        <f>D41-C41</f>
        <v>28594000</v>
      </c>
      <c r="F41" s="28">
        <f>IF(C41=0,0,E41/C41)</f>
        <v>0.13569215145662397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349208000</v>
      </c>
      <c r="D43" s="27">
        <f>D22+D29+D31+D32+D33+D41</f>
        <v>428973000</v>
      </c>
      <c r="E43" s="27">
        <f>D43-C43</f>
        <v>79765000</v>
      </c>
      <c r="F43" s="28">
        <f>IF(C43=0,0,E43/C43)</f>
        <v>0.22841687475659206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24296000</v>
      </c>
      <c r="D49" s="23">
        <v>26901000</v>
      </c>
      <c r="E49" s="23">
        <f t="shared" ref="E49:E56" si="2">D49-C49</f>
        <v>2605000</v>
      </c>
      <c r="F49" s="24">
        <f t="shared" ref="F49:F56" si="3">IF(C49=0,0,E49/C49)</f>
        <v>0.10721929535726045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9118000</v>
      </c>
      <c r="D50" s="23">
        <v>10547000</v>
      </c>
      <c r="E50" s="23">
        <f t="shared" si="2"/>
        <v>1429000</v>
      </c>
      <c r="F50" s="24">
        <f t="shared" si="3"/>
        <v>0.15672296556262338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4219000</v>
      </c>
      <c r="D51" s="23">
        <v>2813000</v>
      </c>
      <c r="E51" s="23">
        <f t="shared" si="2"/>
        <v>-1406000</v>
      </c>
      <c r="F51" s="24">
        <f t="shared" si="3"/>
        <v>-0.33325432566958996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6003000</v>
      </c>
      <c r="D53" s="23">
        <v>4413000</v>
      </c>
      <c r="E53" s="23">
        <f t="shared" si="2"/>
        <v>-1590000</v>
      </c>
      <c r="F53" s="24">
        <f t="shared" si="3"/>
        <v>-0.26486756621689156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20364000</v>
      </c>
      <c r="D55" s="23">
        <v>22614000</v>
      </c>
      <c r="E55" s="23">
        <f t="shared" si="2"/>
        <v>2250000</v>
      </c>
      <c r="F55" s="24">
        <f t="shared" si="3"/>
        <v>0.11048909840895699</v>
      </c>
    </row>
    <row r="56" spans="1:6" ht="24" customHeight="1" x14ac:dyDescent="0.25">
      <c r="A56" s="25"/>
      <c r="B56" s="26" t="s">
        <v>54</v>
      </c>
      <c r="C56" s="27">
        <f>SUM(C49:C55)</f>
        <v>64000000</v>
      </c>
      <c r="D56" s="27">
        <f>SUM(D49:D55)</f>
        <v>67288000</v>
      </c>
      <c r="E56" s="27">
        <f t="shared" si="2"/>
        <v>3288000</v>
      </c>
      <c r="F56" s="28">
        <f t="shared" si="3"/>
        <v>5.1374999999999997E-2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110395000</v>
      </c>
      <c r="D60" s="23">
        <v>130114000</v>
      </c>
      <c r="E60" s="23">
        <f>D60-C60</f>
        <v>19719000</v>
      </c>
      <c r="F60" s="24">
        <f>IF(C60=0,0,E60/C60)</f>
        <v>0.17862222020924862</v>
      </c>
    </row>
    <row r="61" spans="1:6" ht="24" customHeight="1" x14ac:dyDescent="0.25">
      <c r="A61" s="25"/>
      <c r="B61" s="26" t="s">
        <v>58</v>
      </c>
      <c r="C61" s="27">
        <f>SUM(C59:C60)</f>
        <v>110395000</v>
      </c>
      <c r="D61" s="27">
        <f>SUM(D59:D60)</f>
        <v>130114000</v>
      </c>
      <c r="E61" s="27">
        <f>D61-C61</f>
        <v>19719000</v>
      </c>
      <c r="F61" s="28">
        <f>IF(C61=0,0,E61/C61)</f>
        <v>0.17862222020924862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63748000</v>
      </c>
      <c r="D63" s="23">
        <v>80204000</v>
      </c>
      <c r="E63" s="23">
        <f>D63-C63</f>
        <v>16456000</v>
      </c>
      <c r="F63" s="24">
        <f>IF(C63=0,0,E63/C63)</f>
        <v>0.25814143188805921</v>
      </c>
    </row>
    <row r="64" spans="1:6" ht="24" customHeight="1" x14ac:dyDescent="0.2">
      <c r="A64" s="21">
        <v>4</v>
      </c>
      <c r="B64" s="22" t="s">
        <v>60</v>
      </c>
      <c r="C64" s="23">
        <v>40252000</v>
      </c>
      <c r="D64" s="23">
        <v>41784000</v>
      </c>
      <c r="E64" s="23">
        <f>D64-C64</f>
        <v>1532000</v>
      </c>
      <c r="F64" s="24">
        <f>IF(C64=0,0,E64/C64)</f>
        <v>3.8060220610156015E-2</v>
      </c>
    </row>
    <row r="65" spans="1:6" ht="24" customHeight="1" x14ac:dyDescent="0.25">
      <c r="A65" s="25"/>
      <c r="B65" s="26" t="s">
        <v>61</v>
      </c>
      <c r="C65" s="27">
        <f>SUM(C61:C64)</f>
        <v>214395000</v>
      </c>
      <c r="D65" s="27">
        <f>SUM(D61:D64)</f>
        <v>252102000</v>
      </c>
      <c r="E65" s="27">
        <f>D65-C65</f>
        <v>37707000</v>
      </c>
      <c r="F65" s="28">
        <f>IF(C65=0,0,E65/C65)</f>
        <v>0.17587630308542643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42615000</v>
      </c>
      <c r="D70" s="23">
        <v>82055000</v>
      </c>
      <c r="E70" s="23">
        <f>D70-C70</f>
        <v>39440000</v>
      </c>
      <c r="F70" s="24">
        <f>IF(C70=0,0,E70/C70)</f>
        <v>0.92549571747037429</v>
      </c>
    </row>
    <row r="71" spans="1:6" ht="24" customHeight="1" x14ac:dyDescent="0.2">
      <c r="A71" s="21">
        <v>2</v>
      </c>
      <c r="B71" s="22" t="s">
        <v>65</v>
      </c>
      <c r="C71" s="23">
        <v>20215000</v>
      </c>
      <c r="D71" s="23">
        <v>19495000</v>
      </c>
      <c r="E71" s="23">
        <f>D71-C71</f>
        <v>-720000</v>
      </c>
      <c r="F71" s="24">
        <f>IF(C71=0,0,E71/C71)</f>
        <v>-3.5617116002968095E-2</v>
      </c>
    </row>
    <row r="72" spans="1:6" ht="24" customHeight="1" x14ac:dyDescent="0.2">
      <c r="A72" s="21">
        <v>3</v>
      </c>
      <c r="B72" s="22" t="s">
        <v>66</v>
      </c>
      <c r="C72" s="23">
        <v>7983000</v>
      </c>
      <c r="D72" s="23">
        <v>8033000</v>
      </c>
      <c r="E72" s="23">
        <f>D72-C72</f>
        <v>50000</v>
      </c>
      <c r="F72" s="24">
        <f>IF(C72=0,0,E72/C72)</f>
        <v>6.2633095327571092E-3</v>
      </c>
    </row>
    <row r="73" spans="1:6" ht="24" customHeight="1" x14ac:dyDescent="0.25">
      <c r="A73" s="21"/>
      <c r="B73" s="26" t="s">
        <v>67</v>
      </c>
      <c r="C73" s="27">
        <f>SUM(C70:C72)</f>
        <v>70813000</v>
      </c>
      <c r="D73" s="27">
        <f>SUM(D70:D72)</f>
        <v>109583000</v>
      </c>
      <c r="E73" s="27">
        <f>D73-C73</f>
        <v>38770000</v>
      </c>
      <c r="F73" s="28">
        <f>IF(C73=0,0,E73/C73)</f>
        <v>0.54749834070015391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349208000</v>
      </c>
      <c r="D75" s="27">
        <f>D56+D65+D67+D73</f>
        <v>428973000</v>
      </c>
      <c r="E75" s="27">
        <f>D75-C75</f>
        <v>79765000</v>
      </c>
      <c r="F75" s="28">
        <f>IF(C75=0,0,E75/C75)</f>
        <v>0.22841687475659206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FILING&amp;RSTAMFORD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381968990</v>
      </c>
      <c r="D11" s="51">
        <v>415589837</v>
      </c>
      <c r="E11" s="51">
        <v>427931124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52150010</v>
      </c>
      <c r="D12" s="49">
        <v>66911271</v>
      </c>
      <c r="E12" s="49">
        <v>65657318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434119000</v>
      </c>
      <c r="D13" s="51">
        <f>+D11+D12</f>
        <v>482501108</v>
      </c>
      <c r="E13" s="51">
        <f>+E11+E12</f>
        <v>493588442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415064049</v>
      </c>
      <c r="D14" s="49">
        <v>457532316</v>
      </c>
      <c r="E14" s="49">
        <v>470884231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19054951</v>
      </c>
      <c r="D15" s="51">
        <f>+D13-D14</f>
        <v>24968792</v>
      </c>
      <c r="E15" s="51">
        <f>+E13-E14</f>
        <v>22704211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-15537951</v>
      </c>
      <c r="D16" s="49">
        <v>-3299305</v>
      </c>
      <c r="E16" s="49">
        <v>4877409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3517000</v>
      </c>
      <c r="D17" s="51">
        <f>D15+D16</f>
        <v>21669487</v>
      </c>
      <c r="E17" s="51">
        <f>E15+E16</f>
        <v>27581620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4.5522727427633733E-2</v>
      </c>
      <c r="D20" s="169">
        <f>IF(+D27=0,0,+D24/+D27)</f>
        <v>5.2104962551653838E-2</v>
      </c>
      <c r="E20" s="169">
        <f>IF(+E27=0,0,+E24/+E27)</f>
        <v>4.5548177381563498E-2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-3.7120531464863334E-2</v>
      </c>
      <c r="D21" s="169">
        <f>IF(+D27=0,0,+D26/+D27)</f>
        <v>-6.8850012235867983E-3</v>
      </c>
      <c r="E21" s="169">
        <f>IF(+E27=0,0,+E26/+E27)</f>
        <v>9.7848408074799088E-3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8.4021959627704028E-3</v>
      </c>
      <c r="D22" s="169">
        <f>IF(+D27=0,0,+D28/+D27)</f>
        <v>4.5219961328067042E-2</v>
      </c>
      <c r="E22" s="169">
        <f>IF(+E27=0,0,+E28/+E27)</f>
        <v>5.5333018189043404E-2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19054951</v>
      </c>
      <c r="D24" s="51">
        <f>+D15</f>
        <v>24968792</v>
      </c>
      <c r="E24" s="51">
        <f>+E15</f>
        <v>22704211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434119000</v>
      </c>
      <c r="D25" s="51">
        <f>+D13</f>
        <v>482501108</v>
      </c>
      <c r="E25" s="51">
        <f>+E13</f>
        <v>493588442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-15537951</v>
      </c>
      <c r="D26" s="51">
        <f>+D16</f>
        <v>-3299305</v>
      </c>
      <c r="E26" s="51">
        <f>+E16</f>
        <v>4877409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418581049</v>
      </c>
      <c r="D27" s="51">
        <f>SUM(D25:D26)</f>
        <v>479201803</v>
      </c>
      <c r="E27" s="51">
        <f>SUM(E25:E26)</f>
        <v>498465851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3517000</v>
      </c>
      <c r="D28" s="51">
        <f>+D17</f>
        <v>21669487</v>
      </c>
      <c r="E28" s="51">
        <f>+E17</f>
        <v>27581620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161263000</v>
      </c>
      <c r="D31" s="51">
        <v>137780000</v>
      </c>
      <c r="E31" s="52">
        <v>148882000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193728000</v>
      </c>
      <c r="D32" s="51">
        <v>168386000</v>
      </c>
      <c r="E32" s="51">
        <v>178818000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-7356000</v>
      </c>
      <c r="D33" s="51">
        <f>+D32-C32</f>
        <v>-25342000</v>
      </c>
      <c r="E33" s="51">
        <f>+E32-D32</f>
        <v>10432000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0.96340000000000003</v>
      </c>
      <c r="D34" s="171">
        <f>IF(C32=0,0,+D33/C32)</f>
        <v>-0.13081227287743641</v>
      </c>
      <c r="E34" s="171">
        <f>IF(D32=0,0,+E33/D32)</f>
        <v>6.1952893946052523E-2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1.281243909908405</v>
      </c>
      <c r="D38" s="269">
        <f>IF(+D40=0,0,+D39/+D40)</f>
        <v>1.3216834354590614</v>
      </c>
      <c r="E38" s="269">
        <f>IF(+E40=0,0,+E39/+E40)</f>
        <v>1.7057940624655115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92042000</v>
      </c>
      <c r="D39" s="270">
        <v>104828000</v>
      </c>
      <c r="E39" s="270">
        <v>154562000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71838000</v>
      </c>
      <c r="D40" s="270">
        <v>79314000</v>
      </c>
      <c r="E40" s="270">
        <v>90610000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23.546570604726131</v>
      </c>
      <c r="D42" s="271">
        <f>IF((D48/365)=0,0,+D45/(D48/365))</f>
        <v>28.782412789479693</v>
      </c>
      <c r="E42" s="271">
        <f>IF((E48/365)=0,0,+E45/(E48/365))</f>
        <v>69.102739855911324</v>
      </c>
    </row>
    <row r="43" spans="1:14" ht="24" customHeight="1" x14ac:dyDescent="0.2">
      <c r="A43" s="17">
        <v>5</v>
      </c>
      <c r="B43" s="188" t="s">
        <v>16</v>
      </c>
      <c r="C43" s="272">
        <v>15009000</v>
      </c>
      <c r="D43" s="272">
        <v>33269000</v>
      </c>
      <c r="E43" s="272">
        <v>58541000</v>
      </c>
    </row>
    <row r="44" spans="1:14" ht="24" customHeight="1" x14ac:dyDescent="0.2">
      <c r="A44" s="17">
        <v>6</v>
      </c>
      <c r="B44" s="273" t="s">
        <v>17</v>
      </c>
      <c r="C44" s="274">
        <v>10121000</v>
      </c>
      <c r="D44" s="274">
        <v>166000</v>
      </c>
      <c r="E44" s="274">
        <v>24454000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25130000</v>
      </c>
      <c r="D45" s="270">
        <f>+D43+D44</f>
        <v>33435000</v>
      </c>
      <c r="E45" s="270">
        <f>+E43+E44</f>
        <v>82995000</v>
      </c>
    </row>
    <row r="46" spans="1:14" ht="24" customHeight="1" x14ac:dyDescent="0.2">
      <c r="A46" s="17">
        <v>8</v>
      </c>
      <c r="B46" s="45" t="s">
        <v>324</v>
      </c>
      <c r="C46" s="270">
        <f>+C14</f>
        <v>415064049</v>
      </c>
      <c r="D46" s="270">
        <f>+D14</f>
        <v>457532316</v>
      </c>
      <c r="E46" s="270">
        <f>+E14</f>
        <v>470884231</v>
      </c>
    </row>
    <row r="47" spans="1:14" ht="24" customHeight="1" x14ac:dyDescent="0.2">
      <c r="A47" s="17">
        <v>9</v>
      </c>
      <c r="B47" s="45" t="s">
        <v>347</v>
      </c>
      <c r="C47" s="270">
        <v>25519000</v>
      </c>
      <c r="D47" s="270">
        <v>33531205</v>
      </c>
      <c r="E47" s="270">
        <v>32505448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389545049</v>
      </c>
      <c r="D48" s="270">
        <f>+D46-D47</f>
        <v>424001111</v>
      </c>
      <c r="E48" s="270">
        <f>+E46-E47</f>
        <v>438378783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45.946910507054511</v>
      </c>
      <c r="D50" s="278">
        <f>IF((D55/365)=0,0,+D54/(D55/365))</f>
        <v>35.409203233234983</v>
      </c>
      <c r="E50" s="278">
        <f>IF((E55/365)=0,0,+E54/(E55/365))</f>
        <v>36.125463031289115</v>
      </c>
    </row>
    <row r="51" spans="1:5" ht="24" customHeight="1" x14ac:dyDescent="0.2">
      <c r="A51" s="17">
        <v>12</v>
      </c>
      <c r="B51" s="188" t="s">
        <v>350</v>
      </c>
      <c r="C51" s="279">
        <v>50841000</v>
      </c>
      <c r="D51" s="279">
        <v>51211000</v>
      </c>
      <c r="E51" s="279">
        <v>51581000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2758000</v>
      </c>
      <c r="D53" s="270">
        <v>10894000</v>
      </c>
      <c r="E53" s="270">
        <v>9227000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48083000</v>
      </c>
      <c r="D54" s="280">
        <f>+D51+D52-D53</f>
        <v>40317000</v>
      </c>
      <c r="E54" s="280">
        <f>+E51+E52-E53</f>
        <v>42354000</v>
      </c>
    </row>
    <row r="55" spans="1:5" ht="24" customHeight="1" x14ac:dyDescent="0.2">
      <c r="A55" s="17">
        <v>16</v>
      </c>
      <c r="B55" s="45" t="s">
        <v>75</v>
      </c>
      <c r="C55" s="270">
        <f>+C11</f>
        <v>381968990</v>
      </c>
      <c r="D55" s="270">
        <f>+D11</f>
        <v>415589837</v>
      </c>
      <c r="E55" s="270">
        <f>+E11</f>
        <v>427931124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67.311521651504805</v>
      </c>
      <c r="D57" s="283">
        <f>IF((D61/365)=0,0,+D58/(D61/365))</f>
        <v>68.277203169875648</v>
      </c>
      <c r="E57" s="283">
        <f>IF((E61/365)=0,0,+E58/(E61/365))</f>
        <v>75.44309004571511</v>
      </c>
    </row>
    <row r="58" spans="1:5" ht="24" customHeight="1" x14ac:dyDescent="0.2">
      <c r="A58" s="17">
        <v>18</v>
      </c>
      <c r="B58" s="45" t="s">
        <v>54</v>
      </c>
      <c r="C58" s="281">
        <f>+C40</f>
        <v>71838000</v>
      </c>
      <c r="D58" s="281">
        <f>+D40</f>
        <v>79314000</v>
      </c>
      <c r="E58" s="281">
        <f>+E40</f>
        <v>90610000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415064049</v>
      </c>
      <c r="D59" s="281">
        <f t="shared" si="0"/>
        <v>457532316</v>
      </c>
      <c r="E59" s="281">
        <f t="shared" si="0"/>
        <v>470884231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25519000</v>
      </c>
      <c r="D60" s="176">
        <f t="shared" si="0"/>
        <v>33531205</v>
      </c>
      <c r="E60" s="176">
        <f t="shared" si="0"/>
        <v>32505448</v>
      </c>
    </row>
    <row r="61" spans="1:5" ht="24" customHeight="1" x14ac:dyDescent="0.2">
      <c r="A61" s="17">
        <v>21</v>
      </c>
      <c r="B61" s="45" t="s">
        <v>353</v>
      </c>
      <c r="C61" s="281">
        <f>+C59-C60</f>
        <v>389545049</v>
      </c>
      <c r="D61" s="281">
        <f>+D59-D60</f>
        <v>424001111</v>
      </c>
      <c r="E61" s="281">
        <f>+E59-E60</f>
        <v>438378783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35.00553827917625</v>
      </c>
      <c r="D65" s="284">
        <f>IF(D67=0,0,(D66/D67)*100)</f>
        <v>29.510339992989838</v>
      </c>
      <c r="E65" s="284">
        <f>IF(E67=0,0,(E66/E67)*100)</f>
        <v>28.477604809491581</v>
      </c>
    </row>
    <row r="66" spans="1:5" ht="24" customHeight="1" x14ac:dyDescent="0.2">
      <c r="A66" s="17">
        <v>2</v>
      </c>
      <c r="B66" s="45" t="s">
        <v>67</v>
      </c>
      <c r="C66" s="281">
        <f>+C32</f>
        <v>193728000</v>
      </c>
      <c r="D66" s="281">
        <f>+D32</f>
        <v>168386000</v>
      </c>
      <c r="E66" s="281">
        <f>+E32</f>
        <v>178818000</v>
      </c>
    </row>
    <row r="67" spans="1:5" ht="24" customHeight="1" x14ac:dyDescent="0.2">
      <c r="A67" s="17">
        <v>3</v>
      </c>
      <c r="B67" s="45" t="s">
        <v>43</v>
      </c>
      <c r="C67" s="281">
        <v>553421000</v>
      </c>
      <c r="D67" s="281">
        <v>570600000</v>
      </c>
      <c r="E67" s="281">
        <v>627925000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14.200685678513613</v>
      </c>
      <c r="D69" s="284">
        <f>IF(D75=0,0,(D72/D75)*100)</f>
        <v>26.181194359730792</v>
      </c>
      <c r="E69" s="284">
        <f>IF(E75=0,0,(E72/E75)*100)</f>
        <v>25.27289582045232</v>
      </c>
    </row>
    <row r="70" spans="1:5" ht="24" customHeight="1" x14ac:dyDescent="0.2">
      <c r="A70" s="17">
        <v>5</v>
      </c>
      <c r="B70" s="45" t="s">
        <v>358</v>
      </c>
      <c r="C70" s="281">
        <f>+C28</f>
        <v>3517000</v>
      </c>
      <c r="D70" s="281">
        <f>+D28</f>
        <v>21669487</v>
      </c>
      <c r="E70" s="281">
        <f>+E28</f>
        <v>27581620</v>
      </c>
    </row>
    <row r="71" spans="1:5" ht="24" customHeight="1" x14ac:dyDescent="0.2">
      <c r="A71" s="17">
        <v>6</v>
      </c>
      <c r="B71" s="45" t="s">
        <v>347</v>
      </c>
      <c r="C71" s="176">
        <f>+C47</f>
        <v>25519000</v>
      </c>
      <c r="D71" s="176">
        <f>+D47</f>
        <v>33531205</v>
      </c>
      <c r="E71" s="176">
        <f>+E47</f>
        <v>32505448</v>
      </c>
    </row>
    <row r="72" spans="1:5" ht="24" customHeight="1" x14ac:dyDescent="0.2">
      <c r="A72" s="17">
        <v>7</v>
      </c>
      <c r="B72" s="45" t="s">
        <v>359</v>
      </c>
      <c r="C72" s="281">
        <f>+C70+C71</f>
        <v>29036000</v>
      </c>
      <c r="D72" s="281">
        <f>+D70+D71</f>
        <v>55200692</v>
      </c>
      <c r="E72" s="281">
        <f>+E70+E71</f>
        <v>60087068</v>
      </c>
    </row>
    <row r="73" spans="1:5" ht="24" customHeight="1" x14ac:dyDescent="0.2">
      <c r="A73" s="17">
        <v>8</v>
      </c>
      <c r="B73" s="45" t="s">
        <v>54</v>
      </c>
      <c r="C73" s="270">
        <f>+C40</f>
        <v>71838000</v>
      </c>
      <c r="D73" s="270">
        <f>+D40</f>
        <v>79314000</v>
      </c>
      <c r="E73" s="270">
        <f>+E40</f>
        <v>90610000</v>
      </c>
    </row>
    <row r="74" spans="1:5" ht="24" customHeight="1" x14ac:dyDescent="0.2">
      <c r="A74" s="17">
        <v>9</v>
      </c>
      <c r="B74" s="45" t="s">
        <v>58</v>
      </c>
      <c r="C74" s="281">
        <v>132631000</v>
      </c>
      <c r="D74" s="281">
        <v>131527000</v>
      </c>
      <c r="E74" s="281">
        <v>147143000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204469000</v>
      </c>
      <c r="D75" s="270">
        <f>+D73+D74</f>
        <v>210841000</v>
      </c>
      <c r="E75" s="270">
        <f>+E73+E74</f>
        <v>237753000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40.639602401036896</v>
      </c>
      <c r="D77" s="286">
        <f>IF(D80=0,0,(D78/D80)*100)</f>
        <v>43.855051298209816</v>
      </c>
      <c r="E77" s="286">
        <f>IF(E80=0,0,(E78/E80)*100)</f>
        <v>45.141289908915482</v>
      </c>
    </row>
    <row r="78" spans="1:5" ht="24" customHeight="1" x14ac:dyDescent="0.2">
      <c r="A78" s="17">
        <v>12</v>
      </c>
      <c r="B78" s="45" t="s">
        <v>58</v>
      </c>
      <c r="C78" s="270">
        <f>+C74</f>
        <v>132631000</v>
      </c>
      <c r="D78" s="270">
        <f>+D74</f>
        <v>131527000</v>
      </c>
      <c r="E78" s="270">
        <f>+E74</f>
        <v>147143000</v>
      </c>
    </row>
    <row r="79" spans="1:5" ht="24" customHeight="1" x14ac:dyDescent="0.2">
      <c r="A79" s="17">
        <v>13</v>
      </c>
      <c r="B79" s="45" t="s">
        <v>67</v>
      </c>
      <c r="C79" s="270">
        <f>+C32</f>
        <v>193728000</v>
      </c>
      <c r="D79" s="270">
        <f>+D32</f>
        <v>168386000</v>
      </c>
      <c r="E79" s="270">
        <f>+E32</f>
        <v>178818000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326359000</v>
      </c>
      <c r="D80" s="270">
        <f>+D78+D79</f>
        <v>299913000</v>
      </c>
      <c r="E80" s="270">
        <f>+E78+E79</f>
        <v>325961000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FILING&amp;R&amp;8STAMFORD HEALTH SYSTEM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46905</v>
      </c>
      <c r="D11" s="297">
        <v>180</v>
      </c>
      <c r="E11" s="297">
        <v>183</v>
      </c>
      <c r="F11" s="298">
        <f>IF(D11=0,0,$C11/(D11*365))</f>
        <v>0.71392694063926943</v>
      </c>
      <c r="G11" s="298">
        <f>IF(E11=0,0,$C11/(E11*365))</f>
        <v>0.70222322030092077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1026</v>
      </c>
      <c r="D13" s="297">
        <v>3</v>
      </c>
      <c r="E13" s="297">
        <v>16</v>
      </c>
      <c r="F13" s="298">
        <f>IF(D13=0,0,$C13/(D13*365))</f>
        <v>0.93698630136986305</v>
      </c>
      <c r="G13" s="298">
        <f>IF(E13=0,0,$C13/(E13*365))</f>
        <v>0.17568493150684933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5794</v>
      </c>
      <c r="D16" s="297">
        <v>17</v>
      </c>
      <c r="E16" s="297">
        <v>20</v>
      </c>
      <c r="F16" s="298">
        <f t="shared" si="0"/>
        <v>0.93376309427880744</v>
      </c>
      <c r="G16" s="298">
        <f t="shared" si="0"/>
        <v>0.79369863013698627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5794</v>
      </c>
      <c r="D17" s="300">
        <f>SUM(D15:D16)</f>
        <v>17</v>
      </c>
      <c r="E17" s="300">
        <f>SUM(E15:E16)</f>
        <v>20</v>
      </c>
      <c r="F17" s="301">
        <f t="shared" si="0"/>
        <v>0.93376309427880744</v>
      </c>
      <c r="G17" s="301">
        <f t="shared" si="0"/>
        <v>0.79369863013698627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4585</v>
      </c>
      <c r="D19" s="297">
        <v>14</v>
      </c>
      <c r="E19" s="297">
        <v>17</v>
      </c>
      <c r="F19" s="298">
        <f>IF(D19=0,0,$C19/(D19*365))</f>
        <v>0.89726027397260277</v>
      </c>
      <c r="G19" s="298">
        <f>IF(E19=0,0,$C19/(E19*365))</f>
        <v>0.73892022562449633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8467</v>
      </c>
      <c r="D21" s="297">
        <v>26</v>
      </c>
      <c r="E21" s="297">
        <v>32</v>
      </c>
      <c r="F21" s="298">
        <f>IF(D21=0,0,$C21/(D21*365))</f>
        <v>0.89220231822971552</v>
      </c>
      <c r="G21" s="298">
        <f>IF(E21=0,0,$C21/(E21*365))</f>
        <v>0.72491438356164384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6072</v>
      </c>
      <c r="D23" s="297">
        <v>18</v>
      </c>
      <c r="E23" s="297">
        <v>25</v>
      </c>
      <c r="F23" s="298">
        <f>IF(D23=0,0,$C23/(D23*365))</f>
        <v>0.92420091324200915</v>
      </c>
      <c r="G23" s="298">
        <f>IF(E23=0,0,$C23/(E23*365))</f>
        <v>0.66542465753424662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2271</v>
      </c>
      <c r="D25" s="297">
        <v>7</v>
      </c>
      <c r="E25" s="297">
        <v>16</v>
      </c>
      <c r="F25" s="298">
        <f>IF(D25=0,0,$C25/(D25*365))</f>
        <v>0.88884540117416833</v>
      </c>
      <c r="G25" s="298">
        <f>IF(E25=0,0,$C25/(E25*365))</f>
        <v>0.38886986301369864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1105</v>
      </c>
      <c r="D27" s="297">
        <v>4</v>
      </c>
      <c r="E27" s="297">
        <v>13</v>
      </c>
      <c r="F27" s="298">
        <f>IF(D27=0,0,$C27/(D27*365))</f>
        <v>0.75684931506849318</v>
      </c>
      <c r="G27" s="298">
        <f>IF(E27=0,0,$C27/(E27*365))</f>
        <v>0.23287671232876711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70153</v>
      </c>
      <c r="D31" s="300">
        <f>SUM(D10:D29)-D17-D23</f>
        <v>251</v>
      </c>
      <c r="E31" s="300">
        <f>SUM(E10:E29)-E17-E23</f>
        <v>297</v>
      </c>
      <c r="F31" s="301">
        <f>IF(D31=0,0,$C31/(D31*365))</f>
        <v>0.76573705179282869</v>
      </c>
      <c r="G31" s="301">
        <f>IF(E31=0,0,$C31/(E31*365))</f>
        <v>0.64713804713804712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76225</v>
      </c>
      <c r="D33" s="300">
        <f>SUM(D10:D29)-D17</f>
        <v>269</v>
      </c>
      <c r="E33" s="300">
        <f>SUM(E10:E29)-E17</f>
        <v>322</v>
      </c>
      <c r="F33" s="301">
        <f>IF(D33=0,0,$C33/(D33*365))</f>
        <v>0.77634058155522734</v>
      </c>
      <c r="G33" s="301">
        <f>IF(E33=0,0,$C33/(E33*365))</f>
        <v>0.64855781502595078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76225</v>
      </c>
      <c r="D36" s="300">
        <f>+D33</f>
        <v>269</v>
      </c>
      <c r="E36" s="300">
        <f>+E33</f>
        <v>322</v>
      </c>
      <c r="F36" s="301">
        <f>+F33</f>
        <v>0.77634058155522734</v>
      </c>
      <c r="G36" s="301">
        <f>+G33</f>
        <v>0.64855781502595078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75272</v>
      </c>
      <c r="D37" s="302">
        <v>321</v>
      </c>
      <c r="E37" s="302">
        <v>330</v>
      </c>
      <c r="F37" s="301">
        <f>IF(D37=0,0,$C37/(D37*365))</f>
        <v>0.64244441599453761</v>
      </c>
      <c r="G37" s="301">
        <f>IF(E37=0,0,$C37/(E37*365))</f>
        <v>0.62492320464923201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953</v>
      </c>
      <c r="D38" s="300">
        <f>+D36-D37</f>
        <v>-52</v>
      </c>
      <c r="E38" s="300">
        <f>+E36-E37</f>
        <v>-8</v>
      </c>
      <c r="F38" s="301">
        <f>+F36-F37</f>
        <v>0.13389616556068973</v>
      </c>
      <c r="G38" s="301">
        <f>+G36-G37</f>
        <v>2.3634610376718768E-2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1.2660750345413965E-2</v>
      </c>
      <c r="D40" s="148">
        <f>IF(D37=0,0,D38/D37)</f>
        <v>-0.16199376947040497</v>
      </c>
      <c r="E40" s="148">
        <f>IF(E37=0,0,E38/E37)</f>
        <v>-2.4242424242424242E-2</v>
      </c>
      <c r="F40" s="148">
        <f>IF(F37=0,0,F38/F37)</f>
        <v>0.20841673182482479</v>
      </c>
      <c r="G40" s="148">
        <f>IF(G37=0,0,G38/G37)</f>
        <v>3.7820023645921137E-2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330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FILING&amp;RSTAMFORD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10730</v>
      </c>
      <c r="D12" s="296">
        <v>10916</v>
      </c>
      <c r="E12" s="296">
        <f>+D12-C12</f>
        <v>186</v>
      </c>
      <c r="F12" s="316">
        <f>IF(C12=0,0,+E12/C12)</f>
        <v>1.7334575955265611E-2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26552</v>
      </c>
      <c r="D13" s="296">
        <v>24619</v>
      </c>
      <c r="E13" s="296">
        <f>+D13-C13</f>
        <v>-1933</v>
      </c>
      <c r="F13" s="316">
        <f>IF(C13=0,0,+E13/C13)</f>
        <v>-7.2800542332027721E-2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0</v>
      </c>
      <c r="D14" s="296">
        <v>0</v>
      </c>
      <c r="E14" s="296">
        <f>+D14-C14</f>
        <v>0</v>
      </c>
      <c r="F14" s="316">
        <f>IF(C14=0,0,+E14/C14)</f>
        <v>0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37282</v>
      </c>
      <c r="D16" s="300">
        <f>SUM(D12:D15)</f>
        <v>35535</v>
      </c>
      <c r="E16" s="300">
        <f>+D16-C16</f>
        <v>-1747</v>
      </c>
      <c r="F16" s="309">
        <f>IF(C16=0,0,+E16/C16)</f>
        <v>-4.685907408400837E-2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3038</v>
      </c>
      <c r="D19" s="296">
        <v>2437</v>
      </c>
      <c r="E19" s="296">
        <f>+D19-C19</f>
        <v>-601</v>
      </c>
      <c r="F19" s="316">
        <f>IF(C19=0,0,+E19/C19)</f>
        <v>-0.1978275181040158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10511</v>
      </c>
      <c r="D20" s="296">
        <v>10183</v>
      </c>
      <c r="E20" s="296">
        <f>+D20-C20</f>
        <v>-328</v>
      </c>
      <c r="F20" s="316">
        <f>IF(C20=0,0,+E20/C20)</f>
        <v>-3.1205403862620114E-2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0</v>
      </c>
      <c r="D21" s="296">
        <v>0</v>
      </c>
      <c r="E21" s="296">
        <f>+D21-C21</f>
        <v>0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13549</v>
      </c>
      <c r="D23" s="300">
        <f>SUM(D19:D22)</f>
        <v>12620</v>
      </c>
      <c r="E23" s="300">
        <f>+D23-C23</f>
        <v>-929</v>
      </c>
      <c r="F23" s="309">
        <f>IF(C23=0,0,+E23/C23)</f>
        <v>-6.8565945826260244E-2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366</v>
      </c>
      <c r="D27" s="296">
        <v>0</v>
      </c>
      <c r="E27" s="296">
        <f>+D27-C27</f>
        <v>-366</v>
      </c>
      <c r="F27" s="316">
        <f>IF(C27=0,0,+E27/C27)</f>
        <v>-1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366</v>
      </c>
      <c r="D30" s="300">
        <f>SUM(D26:D29)</f>
        <v>0</v>
      </c>
      <c r="E30" s="300">
        <f>+D30-C30</f>
        <v>-366</v>
      </c>
      <c r="F30" s="309">
        <f>IF(C30=0,0,+E30/C30)</f>
        <v>-1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0</v>
      </c>
      <c r="D34" s="296">
        <v>372</v>
      </c>
      <c r="E34" s="296">
        <f>+D34-C34</f>
        <v>372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0</v>
      </c>
      <c r="D37" s="300">
        <f>SUM(D33:D36)</f>
        <v>372</v>
      </c>
      <c r="E37" s="300">
        <f>+D37-C37</f>
        <v>372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306</v>
      </c>
      <c r="D48" s="296">
        <v>339</v>
      </c>
      <c r="E48" s="296">
        <f>+D48-C48</f>
        <v>33</v>
      </c>
      <c r="F48" s="316">
        <f>IF(C48=0,0,+E48/C48)</f>
        <v>0.10784313725490197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357</v>
      </c>
      <c r="D49" s="296">
        <v>357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663</v>
      </c>
      <c r="D50" s="300">
        <f>SUM(D48:D49)</f>
        <v>696</v>
      </c>
      <c r="E50" s="300">
        <f>+D50-C50</f>
        <v>33</v>
      </c>
      <c r="F50" s="309">
        <f>IF(C50=0,0,+E50/C50)</f>
        <v>4.9773755656108594E-2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42</v>
      </c>
      <c r="D53" s="296">
        <v>55</v>
      </c>
      <c r="E53" s="296">
        <f>+D53-C53</f>
        <v>13</v>
      </c>
      <c r="F53" s="316">
        <f>IF(C53=0,0,+E53/C53)</f>
        <v>0.30952380952380953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212</v>
      </c>
      <c r="D54" s="296">
        <v>224</v>
      </c>
      <c r="E54" s="296">
        <f>+D54-C54</f>
        <v>12</v>
      </c>
      <c r="F54" s="316">
        <f>IF(C54=0,0,+E54/C54)</f>
        <v>5.6603773584905662E-2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254</v>
      </c>
      <c r="D55" s="300">
        <f>SUM(D53:D54)</f>
        <v>279</v>
      </c>
      <c r="E55" s="300">
        <f>+D55-C55</f>
        <v>25</v>
      </c>
      <c r="F55" s="309">
        <f>IF(C55=0,0,+E55/C55)</f>
        <v>9.8425196850393706E-2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3079</v>
      </c>
      <c r="D63" s="296">
        <v>3149</v>
      </c>
      <c r="E63" s="296">
        <f>+D63-C63</f>
        <v>70</v>
      </c>
      <c r="F63" s="316">
        <f>IF(C63=0,0,+E63/C63)</f>
        <v>2.273465410847678E-2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8893</v>
      </c>
      <c r="D64" s="296">
        <v>9164</v>
      </c>
      <c r="E64" s="296">
        <f>+D64-C64</f>
        <v>271</v>
      </c>
      <c r="F64" s="316">
        <f>IF(C64=0,0,+E64/C64)</f>
        <v>3.0473406049702011E-2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11972</v>
      </c>
      <c r="D65" s="300">
        <f>SUM(D63:D64)</f>
        <v>12313</v>
      </c>
      <c r="E65" s="300">
        <f>+D65-C65</f>
        <v>341</v>
      </c>
      <c r="F65" s="309">
        <f>IF(C65=0,0,+E65/C65)</f>
        <v>2.8483127297026394E-2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520</v>
      </c>
      <c r="D68" s="296">
        <v>522</v>
      </c>
      <c r="E68" s="296">
        <f>+D68-C68</f>
        <v>2</v>
      </c>
      <c r="F68" s="316">
        <f>IF(C68=0,0,+E68/C68)</f>
        <v>3.8461538461538464E-3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6748</v>
      </c>
      <c r="D69" s="296">
        <v>6436</v>
      </c>
      <c r="E69" s="296">
        <f>+D69-C69</f>
        <v>-312</v>
      </c>
      <c r="F69" s="318">
        <f>IF(C69=0,0,+E69/C69)</f>
        <v>-4.6235921754593956E-2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7268</v>
      </c>
      <c r="D70" s="300">
        <f>SUM(D68:D69)</f>
        <v>6958</v>
      </c>
      <c r="E70" s="300">
        <f>+D70-C70</f>
        <v>-310</v>
      </c>
      <c r="F70" s="309">
        <f>IF(C70=0,0,+E70/C70)</f>
        <v>-4.2652724270776002E-2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7214</v>
      </c>
      <c r="D73" s="319">
        <v>8068</v>
      </c>
      <c r="E73" s="296">
        <f>+D73-C73</f>
        <v>854</v>
      </c>
      <c r="F73" s="316">
        <f>IF(C73=0,0,+E73/C73)</f>
        <v>0.11838092597726643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39086</v>
      </c>
      <c r="D74" s="319">
        <v>39642</v>
      </c>
      <c r="E74" s="296">
        <f>+D74-C74</f>
        <v>556</v>
      </c>
      <c r="F74" s="316">
        <f>IF(C74=0,0,+E74/C74)</f>
        <v>1.4225042214603694E-2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46300</v>
      </c>
      <c r="D75" s="300">
        <f>SUM(D73:D74)</f>
        <v>47710</v>
      </c>
      <c r="E75" s="300">
        <f>SUM(E73:E74)</f>
        <v>1410</v>
      </c>
      <c r="F75" s="309">
        <f>IF(C75=0,0,+E75/C75)</f>
        <v>3.0453563714902807E-2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17291</v>
      </c>
      <c r="D83" s="319">
        <v>15927</v>
      </c>
      <c r="E83" s="296">
        <f t="shared" si="0"/>
        <v>-1364</v>
      </c>
      <c r="F83" s="316">
        <f t="shared" si="1"/>
        <v>-7.8884969059048057E-2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17291</v>
      </c>
      <c r="D84" s="320">
        <f>SUM(D79:D83)</f>
        <v>15927</v>
      </c>
      <c r="E84" s="300">
        <f t="shared" si="0"/>
        <v>-1364</v>
      </c>
      <c r="F84" s="309">
        <f t="shared" si="1"/>
        <v>-7.8884969059048057E-2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32528</v>
      </c>
      <c r="D87" s="322">
        <v>34021</v>
      </c>
      <c r="E87" s="323">
        <f t="shared" ref="E87:E92" si="2">+D87-C87</f>
        <v>1493</v>
      </c>
      <c r="F87" s="318">
        <f t="shared" ref="F87:F92" si="3">IF(C87=0,0,+E87/C87)</f>
        <v>4.5898917855386127E-2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7337</v>
      </c>
      <c r="D88" s="322">
        <v>7490</v>
      </c>
      <c r="E88" s="296">
        <f t="shared" si="2"/>
        <v>153</v>
      </c>
      <c r="F88" s="316">
        <f t="shared" si="3"/>
        <v>2.0853209758756985E-2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239549</v>
      </c>
      <c r="D91" s="322">
        <v>268311</v>
      </c>
      <c r="E91" s="296">
        <f t="shared" si="2"/>
        <v>28762</v>
      </c>
      <c r="F91" s="316">
        <f t="shared" si="3"/>
        <v>0.12006729312165779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279414</v>
      </c>
      <c r="D92" s="320">
        <f>SUM(D87:D91)</f>
        <v>309822</v>
      </c>
      <c r="E92" s="300">
        <f t="shared" si="2"/>
        <v>30408</v>
      </c>
      <c r="F92" s="309">
        <f t="shared" si="3"/>
        <v>0.10882776095685971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564.6</v>
      </c>
      <c r="D96" s="325">
        <v>600.9</v>
      </c>
      <c r="E96" s="326">
        <f>+D96-C96</f>
        <v>36.299999999999955</v>
      </c>
      <c r="F96" s="316">
        <f>IF(C96=0,0,+E96/C96)</f>
        <v>6.4293304994686426E-2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104.9</v>
      </c>
      <c r="D97" s="325">
        <v>111.2</v>
      </c>
      <c r="E97" s="326">
        <f>+D97-C97</f>
        <v>6.2999999999999972</v>
      </c>
      <c r="F97" s="316">
        <f>IF(C97=0,0,+E97/C97)</f>
        <v>6.00571973307912E-2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1228.9000000000001</v>
      </c>
      <c r="D98" s="325">
        <v>1339.7</v>
      </c>
      <c r="E98" s="326">
        <f>+D98-C98</f>
        <v>110.79999999999995</v>
      </c>
      <c r="F98" s="316">
        <f>IF(C98=0,0,+E98/C98)</f>
        <v>9.0161933436406494E-2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1898.4</v>
      </c>
      <c r="D99" s="327">
        <f>SUM(D96:D98)</f>
        <v>2051.8000000000002</v>
      </c>
      <c r="E99" s="327">
        <f>+D99-C99</f>
        <v>153.40000000000009</v>
      </c>
      <c r="F99" s="309">
        <f>IF(C99=0,0,+E99/C99)</f>
        <v>8.080488832701227E-2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FILING&amp;RSTAMFORD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2441</v>
      </c>
      <c r="D12" s="296">
        <v>2518</v>
      </c>
      <c r="E12" s="296">
        <f>+D12-C12</f>
        <v>77</v>
      </c>
      <c r="F12" s="316">
        <f>IF(C12=0,0,+E12/C12)</f>
        <v>3.1544448996312986E-2</v>
      </c>
    </row>
    <row r="13" spans="1:16" ht="15.75" customHeight="1" x14ac:dyDescent="0.2">
      <c r="A13" s="294">
        <v>2</v>
      </c>
      <c r="B13" s="295" t="s">
        <v>584</v>
      </c>
      <c r="C13" s="296">
        <v>6452</v>
      </c>
      <c r="D13" s="296">
        <v>6646</v>
      </c>
      <c r="E13" s="296">
        <f>+D13-C13</f>
        <v>194</v>
      </c>
      <c r="F13" s="316">
        <f>IF(C13=0,0,+E13/C13)</f>
        <v>3.0068195908245506E-2</v>
      </c>
    </row>
    <row r="14" spans="1:16" ht="15.75" customHeight="1" x14ac:dyDescent="0.25">
      <c r="A14" s="294"/>
      <c r="B14" s="135" t="s">
        <v>585</v>
      </c>
      <c r="C14" s="300">
        <f>SUM(C11:C13)</f>
        <v>8893</v>
      </c>
      <c r="D14" s="300">
        <f>SUM(D11:D13)</f>
        <v>9164</v>
      </c>
      <c r="E14" s="300">
        <f>+D14-C14</f>
        <v>271</v>
      </c>
      <c r="F14" s="309">
        <f>IF(C14=0,0,+E14/C14)</f>
        <v>3.0473406049702011E-2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558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583</v>
      </c>
      <c r="C17" s="296">
        <v>152</v>
      </c>
      <c r="D17" s="296">
        <v>131</v>
      </c>
      <c r="E17" s="296">
        <f>+D17-C17</f>
        <v>-21</v>
      </c>
      <c r="F17" s="316">
        <f>IF(C17=0,0,+E17/C17)</f>
        <v>-0.13815789473684212</v>
      </c>
    </row>
    <row r="18" spans="1:6" ht="15.75" customHeight="1" x14ac:dyDescent="0.2">
      <c r="A18" s="294">
        <v>2</v>
      </c>
      <c r="B18" s="295" t="s">
        <v>584</v>
      </c>
      <c r="C18" s="296">
        <v>6596</v>
      </c>
      <c r="D18" s="296">
        <v>6305</v>
      </c>
      <c r="E18" s="296">
        <f>+D18-C18</f>
        <v>-291</v>
      </c>
      <c r="F18" s="316">
        <f>IF(C18=0,0,+E18/C18)</f>
        <v>-4.4117647058823532E-2</v>
      </c>
    </row>
    <row r="19" spans="1:6" ht="15.75" customHeight="1" x14ac:dyDescent="0.25">
      <c r="A19" s="294"/>
      <c r="B19" s="135" t="s">
        <v>586</v>
      </c>
      <c r="C19" s="300">
        <f>SUM(C16:C18)</f>
        <v>6748</v>
      </c>
      <c r="D19" s="300">
        <f>SUM(D16:D18)</f>
        <v>6436</v>
      </c>
      <c r="E19" s="300">
        <f>+D19-C19</f>
        <v>-312</v>
      </c>
      <c r="F19" s="309">
        <f>IF(C19=0,0,+E19/C19)</f>
        <v>-4.6235921754593956E-2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587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583</v>
      </c>
      <c r="C22" s="296">
        <v>39086</v>
      </c>
      <c r="D22" s="296">
        <v>39642</v>
      </c>
      <c r="E22" s="296">
        <f>+D22-C22</f>
        <v>556</v>
      </c>
      <c r="F22" s="316">
        <f>IF(C22=0,0,+E22/C22)</f>
        <v>1.4225042214603694E-2</v>
      </c>
    </row>
    <row r="23" spans="1:6" ht="15.75" customHeight="1" x14ac:dyDescent="0.25">
      <c r="A23" s="294"/>
      <c r="B23" s="135" t="s">
        <v>588</v>
      </c>
      <c r="C23" s="300">
        <f>SUM(C21:C22)</f>
        <v>39086</v>
      </c>
      <c r="D23" s="300">
        <f>SUM(D21:D22)</f>
        <v>39642</v>
      </c>
      <c r="E23" s="300">
        <f>+D23-C23</f>
        <v>556</v>
      </c>
      <c r="F23" s="309">
        <f>IF(C23=0,0,+E23/C23)</f>
        <v>1.4225042214603694E-2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591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FILING&amp;RSTAMFORD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abSelected="1"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592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593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594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595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596</v>
      </c>
      <c r="D7" s="341" t="s">
        <v>596</v>
      </c>
      <c r="E7" s="341" t="s">
        <v>597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598</v>
      </c>
      <c r="D8" s="344" t="s">
        <v>599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600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601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602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603</v>
      </c>
      <c r="C15" s="361">
        <v>245697432</v>
      </c>
      <c r="D15" s="361">
        <v>280073467</v>
      </c>
      <c r="E15" s="361">
        <f t="shared" ref="E15:E24" si="0">D15-C15</f>
        <v>34376035</v>
      </c>
      <c r="F15" s="362">
        <f t="shared" ref="F15:F24" si="1">IF(C15=0,0,E15/C15)</f>
        <v>0.13991206468938594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604</v>
      </c>
      <c r="C16" s="361">
        <v>69840646</v>
      </c>
      <c r="D16" s="361">
        <v>76479069</v>
      </c>
      <c r="E16" s="361">
        <f t="shared" si="0"/>
        <v>6638423</v>
      </c>
      <c r="F16" s="362">
        <f t="shared" si="1"/>
        <v>9.5050996521423931E-2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605</v>
      </c>
      <c r="C17" s="366">
        <f>IF(C15=0,0,C16/C15)</f>
        <v>0.28425468443642504</v>
      </c>
      <c r="D17" s="366">
        <f>IF(LN_IA1=0,0,LN_IA2/LN_IA1)</f>
        <v>0.27306788400630611</v>
      </c>
      <c r="E17" s="367">
        <f t="shared" si="0"/>
        <v>-1.1186800430118937E-2</v>
      </c>
      <c r="F17" s="362">
        <f t="shared" si="1"/>
        <v>-3.9354849867464257E-2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5093</v>
      </c>
      <c r="D18" s="369">
        <v>5382</v>
      </c>
      <c r="E18" s="369">
        <f t="shared" si="0"/>
        <v>289</v>
      </c>
      <c r="F18" s="362">
        <f t="shared" si="1"/>
        <v>5.674455134498331E-2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606</v>
      </c>
      <c r="C19" s="372">
        <v>1.5766899999999999</v>
      </c>
      <c r="D19" s="372">
        <v>1.5350900000000001</v>
      </c>
      <c r="E19" s="373">
        <f t="shared" si="0"/>
        <v>-4.1599999999999859E-2</v>
      </c>
      <c r="F19" s="362">
        <f t="shared" si="1"/>
        <v>-2.6384387546061597E-2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607</v>
      </c>
      <c r="C20" s="376">
        <f>C18*C19</f>
        <v>8030.0821699999997</v>
      </c>
      <c r="D20" s="376">
        <f>LN_IA4*LN_IA5</f>
        <v>8261.8543800000007</v>
      </c>
      <c r="E20" s="376">
        <f t="shared" si="0"/>
        <v>231.772210000001</v>
      </c>
      <c r="F20" s="362">
        <f t="shared" si="1"/>
        <v>2.8862993565108314E-2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608</v>
      </c>
      <c r="C21" s="378">
        <f>IF(C20=0,0,C16/C20)</f>
        <v>8697.3762561137028</v>
      </c>
      <c r="D21" s="378">
        <f>IF(LN_IA6=0,0,LN_IA2/LN_IA6)</f>
        <v>9256.8890084939976</v>
      </c>
      <c r="E21" s="378">
        <f t="shared" si="0"/>
        <v>559.51275238029484</v>
      </c>
      <c r="F21" s="362">
        <f t="shared" si="1"/>
        <v>6.4331211609592362E-2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34020</v>
      </c>
      <c r="D22" s="369">
        <v>35892</v>
      </c>
      <c r="E22" s="369">
        <f t="shared" si="0"/>
        <v>1872</v>
      </c>
      <c r="F22" s="362">
        <f t="shared" si="1"/>
        <v>5.5026455026455028E-2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609</v>
      </c>
      <c r="C23" s="378">
        <f>IF(C22=0,0,C16/C22)</f>
        <v>2052.929041740153</v>
      </c>
      <c r="D23" s="378">
        <f>IF(LN_IA8=0,0,LN_IA2/LN_IA8)</f>
        <v>2130.8110163824808</v>
      </c>
      <c r="E23" s="378">
        <f t="shared" si="0"/>
        <v>77.881974642327805</v>
      </c>
      <c r="F23" s="362">
        <f t="shared" si="1"/>
        <v>3.7937002720908275E-2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610</v>
      </c>
      <c r="C24" s="379">
        <f>IF(C18=0,0,C22/C18)</f>
        <v>6.6797565285686238</v>
      </c>
      <c r="D24" s="379">
        <f>IF(LN_IA4=0,0,LN_IA8/LN_IA4)</f>
        <v>6.6688963210702346</v>
      </c>
      <c r="E24" s="379">
        <f t="shared" si="0"/>
        <v>-1.0860207498389229E-2</v>
      </c>
      <c r="F24" s="362">
        <f t="shared" si="1"/>
        <v>-1.625838823906418E-3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611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612</v>
      </c>
      <c r="C27" s="361">
        <v>178219659</v>
      </c>
      <c r="D27" s="361">
        <v>198274157</v>
      </c>
      <c r="E27" s="361">
        <f t="shared" ref="E27:E32" si="2">D27-C27</f>
        <v>20054498</v>
      </c>
      <c r="F27" s="362">
        <f t="shared" ref="F27:F32" si="3">IF(C27=0,0,E27/C27)</f>
        <v>0.11252685653494601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613</v>
      </c>
      <c r="C28" s="361">
        <v>26192923</v>
      </c>
      <c r="D28" s="361">
        <v>26006219</v>
      </c>
      <c r="E28" s="361">
        <f t="shared" si="2"/>
        <v>-186704</v>
      </c>
      <c r="F28" s="362">
        <f t="shared" si="3"/>
        <v>-7.1280322551247905E-3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614</v>
      </c>
      <c r="C29" s="366">
        <f>IF(C27=0,0,C28/C27)</f>
        <v>0.14696988618971604</v>
      </c>
      <c r="D29" s="366">
        <f>IF(LN_IA11=0,0,LN_IA12/LN_IA11)</f>
        <v>0.13116292810666194</v>
      </c>
      <c r="E29" s="367">
        <f t="shared" si="2"/>
        <v>-1.5806958083054101E-2</v>
      </c>
      <c r="F29" s="362">
        <f t="shared" si="3"/>
        <v>-0.10755235982594212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615</v>
      </c>
      <c r="C30" s="366">
        <f>IF(C15=0,0,C27/C15)</f>
        <v>0.72536231880518798</v>
      </c>
      <c r="D30" s="366">
        <f>IF(LN_IA1=0,0,LN_IA11/LN_IA1)</f>
        <v>0.70793623945819906</v>
      </c>
      <c r="E30" s="367">
        <f t="shared" si="2"/>
        <v>-1.7426079346988921E-2</v>
      </c>
      <c r="F30" s="362">
        <f t="shared" si="3"/>
        <v>-2.4023965534483573E-2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616</v>
      </c>
      <c r="C31" s="376">
        <f>C30*C18</f>
        <v>3694.2702896748224</v>
      </c>
      <c r="D31" s="376">
        <f>LN_IA14*LN_IA4</f>
        <v>3810.1128407640272</v>
      </c>
      <c r="E31" s="376">
        <f t="shared" si="2"/>
        <v>115.84255108920479</v>
      </c>
      <c r="F31" s="362">
        <f t="shared" si="3"/>
        <v>3.1357356664718082E-2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617</v>
      </c>
      <c r="C32" s="378">
        <f>IF(C31=0,0,C28/C31)</f>
        <v>7090.14797136177</v>
      </c>
      <c r="D32" s="378">
        <f>IF(LN_IA15=0,0,LN_IA12/LN_IA15)</f>
        <v>6825.5771119852379</v>
      </c>
      <c r="E32" s="378">
        <f t="shared" si="2"/>
        <v>-264.5708593765321</v>
      </c>
      <c r="F32" s="362">
        <f t="shared" si="3"/>
        <v>-3.7315280364412097E-2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618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619</v>
      </c>
      <c r="C35" s="361">
        <f>C15+C27</f>
        <v>423917091</v>
      </c>
      <c r="D35" s="361">
        <f>LN_IA1+LN_IA11</f>
        <v>478347624</v>
      </c>
      <c r="E35" s="361">
        <f>D35-C35</f>
        <v>54430533</v>
      </c>
      <c r="F35" s="362">
        <f>IF(C35=0,0,E35/C35)</f>
        <v>0.12839900573860091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620</v>
      </c>
      <c r="C36" s="361">
        <f>C16+C28</f>
        <v>96033569</v>
      </c>
      <c r="D36" s="361">
        <f>LN_IA2+LN_IA12</f>
        <v>102485288</v>
      </c>
      <c r="E36" s="361">
        <f>D36-C36</f>
        <v>6451719</v>
      </c>
      <c r="F36" s="362">
        <f>IF(C36=0,0,E36/C36)</f>
        <v>6.7181914274163854E-2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621</v>
      </c>
      <c r="C37" s="361">
        <f>C35-C36</f>
        <v>327883522</v>
      </c>
      <c r="D37" s="361">
        <f>LN_IA17-LN_IA18</f>
        <v>375862336</v>
      </c>
      <c r="E37" s="361">
        <f>D37-C37</f>
        <v>47978814</v>
      </c>
      <c r="F37" s="362">
        <f>IF(C37=0,0,E37/C37)</f>
        <v>0.14632883564060289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622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623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603</v>
      </c>
      <c r="C42" s="361">
        <v>198915175</v>
      </c>
      <c r="D42" s="361">
        <v>215741210</v>
      </c>
      <c r="E42" s="361">
        <f t="shared" ref="E42:E53" si="4">D42-C42</f>
        <v>16826035</v>
      </c>
      <c r="F42" s="362">
        <f t="shared" ref="F42:F53" si="5">IF(C42=0,0,E42/C42)</f>
        <v>8.4588996289498772E-2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604</v>
      </c>
      <c r="C43" s="361">
        <v>75799007</v>
      </c>
      <c r="D43" s="361">
        <v>79357286</v>
      </c>
      <c r="E43" s="361">
        <f t="shared" si="4"/>
        <v>3558279</v>
      </c>
      <c r="F43" s="362">
        <f t="shared" si="5"/>
        <v>4.6943609696628349E-2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605</v>
      </c>
      <c r="C44" s="366">
        <f>IF(C42=0,0,C43/C42)</f>
        <v>0.38106196271853066</v>
      </c>
      <c r="D44" s="366">
        <f>IF(LN_IB1=0,0,LN_IB2/LN_IB1)</f>
        <v>0.36783554704268134</v>
      </c>
      <c r="E44" s="367">
        <f t="shared" si="4"/>
        <v>-1.3226415675849312E-2</v>
      </c>
      <c r="F44" s="362">
        <f t="shared" si="5"/>
        <v>-3.4709356928439829E-2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7028</v>
      </c>
      <c r="D45" s="369">
        <v>6787</v>
      </c>
      <c r="E45" s="369">
        <f t="shared" si="4"/>
        <v>-241</v>
      </c>
      <c r="F45" s="362">
        <f t="shared" si="5"/>
        <v>-3.4291405805350027E-2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606</v>
      </c>
      <c r="C46" s="372">
        <v>1.04837</v>
      </c>
      <c r="D46" s="372">
        <v>1.06006</v>
      </c>
      <c r="E46" s="373">
        <f t="shared" si="4"/>
        <v>1.1689999999999978E-2</v>
      </c>
      <c r="F46" s="362">
        <f t="shared" si="5"/>
        <v>1.1150643379722786E-2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607</v>
      </c>
      <c r="C47" s="376">
        <f>C45*C46</f>
        <v>7367.9443600000004</v>
      </c>
      <c r="D47" s="376">
        <f>LN_IB4*LN_IB5</f>
        <v>7194.6272200000003</v>
      </c>
      <c r="E47" s="376">
        <f t="shared" si="4"/>
        <v>-173.31714000000011</v>
      </c>
      <c r="F47" s="362">
        <f t="shared" si="5"/>
        <v>-2.3523133662752049E-2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608</v>
      </c>
      <c r="C48" s="378">
        <f>IF(C47=0,0,C43/C47)</f>
        <v>10287.673643615843</v>
      </c>
      <c r="D48" s="378">
        <f>IF(LN_IB6=0,0,LN_IB2/LN_IB6)</f>
        <v>11030.076135063464</v>
      </c>
      <c r="E48" s="378">
        <f t="shared" si="4"/>
        <v>742.40249144762129</v>
      </c>
      <c r="F48" s="362">
        <f t="shared" si="5"/>
        <v>7.2164273203624549E-2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624</v>
      </c>
      <c r="C49" s="378">
        <f>C21-C48</f>
        <v>-1590.2973875021398</v>
      </c>
      <c r="D49" s="378">
        <f>LN_IA7-LN_IB7</f>
        <v>-1773.1871265694663</v>
      </c>
      <c r="E49" s="378">
        <f t="shared" si="4"/>
        <v>-182.88973906732645</v>
      </c>
      <c r="F49" s="362">
        <f t="shared" si="5"/>
        <v>0.11500348331363926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625</v>
      </c>
      <c r="C50" s="391">
        <f>C49*C47</f>
        <v>-11717222.666969126</v>
      </c>
      <c r="D50" s="391">
        <f>LN_IB8*LN_IB6</f>
        <v>-12757420.366970267</v>
      </c>
      <c r="E50" s="391">
        <f t="shared" si="4"/>
        <v>-1040197.7000011411</v>
      </c>
      <c r="F50" s="362">
        <f t="shared" si="5"/>
        <v>8.8775107341218365E-2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27630</v>
      </c>
      <c r="D51" s="369">
        <v>25956</v>
      </c>
      <c r="E51" s="369">
        <f t="shared" si="4"/>
        <v>-1674</v>
      </c>
      <c r="F51" s="362">
        <f t="shared" si="5"/>
        <v>-6.0586319218241043E-2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609</v>
      </c>
      <c r="C52" s="378">
        <f>IF(C51=0,0,C43/C51)</f>
        <v>2743.3589214621788</v>
      </c>
      <c r="D52" s="378">
        <f>IF(LN_IB10=0,0,LN_IB2/LN_IB10)</f>
        <v>3057.3773308676223</v>
      </c>
      <c r="E52" s="378">
        <f t="shared" si="4"/>
        <v>314.01840940544344</v>
      </c>
      <c r="F52" s="362">
        <f t="shared" si="5"/>
        <v>0.11446493819994769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610</v>
      </c>
      <c r="C53" s="379">
        <f>IF(C45=0,0,C51/C45)</f>
        <v>3.9314171883892999</v>
      </c>
      <c r="D53" s="379">
        <f>IF(LN_IB4=0,0,LN_IB10/LN_IB4)</f>
        <v>3.824370119345808</v>
      </c>
      <c r="E53" s="379">
        <f t="shared" si="4"/>
        <v>-0.10704706904349193</v>
      </c>
      <c r="F53" s="362">
        <f t="shared" si="5"/>
        <v>-2.7228621108854913E-2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626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612</v>
      </c>
      <c r="C56" s="361">
        <v>401367818</v>
      </c>
      <c r="D56" s="361">
        <v>439817321</v>
      </c>
      <c r="E56" s="361">
        <f t="shared" ref="E56:E63" si="6">D56-C56</f>
        <v>38449503</v>
      </c>
      <c r="F56" s="362">
        <f t="shared" ref="F56:F63" si="7">IF(C56=0,0,E56/C56)</f>
        <v>9.5796178157960835E-2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613</v>
      </c>
      <c r="C57" s="361">
        <v>183921612</v>
      </c>
      <c r="D57" s="361">
        <v>189532545</v>
      </c>
      <c r="E57" s="361">
        <f t="shared" si="6"/>
        <v>5610933</v>
      </c>
      <c r="F57" s="362">
        <f t="shared" si="7"/>
        <v>3.0507197816426274E-2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614</v>
      </c>
      <c r="C58" s="366">
        <f>IF(C56=0,0,C57/C56)</f>
        <v>0.45823706772624206</v>
      </c>
      <c r="D58" s="366">
        <f>IF(LN_IB13=0,0,LN_IB14/LN_IB13)</f>
        <v>0.43093469936351142</v>
      </c>
      <c r="E58" s="367">
        <f t="shared" si="6"/>
        <v>-2.7302368362730645E-2</v>
      </c>
      <c r="F58" s="362">
        <f t="shared" si="7"/>
        <v>-5.958131780609574E-2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615</v>
      </c>
      <c r="C59" s="366">
        <f>IF(C42=0,0,C56/C42)</f>
        <v>2.017783801562651</v>
      </c>
      <c r="D59" s="366">
        <f>IF(LN_IB1=0,0,LN_IB13/LN_IB1)</f>
        <v>2.038633791847186</v>
      </c>
      <c r="E59" s="367">
        <f t="shared" si="6"/>
        <v>2.0849990284534936E-2</v>
      </c>
      <c r="F59" s="362">
        <f t="shared" si="7"/>
        <v>1.0333114116778955E-2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616</v>
      </c>
      <c r="C60" s="376">
        <f>C59*C45</f>
        <v>14180.984557382311</v>
      </c>
      <c r="D60" s="376">
        <f>LN_IB16*LN_IB4</f>
        <v>13836.207545266851</v>
      </c>
      <c r="E60" s="376">
        <f t="shared" si="6"/>
        <v>-344.77701211546082</v>
      </c>
      <c r="F60" s="362">
        <f t="shared" si="7"/>
        <v>-2.431262869798257E-2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617</v>
      </c>
      <c r="C61" s="378">
        <f>IF(C60=0,0,C57/C60)</f>
        <v>12969.593983815068</v>
      </c>
      <c r="D61" s="378">
        <f>IF(LN_IB17=0,0,LN_IB14/LN_IB17)</f>
        <v>13698.301675507615</v>
      </c>
      <c r="E61" s="378">
        <f t="shared" si="6"/>
        <v>728.70769169254709</v>
      </c>
      <c r="F61" s="362">
        <f t="shared" si="7"/>
        <v>5.6185852278946534E-2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627</v>
      </c>
      <c r="C62" s="378">
        <f>C32-C61</f>
        <v>-5879.446012453298</v>
      </c>
      <c r="D62" s="378">
        <f>LN_IA16-LN_IB18</f>
        <v>-6872.7245635223771</v>
      </c>
      <c r="E62" s="378">
        <f t="shared" si="6"/>
        <v>-993.27855106907919</v>
      </c>
      <c r="F62" s="362">
        <f t="shared" si="7"/>
        <v>0.16894084050864802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628</v>
      </c>
      <c r="C63" s="361">
        <f>C62*C60</f>
        <v>-83376333.108563229</v>
      </c>
      <c r="D63" s="361">
        <f>LN_IB19*LN_IB17</f>
        <v>-95092443.462349132</v>
      </c>
      <c r="E63" s="361">
        <f t="shared" si="6"/>
        <v>-11716110.353785902</v>
      </c>
      <c r="F63" s="362">
        <f t="shared" si="7"/>
        <v>0.1405208158834535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629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619</v>
      </c>
      <c r="C66" s="361">
        <f>C42+C56</f>
        <v>600282993</v>
      </c>
      <c r="D66" s="361">
        <f>LN_IB1+LN_IB13</f>
        <v>655558531</v>
      </c>
      <c r="E66" s="361">
        <f>D66-C66</f>
        <v>55275538</v>
      </c>
      <c r="F66" s="362">
        <f>IF(C66=0,0,E66/C66)</f>
        <v>9.2082465511395886E-2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620</v>
      </c>
      <c r="C67" s="361">
        <f>C43+C57</f>
        <v>259720619</v>
      </c>
      <c r="D67" s="361">
        <f>LN_IB2+LN_IB14</f>
        <v>268889831</v>
      </c>
      <c r="E67" s="361">
        <f>D67-C67</f>
        <v>9169212</v>
      </c>
      <c r="F67" s="362">
        <f>IF(C67=0,0,E67/C67)</f>
        <v>3.5304135787540228E-2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621</v>
      </c>
      <c r="C68" s="361">
        <f>C66-C67</f>
        <v>340562374</v>
      </c>
      <c r="D68" s="361">
        <f>LN_IB21-LN_IB22</f>
        <v>386668700</v>
      </c>
      <c r="E68" s="361">
        <f>D68-C68</f>
        <v>46106326</v>
      </c>
      <c r="F68" s="362">
        <f>IF(C68=0,0,E68/C68)</f>
        <v>0.13538291226499377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630</v>
      </c>
      <c r="C70" s="353">
        <f>C50+C63</f>
        <v>-95093555.77553235</v>
      </c>
      <c r="D70" s="353">
        <f>LN_IB9+LN_IB20</f>
        <v>-107849863.8293194</v>
      </c>
      <c r="E70" s="361">
        <f>D70-C70</f>
        <v>-12756308.053787053</v>
      </c>
      <c r="F70" s="362">
        <f>IF(C70=0,0,E70/C70)</f>
        <v>0.13414482137883482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631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632</v>
      </c>
      <c r="C73" s="400">
        <v>520905477</v>
      </c>
      <c r="D73" s="400">
        <v>568718927</v>
      </c>
      <c r="E73" s="400">
        <f>D73-C73</f>
        <v>47813450</v>
      </c>
      <c r="F73" s="401">
        <f>IF(C73=0,0,E73/C73)</f>
        <v>9.1789109754359527E-2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633</v>
      </c>
      <c r="C74" s="400">
        <v>285258976</v>
      </c>
      <c r="D74" s="400">
        <v>330541616</v>
      </c>
      <c r="E74" s="400">
        <f>D74-C74</f>
        <v>45282640</v>
      </c>
      <c r="F74" s="401">
        <f>IF(C74=0,0,E74/C74)</f>
        <v>0.1587422090444579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634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635</v>
      </c>
      <c r="C76" s="353">
        <f>C73-C74</f>
        <v>235646501</v>
      </c>
      <c r="D76" s="353">
        <f>LN_IB32-LN_IB33</f>
        <v>238177311</v>
      </c>
      <c r="E76" s="400">
        <f>D76-C76</f>
        <v>2530810</v>
      </c>
      <c r="F76" s="401">
        <f>IF(C76=0,0,E76/C76)</f>
        <v>1.0739858174257381E-2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636</v>
      </c>
      <c r="C77" s="366">
        <f>IF(C73=0,0,C76/C73)</f>
        <v>0.45237862031540899</v>
      </c>
      <c r="D77" s="366">
        <f>IF(LN_IB1=0,0,LN_IB34/LN_IB32)</f>
        <v>0.41879617451170215</v>
      </c>
      <c r="E77" s="405">
        <f>D77-C77</f>
        <v>-3.358244580370684E-2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637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638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603</v>
      </c>
      <c r="C83" s="361">
        <v>21486553</v>
      </c>
      <c r="D83" s="361">
        <v>19716942</v>
      </c>
      <c r="E83" s="361">
        <f t="shared" ref="E83:E95" si="8">D83-C83</f>
        <v>-1769611</v>
      </c>
      <c r="F83" s="362">
        <f t="shared" ref="F83:F95" si="9">IF(C83=0,0,E83/C83)</f>
        <v>-8.235899913773978E-2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604</v>
      </c>
      <c r="C84" s="361">
        <v>473462</v>
      </c>
      <c r="D84" s="361">
        <v>577992</v>
      </c>
      <c r="E84" s="361">
        <f t="shared" si="8"/>
        <v>104530</v>
      </c>
      <c r="F84" s="362">
        <f t="shared" si="9"/>
        <v>0.22077801386383702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605</v>
      </c>
      <c r="C85" s="366">
        <f>IF(C83=0,0,C84/C83)</f>
        <v>2.2035270152453025E-2</v>
      </c>
      <c r="D85" s="366">
        <f>IF(LN_IC1=0,0,LN_IC2/LN_IC1)</f>
        <v>2.9314484974394102E-2</v>
      </c>
      <c r="E85" s="367">
        <f t="shared" si="8"/>
        <v>7.2792148219410768E-3</v>
      </c>
      <c r="F85" s="362">
        <f t="shared" si="9"/>
        <v>0.33034379753818155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590</v>
      </c>
      <c r="D86" s="369">
        <v>490</v>
      </c>
      <c r="E86" s="369">
        <f t="shared" si="8"/>
        <v>-100</v>
      </c>
      <c r="F86" s="362">
        <f t="shared" si="9"/>
        <v>-0.16949152542372881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606</v>
      </c>
      <c r="C87" s="372">
        <v>1.2307600000000001</v>
      </c>
      <c r="D87" s="372">
        <v>1.1037699999999999</v>
      </c>
      <c r="E87" s="373">
        <f t="shared" si="8"/>
        <v>-0.12699000000000016</v>
      </c>
      <c r="F87" s="362">
        <f t="shared" si="9"/>
        <v>-0.10318014885111651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607</v>
      </c>
      <c r="C88" s="376">
        <f>C86*C87</f>
        <v>726.14840000000004</v>
      </c>
      <c r="D88" s="376">
        <f>LN_IC4*LN_IC5</f>
        <v>540.8472999999999</v>
      </c>
      <c r="E88" s="376">
        <f t="shared" si="8"/>
        <v>-185.30110000000013</v>
      </c>
      <c r="F88" s="362">
        <f t="shared" si="9"/>
        <v>-0.25518351345262225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608</v>
      </c>
      <c r="C89" s="378">
        <f>IF(C88=0,0,C84/C88)</f>
        <v>652.01823759440902</v>
      </c>
      <c r="D89" s="378">
        <f>IF(LN_IC6=0,0,LN_IC2/LN_IC6)</f>
        <v>1068.6787194832998</v>
      </c>
      <c r="E89" s="378">
        <f t="shared" si="8"/>
        <v>416.66048188889079</v>
      </c>
      <c r="F89" s="362">
        <f t="shared" si="9"/>
        <v>0.63903194399307028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639</v>
      </c>
      <c r="C90" s="378">
        <f>C48-C89</f>
        <v>9635.655406021433</v>
      </c>
      <c r="D90" s="378">
        <f>LN_IB7-LN_IC7</f>
        <v>9961.3974155801643</v>
      </c>
      <c r="E90" s="378">
        <f t="shared" si="8"/>
        <v>325.7420095587313</v>
      </c>
      <c r="F90" s="362">
        <f t="shared" si="9"/>
        <v>3.3805900671289191E-2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640</v>
      </c>
      <c r="C91" s="378">
        <f>C21-C89</f>
        <v>8045.3580185192941</v>
      </c>
      <c r="D91" s="378">
        <f>LN_IA7-LN_IC7</f>
        <v>8188.210289010698</v>
      </c>
      <c r="E91" s="378">
        <f t="shared" si="8"/>
        <v>142.85227049140394</v>
      </c>
      <c r="F91" s="362">
        <f t="shared" si="9"/>
        <v>1.7755862469088127E-2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625</v>
      </c>
      <c r="C92" s="353">
        <f>C91*C88</f>
        <v>5842123.8525749557</v>
      </c>
      <c r="D92" s="353">
        <f>LN_IC9*LN_IC6</f>
        <v>4428571.4266436547</v>
      </c>
      <c r="E92" s="353">
        <f t="shared" si="8"/>
        <v>-1413552.425931301</v>
      </c>
      <c r="F92" s="362">
        <f t="shared" si="9"/>
        <v>-0.24195865435277758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2636</v>
      </c>
      <c r="D93" s="369">
        <v>1826</v>
      </c>
      <c r="E93" s="369">
        <f t="shared" si="8"/>
        <v>-810</v>
      </c>
      <c r="F93" s="362">
        <f t="shared" si="9"/>
        <v>-0.30728376327769347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609</v>
      </c>
      <c r="C94" s="411">
        <f>IF(C93=0,0,C84/C93)</f>
        <v>179.61380880121396</v>
      </c>
      <c r="D94" s="411">
        <f>IF(LN_IC11=0,0,LN_IC2/LN_IC11)</f>
        <v>316.53450164293537</v>
      </c>
      <c r="E94" s="411">
        <f t="shared" si="8"/>
        <v>136.9206928417214</v>
      </c>
      <c r="F94" s="362">
        <f t="shared" si="9"/>
        <v>0.76230604849127837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610</v>
      </c>
      <c r="C95" s="379">
        <f>IF(C86=0,0,C93/C86)</f>
        <v>4.4677966101694917</v>
      </c>
      <c r="D95" s="379">
        <f>IF(LN_IC4=0,0,LN_IC11/LN_IC4)</f>
        <v>3.7265306122448978</v>
      </c>
      <c r="E95" s="379">
        <f t="shared" si="8"/>
        <v>-0.74126599792459391</v>
      </c>
      <c r="F95" s="362">
        <f t="shared" si="9"/>
        <v>-0.16591310272212079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641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612</v>
      </c>
      <c r="C98" s="361">
        <v>38147950</v>
      </c>
      <c r="D98" s="361">
        <v>43856299</v>
      </c>
      <c r="E98" s="361">
        <f t="shared" ref="E98:E106" si="10">D98-C98</f>
        <v>5708349</v>
      </c>
      <c r="F98" s="362">
        <f t="shared" ref="F98:F106" si="11">IF(C98=0,0,E98/C98)</f>
        <v>0.14963711025100956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613</v>
      </c>
      <c r="C99" s="361">
        <v>1764297</v>
      </c>
      <c r="D99" s="361">
        <v>1586852</v>
      </c>
      <c r="E99" s="361">
        <f t="shared" si="10"/>
        <v>-177445</v>
      </c>
      <c r="F99" s="362">
        <f t="shared" si="11"/>
        <v>-0.10057547000306638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614</v>
      </c>
      <c r="C100" s="366">
        <f>IF(C98=0,0,C99/C98)</f>
        <v>4.6248802360284107E-2</v>
      </c>
      <c r="D100" s="366">
        <f>IF(LN_IC14=0,0,LN_IC15/LN_IC14)</f>
        <v>3.6182989358039534E-2</v>
      </c>
      <c r="E100" s="367">
        <f t="shared" si="10"/>
        <v>-1.0065813002244572E-2</v>
      </c>
      <c r="F100" s="362">
        <f t="shared" si="11"/>
        <v>-0.21764483594257419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615</v>
      </c>
      <c r="C101" s="366">
        <f>IF(C83=0,0,C98/C83)</f>
        <v>1.775433686361884</v>
      </c>
      <c r="D101" s="366">
        <f>IF(LN_IC1=0,0,LN_IC14/LN_IC1)</f>
        <v>2.2242951772135862</v>
      </c>
      <c r="E101" s="367">
        <f t="shared" si="10"/>
        <v>0.44886149085170213</v>
      </c>
      <c r="F101" s="362">
        <f t="shared" si="11"/>
        <v>0.25281794206095248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616</v>
      </c>
      <c r="C102" s="376">
        <f>C101*C86</f>
        <v>1047.5058749535117</v>
      </c>
      <c r="D102" s="376">
        <f>LN_IC17*LN_IC4</f>
        <v>1089.9046368346571</v>
      </c>
      <c r="E102" s="376">
        <f t="shared" si="10"/>
        <v>42.398761881145447</v>
      </c>
      <c r="F102" s="362">
        <f t="shared" si="11"/>
        <v>4.047591798282478E-2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617</v>
      </c>
      <c r="C103" s="378">
        <f>IF(C102=0,0,C99/C102)</f>
        <v>1684.2836323741856</v>
      </c>
      <c r="D103" s="378">
        <f>IF(LN_IC18=0,0,LN_IC15/LN_IC18)</f>
        <v>1455.9549031818017</v>
      </c>
      <c r="E103" s="378">
        <f t="shared" si="10"/>
        <v>-228.32872919238389</v>
      </c>
      <c r="F103" s="362">
        <f t="shared" si="11"/>
        <v>-0.13556429855613397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642</v>
      </c>
      <c r="C104" s="378">
        <f>C61-C103</f>
        <v>11285.310351440883</v>
      </c>
      <c r="D104" s="378">
        <f>LN_IB18-LN_IC19</f>
        <v>12242.346772325813</v>
      </c>
      <c r="E104" s="378">
        <f t="shared" si="10"/>
        <v>957.03642088492961</v>
      </c>
      <c r="F104" s="362">
        <f t="shared" si="11"/>
        <v>8.4803730786432233E-2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643</v>
      </c>
      <c r="C105" s="378">
        <f>C32-C103</f>
        <v>5405.8643389875842</v>
      </c>
      <c r="D105" s="378">
        <f>LN_IA16-LN_IC19</f>
        <v>5369.6222088034365</v>
      </c>
      <c r="E105" s="378">
        <f t="shared" si="10"/>
        <v>-36.242130184147754</v>
      </c>
      <c r="F105" s="362">
        <f t="shared" si="11"/>
        <v>-6.7042248771886897E-3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628</v>
      </c>
      <c r="C106" s="361">
        <f>C105*C102</f>
        <v>5662674.6542911762</v>
      </c>
      <c r="D106" s="361">
        <f>LN_IC21*LN_IC18</f>
        <v>5852376.1434252188</v>
      </c>
      <c r="E106" s="361">
        <f t="shared" si="10"/>
        <v>189701.48913404252</v>
      </c>
      <c r="F106" s="362">
        <f t="shared" si="11"/>
        <v>3.3500333449368612E-2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644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619</v>
      </c>
      <c r="C109" s="361">
        <f>C83+C98</f>
        <v>59634503</v>
      </c>
      <c r="D109" s="361">
        <f>LN_IC1+LN_IC14</f>
        <v>63573241</v>
      </c>
      <c r="E109" s="361">
        <f>D109-C109</f>
        <v>3938738</v>
      </c>
      <c r="F109" s="362">
        <f>IF(C109=0,0,E109/C109)</f>
        <v>6.604797226196385E-2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620</v>
      </c>
      <c r="C110" s="361">
        <f>C84+C99</f>
        <v>2237759</v>
      </c>
      <c r="D110" s="361">
        <f>LN_IC2+LN_IC15</f>
        <v>2164844</v>
      </c>
      <c r="E110" s="361">
        <f>D110-C110</f>
        <v>-72915</v>
      </c>
      <c r="F110" s="362">
        <f>IF(C110=0,0,E110/C110)</f>
        <v>-3.2583937769884962E-2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621</v>
      </c>
      <c r="C111" s="361">
        <f>C109-C110</f>
        <v>57396744</v>
      </c>
      <c r="D111" s="361">
        <f>LN_IC23-LN_IC24</f>
        <v>61408397</v>
      </c>
      <c r="E111" s="361">
        <f>D111-C111</f>
        <v>4011653</v>
      </c>
      <c r="F111" s="362">
        <f>IF(C111=0,0,E111/C111)</f>
        <v>6.9893389771377976E-2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630</v>
      </c>
      <c r="C113" s="361">
        <f>C92+C106</f>
        <v>11504798.506866131</v>
      </c>
      <c r="D113" s="361">
        <f>LN_IC10+LN_IC22</f>
        <v>10280947.570068873</v>
      </c>
      <c r="E113" s="361">
        <f>D113-C113</f>
        <v>-1223850.9367972575</v>
      </c>
      <c r="F113" s="362">
        <f>IF(C113=0,0,E113/C113)</f>
        <v>-0.10637743338719545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645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646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603</v>
      </c>
      <c r="C118" s="361">
        <v>53088283</v>
      </c>
      <c r="D118" s="361">
        <v>63392712</v>
      </c>
      <c r="E118" s="361">
        <f t="shared" ref="E118:E130" si="12">D118-C118</f>
        <v>10304429</v>
      </c>
      <c r="F118" s="362">
        <f t="shared" ref="F118:F130" si="13">IF(C118=0,0,E118/C118)</f>
        <v>0.19409987322437985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604</v>
      </c>
      <c r="C119" s="361">
        <v>13873473</v>
      </c>
      <c r="D119" s="361">
        <v>11714938</v>
      </c>
      <c r="E119" s="361">
        <f t="shared" si="12"/>
        <v>-2158535</v>
      </c>
      <c r="F119" s="362">
        <f t="shared" si="13"/>
        <v>-0.15558721309365001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605</v>
      </c>
      <c r="C120" s="366">
        <f>IF(C118=0,0,C119/C118)</f>
        <v>0.26132834245176095</v>
      </c>
      <c r="D120" s="366">
        <f>IF(LN_ID1=0,0,LN_1D2/LN_ID1)</f>
        <v>0.18479944508447596</v>
      </c>
      <c r="E120" s="367">
        <f t="shared" si="12"/>
        <v>-7.6528897367284993E-2</v>
      </c>
      <c r="F120" s="362">
        <f t="shared" si="13"/>
        <v>-0.29284576119565597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2285</v>
      </c>
      <c r="D121" s="369">
        <v>2457</v>
      </c>
      <c r="E121" s="369">
        <f t="shared" si="12"/>
        <v>172</v>
      </c>
      <c r="F121" s="362">
        <f t="shared" si="13"/>
        <v>7.5273522975929971E-2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606</v>
      </c>
      <c r="C122" s="372">
        <v>0.88258999999999999</v>
      </c>
      <c r="D122" s="372">
        <v>0.92154999999999998</v>
      </c>
      <c r="E122" s="373">
        <f t="shared" si="12"/>
        <v>3.8959999999999995E-2</v>
      </c>
      <c r="F122" s="362">
        <f t="shared" si="13"/>
        <v>4.4142806965861835E-2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607</v>
      </c>
      <c r="C123" s="376">
        <f>C121*C122</f>
        <v>2016.7181499999999</v>
      </c>
      <c r="D123" s="376">
        <f>LN_ID4*LN_ID5</f>
        <v>2264.2483499999998</v>
      </c>
      <c r="E123" s="376">
        <f t="shared" si="12"/>
        <v>247.53019999999992</v>
      </c>
      <c r="F123" s="362">
        <f t="shared" si="13"/>
        <v>0.12273911453615863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608</v>
      </c>
      <c r="C124" s="378">
        <f>IF(C123=0,0,C119/C123)</f>
        <v>6879.2324797592564</v>
      </c>
      <c r="D124" s="378">
        <f>IF(LN_ID6=0,0,LN_1D2/LN_ID6)</f>
        <v>5173.8750300955289</v>
      </c>
      <c r="E124" s="378">
        <f t="shared" si="12"/>
        <v>-1705.3574496637275</v>
      </c>
      <c r="F124" s="362">
        <f t="shared" si="13"/>
        <v>-0.24789937753686841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647</v>
      </c>
      <c r="C125" s="378">
        <f>C48-C124</f>
        <v>3408.4411638565862</v>
      </c>
      <c r="D125" s="378">
        <f>LN_IB7-LN_ID7</f>
        <v>5856.201104967935</v>
      </c>
      <c r="E125" s="378">
        <f t="shared" si="12"/>
        <v>2447.7599411113488</v>
      </c>
      <c r="F125" s="362">
        <f t="shared" si="13"/>
        <v>0.71814645564887936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648</v>
      </c>
      <c r="C126" s="378">
        <f>C21-C124</f>
        <v>1818.1437763544463</v>
      </c>
      <c r="D126" s="378">
        <f>LN_IA7-LN_ID7</f>
        <v>4083.0139783984687</v>
      </c>
      <c r="E126" s="378">
        <f t="shared" si="12"/>
        <v>2264.8702020440223</v>
      </c>
      <c r="F126" s="362">
        <f t="shared" si="13"/>
        <v>1.2457046750094238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625</v>
      </c>
      <c r="C127" s="391">
        <f>C126*C123</f>
        <v>3666683.5530835525</v>
      </c>
      <c r="D127" s="391">
        <f>LN_ID9*LN_ID6</f>
        <v>9244957.6636156682</v>
      </c>
      <c r="E127" s="391">
        <f t="shared" si="12"/>
        <v>5578274.1105321161</v>
      </c>
      <c r="F127" s="362">
        <f t="shared" si="13"/>
        <v>1.5213404783297928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10144</v>
      </c>
      <c r="D128" s="369">
        <v>10974</v>
      </c>
      <c r="E128" s="369">
        <f t="shared" si="12"/>
        <v>830</v>
      </c>
      <c r="F128" s="362">
        <f t="shared" si="13"/>
        <v>8.18217665615142E-2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609</v>
      </c>
      <c r="C129" s="378">
        <f>IF(C128=0,0,C119/C128)</f>
        <v>1367.6530954258676</v>
      </c>
      <c r="D129" s="378">
        <f>IF(LN_ID11=0,0,LN_1D2/LN_ID11)</f>
        <v>1067.5175870238745</v>
      </c>
      <c r="E129" s="378">
        <f t="shared" si="12"/>
        <v>-300.13550840199309</v>
      </c>
      <c r="F129" s="362">
        <f t="shared" si="13"/>
        <v>-0.21945295148733254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610</v>
      </c>
      <c r="C130" s="379">
        <f>IF(C121=0,0,C128/C121)</f>
        <v>4.4393873085339166</v>
      </c>
      <c r="D130" s="379">
        <f>IF(LN_ID4=0,0,LN_ID11/LN_ID4)</f>
        <v>4.4664224664224665</v>
      </c>
      <c r="E130" s="379">
        <f t="shared" si="12"/>
        <v>2.7035157888549932E-2</v>
      </c>
      <c r="F130" s="362">
        <f t="shared" si="13"/>
        <v>6.089839883215359E-3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649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612</v>
      </c>
      <c r="C133" s="361">
        <v>45867653</v>
      </c>
      <c r="D133" s="361">
        <v>58636260</v>
      </c>
      <c r="E133" s="361">
        <f t="shared" ref="E133:E141" si="14">D133-C133</f>
        <v>12768607</v>
      </c>
      <c r="F133" s="362">
        <f t="shared" ref="F133:F141" si="15">IF(C133=0,0,E133/C133)</f>
        <v>0.27837934066519604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613</v>
      </c>
      <c r="C134" s="361">
        <v>7987232</v>
      </c>
      <c r="D134" s="361">
        <v>9785294</v>
      </c>
      <c r="E134" s="361">
        <f t="shared" si="14"/>
        <v>1798062</v>
      </c>
      <c r="F134" s="362">
        <f t="shared" si="15"/>
        <v>0.22511703679071798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614</v>
      </c>
      <c r="C135" s="366">
        <f>IF(C133=0,0,C134/C133)</f>
        <v>0.17413648786433436</v>
      </c>
      <c r="D135" s="366">
        <f>IF(LN_ID14=0,0,LN_ID15/LN_ID14)</f>
        <v>0.16688127789869273</v>
      </c>
      <c r="E135" s="367">
        <f t="shared" si="14"/>
        <v>-7.2552099656416347E-3</v>
      </c>
      <c r="F135" s="362">
        <f t="shared" si="15"/>
        <v>-4.1663927271198886E-2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615</v>
      </c>
      <c r="C136" s="366">
        <f>IF(C118=0,0,C133/C118)</f>
        <v>0.86398825518617728</v>
      </c>
      <c r="D136" s="366">
        <f>IF(LN_ID1=0,0,LN_ID14/LN_ID1)</f>
        <v>0.92496847271654825</v>
      </c>
      <c r="E136" s="367">
        <f t="shared" si="14"/>
        <v>6.0980217530370973E-2</v>
      </c>
      <c r="F136" s="362">
        <f t="shared" si="15"/>
        <v>7.0579914905475882E-2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616</v>
      </c>
      <c r="C137" s="376">
        <f>C136*C121</f>
        <v>1974.2131631004152</v>
      </c>
      <c r="D137" s="376">
        <f>LN_ID17*LN_ID4</f>
        <v>2272.6475374645593</v>
      </c>
      <c r="E137" s="376">
        <f t="shared" si="14"/>
        <v>298.43437436414411</v>
      </c>
      <c r="F137" s="362">
        <f t="shared" si="15"/>
        <v>0.15116623672768245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617</v>
      </c>
      <c r="C138" s="378">
        <f>IF(C137=0,0,C134/C137)</f>
        <v>4045.7799336401963</v>
      </c>
      <c r="D138" s="378">
        <f>IF(LN_ID18=0,0,LN_ID15/LN_ID18)</f>
        <v>4305.680418406102</v>
      </c>
      <c r="E138" s="378">
        <f t="shared" si="14"/>
        <v>259.90048476590573</v>
      </c>
      <c r="F138" s="362">
        <f t="shared" si="15"/>
        <v>6.4239896640166466E-2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650</v>
      </c>
      <c r="C139" s="378">
        <f>C61-C138</f>
        <v>8923.8140501748712</v>
      </c>
      <c r="D139" s="378">
        <f>LN_IB18-LN_ID19</f>
        <v>9392.621257101513</v>
      </c>
      <c r="E139" s="378">
        <f t="shared" si="14"/>
        <v>468.80720692664181</v>
      </c>
      <c r="F139" s="362">
        <f t="shared" si="15"/>
        <v>5.2534398889391362E-2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651</v>
      </c>
      <c r="C140" s="378">
        <f>C32-C138</f>
        <v>3044.3680377215737</v>
      </c>
      <c r="D140" s="378">
        <f>LN_IA16-LN_ID19</f>
        <v>2519.8966935791359</v>
      </c>
      <c r="E140" s="378">
        <f t="shared" si="14"/>
        <v>-524.47134414243783</v>
      </c>
      <c r="F140" s="362">
        <f t="shared" si="15"/>
        <v>-0.17227593301595553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628</v>
      </c>
      <c r="C141" s="353">
        <f>C140*C137</f>
        <v>6010231.4533921117</v>
      </c>
      <c r="D141" s="353">
        <f>LN_ID21*LN_ID18</f>
        <v>5726837.0153277079</v>
      </c>
      <c r="E141" s="353">
        <f t="shared" si="14"/>
        <v>-283394.43806440383</v>
      </c>
      <c r="F141" s="362">
        <f t="shared" si="15"/>
        <v>-4.71520007610454E-2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652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619</v>
      </c>
      <c r="C144" s="361">
        <f>C118+C133</f>
        <v>98955936</v>
      </c>
      <c r="D144" s="361">
        <f>LN_ID1+LN_ID14</f>
        <v>122028972</v>
      </c>
      <c r="E144" s="361">
        <f>D144-C144</f>
        <v>23073036</v>
      </c>
      <c r="F144" s="362">
        <f>IF(C144=0,0,E144/C144)</f>
        <v>0.23316474920716226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620</v>
      </c>
      <c r="C145" s="361">
        <f>C119+C134</f>
        <v>21860705</v>
      </c>
      <c r="D145" s="361">
        <f>LN_1D2+LN_ID15</f>
        <v>21500232</v>
      </c>
      <c r="E145" s="361">
        <f>D145-C145</f>
        <v>-360473</v>
      </c>
      <c r="F145" s="362">
        <f>IF(C145=0,0,E145/C145)</f>
        <v>-1.6489541394021829E-2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621</v>
      </c>
      <c r="C146" s="361">
        <f>C144-C145</f>
        <v>77095231</v>
      </c>
      <c r="D146" s="361">
        <f>LN_ID23-LN_ID24</f>
        <v>100528740</v>
      </c>
      <c r="E146" s="361">
        <f>D146-C146</f>
        <v>23433509</v>
      </c>
      <c r="F146" s="362">
        <f>IF(C146=0,0,E146/C146)</f>
        <v>0.30395536398353873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630</v>
      </c>
      <c r="C148" s="361">
        <f>C127+C141</f>
        <v>9676915.0064756647</v>
      </c>
      <c r="D148" s="361">
        <f>LN_ID10+LN_ID22</f>
        <v>14971794.678943377</v>
      </c>
      <c r="E148" s="361">
        <f>D148-C148</f>
        <v>5294879.6724677123</v>
      </c>
      <c r="F148" s="415">
        <f>IF(C148=0,0,E148/C148)</f>
        <v>0.54716608226118013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653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654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603</v>
      </c>
      <c r="C153" s="361">
        <v>21092910</v>
      </c>
      <c r="D153" s="361">
        <v>19165732</v>
      </c>
      <c r="E153" s="361">
        <f t="shared" ref="E153:E165" si="16">D153-C153</f>
        <v>-1927178</v>
      </c>
      <c r="F153" s="362">
        <f t="shared" ref="F153:F165" si="17">IF(C153=0,0,E153/C153)</f>
        <v>-9.1366150995761133E-2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604</v>
      </c>
      <c r="C154" s="361">
        <v>2167500</v>
      </c>
      <c r="D154" s="361">
        <v>1142274</v>
      </c>
      <c r="E154" s="361">
        <f t="shared" si="16"/>
        <v>-1025226</v>
      </c>
      <c r="F154" s="362">
        <f t="shared" si="17"/>
        <v>-0.4729993079584775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605</v>
      </c>
      <c r="C155" s="366">
        <f>IF(C153=0,0,C154/C153)</f>
        <v>0.10275964767308067</v>
      </c>
      <c r="D155" s="366">
        <f>IF(LN_IE1=0,0,LN_IE2/LN_IE1)</f>
        <v>5.9599810745553573E-2</v>
      </c>
      <c r="E155" s="367">
        <f t="shared" si="16"/>
        <v>-4.3159836927527097E-2</v>
      </c>
      <c r="F155" s="362">
        <f t="shared" si="17"/>
        <v>-0.42000763825928744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471</v>
      </c>
      <c r="D156" s="419">
        <v>450</v>
      </c>
      <c r="E156" s="419">
        <f t="shared" si="16"/>
        <v>-21</v>
      </c>
      <c r="F156" s="362">
        <f t="shared" si="17"/>
        <v>-4.4585987261146494E-2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606</v>
      </c>
      <c r="C157" s="372">
        <v>1.3754500000000001</v>
      </c>
      <c r="D157" s="372">
        <v>1.24499</v>
      </c>
      <c r="E157" s="373">
        <f t="shared" si="16"/>
        <v>-0.13046000000000002</v>
      </c>
      <c r="F157" s="362">
        <f t="shared" si="17"/>
        <v>-9.4848958522665325E-2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607</v>
      </c>
      <c r="C158" s="376">
        <f>C156*C157</f>
        <v>647.83695</v>
      </c>
      <c r="D158" s="376">
        <f>LN_IE4*LN_IE5</f>
        <v>560.24549999999999</v>
      </c>
      <c r="E158" s="376">
        <f t="shared" si="16"/>
        <v>-87.591450000000009</v>
      </c>
      <c r="F158" s="362">
        <f t="shared" si="17"/>
        <v>-0.13520601132738724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608</v>
      </c>
      <c r="C159" s="378">
        <f>IF(C158=0,0,C154/C158)</f>
        <v>3345.749266076904</v>
      </c>
      <c r="D159" s="378">
        <f>IF(LN_IE6=0,0,LN_IE2/LN_IE6)</f>
        <v>2038.8811690589216</v>
      </c>
      <c r="E159" s="378">
        <f t="shared" si="16"/>
        <v>-1306.8680970179823</v>
      </c>
      <c r="F159" s="362">
        <f t="shared" si="17"/>
        <v>-0.39060550958451384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655</v>
      </c>
      <c r="C160" s="378">
        <f>C48-C159</f>
        <v>6941.9243775389386</v>
      </c>
      <c r="D160" s="378">
        <f>LN_IB7-LN_IE7</f>
        <v>8991.1949660045429</v>
      </c>
      <c r="E160" s="378">
        <f t="shared" si="16"/>
        <v>2049.2705884656043</v>
      </c>
      <c r="F160" s="362">
        <f t="shared" si="17"/>
        <v>0.29520209051774698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656</v>
      </c>
      <c r="C161" s="378">
        <f>C21-C159</f>
        <v>5351.6269900367988</v>
      </c>
      <c r="D161" s="378">
        <f>LN_IA7-LN_IE7</f>
        <v>7218.0078394350758</v>
      </c>
      <c r="E161" s="378">
        <f t="shared" si="16"/>
        <v>1866.380849398277</v>
      </c>
      <c r="F161" s="362">
        <f t="shared" si="17"/>
        <v>0.34875017501648475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625</v>
      </c>
      <c r="C162" s="391">
        <f>C161*C158</f>
        <v>3466981.7067631204</v>
      </c>
      <c r="D162" s="391">
        <f>LN_IE9*LN_IE6</f>
        <v>4043856.4110082239</v>
      </c>
      <c r="E162" s="391">
        <f t="shared" si="16"/>
        <v>576874.70424510352</v>
      </c>
      <c r="F162" s="362">
        <f t="shared" si="17"/>
        <v>0.16639104357539033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3444</v>
      </c>
      <c r="D163" s="369">
        <v>3352</v>
      </c>
      <c r="E163" s="419">
        <f t="shared" si="16"/>
        <v>-92</v>
      </c>
      <c r="F163" s="362">
        <f t="shared" si="17"/>
        <v>-2.6713124274099883E-2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609</v>
      </c>
      <c r="C164" s="378">
        <f>IF(C163=0,0,C154/C163)</f>
        <v>629.35540069686408</v>
      </c>
      <c r="D164" s="378">
        <f>IF(LN_IE11=0,0,LN_IE2/LN_IE11)</f>
        <v>340.77386634844868</v>
      </c>
      <c r="E164" s="378">
        <f t="shared" si="16"/>
        <v>-288.5815343484154</v>
      </c>
      <c r="F164" s="362">
        <f t="shared" si="17"/>
        <v>-0.45853508848717078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610</v>
      </c>
      <c r="C165" s="379">
        <f>IF(C156=0,0,C163/C156)</f>
        <v>7.3121019108280256</v>
      </c>
      <c r="D165" s="379">
        <f>IF(LN_IE4=0,0,LN_IE11/LN_IE4)</f>
        <v>7.4488888888888889</v>
      </c>
      <c r="E165" s="379">
        <f t="shared" si="16"/>
        <v>0.13678697806086326</v>
      </c>
      <c r="F165" s="362">
        <f t="shared" si="17"/>
        <v>1.8706929926442101E-2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657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612</v>
      </c>
      <c r="C168" s="424">
        <v>12191496</v>
      </c>
      <c r="D168" s="424">
        <v>12848512</v>
      </c>
      <c r="E168" s="424">
        <f t="shared" ref="E168:E176" si="18">D168-C168</f>
        <v>657016</v>
      </c>
      <c r="F168" s="362">
        <f t="shared" ref="F168:F176" si="19">IF(C168=0,0,E168/C168)</f>
        <v>5.3891335402972695E-2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613</v>
      </c>
      <c r="C169" s="424">
        <v>1493424</v>
      </c>
      <c r="D169" s="424">
        <v>859141</v>
      </c>
      <c r="E169" s="424">
        <f t="shared" si="18"/>
        <v>-634283</v>
      </c>
      <c r="F169" s="362">
        <f t="shared" si="19"/>
        <v>-0.42471729395001018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614</v>
      </c>
      <c r="C170" s="366">
        <f>IF(C168=0,0,C169/C168)</f>
        <v>0.12249718984446208</v>
      </c>
      <c r="D170" s="366">
        <f>IF(LN_IE14=0,0,LN_IE15/LN_IE14)</f>
        <v>6.6866964828300735E-2</v>
      </c>
      <c r="E170" s="367">
        <f t="shared" si="18"/>
        <v>-5.5630225016161342E-2</v>
      </c>
      <c r="F170" s="362">
        <f t="shared" si="19"/>
        <v>-0.45413470371684861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615</v>
      </c>
      <c r="C171" s="366">
        <f>IF(C153=0,0,C168/C153)</f>
        <v>0.57799023463334365</v>
      </c>
      <c r="D171" s="366">
        <f>IF(LN_IE1=0,0,LN_IE14/LN_IE1)</f>
        <v>0.67038983953234865</v>
      </c>
      <c r="E171" s="367">
        <f t="shared" si="18"/>
        <v>9.2399604899005006E-2</v>
      </c>
      <c r="F171" s="362">
        <f t="shared" si="19"/>
        <v>0.15986360904111124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616</v>
      </c>
      <c r="C172" s="376">
        <f>C171*C156</f>
        <v>272.23340051230485</v>
      </c>
      <c r="D172" s="376">
        <f>LN_IE17*LN_IE4</f>
        <v>301.67542778955692</v>
      </c>
      <c r="E172" s="376">
        <f t="shared" si="18"/>
        <v>29.442027277252066</v>
      </c>
      <c r="F172" s="362">
        <f t="shared" si="19"/>
        <v>0.10814994494373698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617</v>
      </c>
      <c r="C173" s="378">
        <f>IF(C172=0,0,C169/C172)</f>
        <v>5485.8220820427869</v>
      </c>
      <c r="D173" s="378">
        <f>IF(LN_IE18=0,0,LN_IE15/LN_IE18)</f>
        <v>2847.8985056725287</v>
      </c>
      <c r="E173" s="378">
        <f t="shared" si="18"/>
        <v>-2637.9235763702582</v>
      </c>
      <c r="F173" s="362">
        <f t="shared" si="19"/>
        <v>-0.48086203615775297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658</v>
      </c>
      <c r="C174" s="378">
        <f>C61-C173</f>
        <v>7483.7719017722811</v>
      </c>
      <c r="D174" s="378">
        <f>LN_IB18-LN_IE19</f>
        <v>10850.403169835086</v>
      </c>
      <c r="E174" s="378">
        <f t="shared" si="18"/>
        <v>3366.6312680628052</v>
      </c>
      <c r="F174" s="362">
        <f t="shared" si="19"/>
        <v>0.44985754673596229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659</v>
      </c>
      <c r="C175" s="378">
        <f>C32-C173</f>
        <v>1604.3258893189832</v>
      </c>
      <c r="D175" s="378">
        <f>LN_IA16-LN_IE19</f>
        <v>3977.6786063127092</v>
      </c>
      <c r="E175" s="378">
        <f t="shared" si="18"/>
        <v>2373.3527169937261</v>
      </c>
      <c r="F175" s="362">
        <f t="shared" si="19"/>
        <v>1.4793457693319314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628</v>
      </c>
      <c r="C176" s="353">
        <f>C175*C172</f>
        <v>436751.09237923444</v>
      </c>
      <c r="D176" s="353">
        <f>LN_IE21*LN_IE18</f>
        <v>1199967.8951687552</v>
      </c>
      <c r="E176" s="353">
        <f t="shared" si="18"/>
        <v>763216.80278952071</v>
      </c>
      <c r="F176" s="362">
        <f t="shared" si="19"/>
        <v>1.7474868777816668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660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619</v>
      </c>
      <c r="C179" s="361">
        <f>C153+C168</f>
        <v>33284406</v>
      </c>
      <c r="D179" s="361">
        <f>LN_IE1+LN_IE14</f>
        <v>32014244</v>
      </c>
      <c r="E179" s="361">
        <f>D179-C179</f>
        <v>-1270162</v>
      </c>
      <c r="F179" s="362">
        <f>IF(C179=0,0,E179/C179)</f>
        <v>-3.8160873293036988E-2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620</v>
      </c>
      <c r="C180" s="361">
        <f>C154+C169</f>
        <v>3660924</v>
      </c>
      <c r="D180" s="361">
        <f>LN_IE15+LN_IE2</f>
        <v>2001415</v>
      </c>
      <c r="E180" s="361">
        <f>D180-C180</f>
        <v>-1659509</v>
      </c>
      <c r="F180" s="362">
        <f>IF(C180=0,0,E180/C180)</f>
        <v>-0.45330331905278559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621</v>
      </c>
      <c r="C181" s="361">
        <f>C179-C180</f>
        <v>29623482</v>
      </c>
      <c r="D181" s="361">
        <f>LN_IE23-LN_IE24</f>
        <v>30012829</v>
      </c>
      <c r="E181" s="361">
        <f>D181-C181</f>
        <v>389347</v>
      </c>
      <c r="F181" s="362">
        <f>IF(C181=0,0,E181/C181)</f>
        <v>1.3143188231552253E-2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661</v>
      </c>
      <c r="C183" s="361">
        <f>C162+C176</f>
        <v>3903732.7991423546</v>
      </c>
      <c r="D183" s="361">
        <f>LN_IE10+LN_IE22</f>
        <v>5243824.3061769791</v>
      </c>
      <c r="E183" s="353">
        <f>D183-C183</f>
        <v>1340091.5070346245</v>
      </c>
      <c r="F183" s="362">
        <f>IF(C183=0,0,E183/C183)</f>
        <v>0.3432846395965013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662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663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603</v>
      </c>
      <c r="C188" s="361">
        <f>C118+C153</f>
        <v>74181193</v>
      </c>
      <c r="D188" s="361">
        <f>LN_ID1+LN_IE1</f>
        <v>82558444</v>
      </c>
      <c r="E188" s="361">
        <f t="shared" ref="E188:E200" si="20">D188-C188</f>
        <v>8377251</v>
      </c>
      <c r="F188" s="362">
        <f t="shared" ref="F188:F200" si="21">IF(C188=0,0,E188/C188)</f>
        <v>0.11292958041265257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604</v>
      </c>
      <c r="C189" s="361">
        <f>C119+C154</f>
        <v>16040973</v>
      </c>
      <c r="D189" s="361">
        <f>LN_1D2+LN_IE2</f>
        <v>12857212</v>
      </c>
      <c r="E189" s="361">
        <f t="shared" si="20"/>
        <v>-3183761</v>
      </c>
      <c r="F189" s="362">
        <f t="shared" si="21"/>
        <v>-0.19847680062799183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605</v>
      </c>
      <c r="C190" s="366">
        <f>IF(C188=0,0,C189/C188)</f>
        <v>0.21624042902626275</v>
      </c>
      <c r="D190" s="366">
        <f>IF(LN_IF1=0,0,LN_IF2/LN_IF1)</f>
        <v>0.15573466961174801</v>
      </c>
      <c r="E190" s="367">
        <f t="shared" si="20"/>
        <v>-6.0505759414514748E-2</v>
      </c>
      <c r="F190" s="362">
        <f t="shared" si="21"/>
        <v>-0.27980780322613136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2756</v>
      </c>
      <c r="D191" s="369">
        <f>LN_ID4+LN_IE4</f>
        <v>2907</v>
      </c>
      <c r="E191" s="369">
        <f t="shared" si="20"/>
        <v>151</v>
      </c>
      <c r="F191" s="362">
        <f t="shared" si="21"/>
        <v>5.4789550072568943E-2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606</v>
      </c>
      <c r="C192" s="372">
        <f>IF((C121+C156)=0,0,(C123+C158)/(C121+C156))</f>
        <v>0.96681970246734394</v>
      </c>
      <c r="D192" s="372">
        <f>IF((LN_ID4+LN_IE4)=0,0,(LN_ID6+LN_IE6)/(LN_ID4+LN_IE4))</f>
        <v>0.97161811145510835</v>
      </c>
      <c r="E192" s="373">
        <f t="shared" si="20"/>
        <v>4.7984089877644021E-3</v>
      </c>
      <c r="F192" s="362">
        <f t="shared" si="21"/>
        <v>4.9630856461848703E-3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607</v>
      </c>
      <c r="C193" s="376">
        <f>C123+C158</f>
        <v>2664.5551</v>
      </c>
      <c r="D193" s="376">
        <f>LN_IF4*LN_IF5</f>
        <v>2824.4938499999998</v>
      </c>
      <c r="E193" s="376">
        <f t="shared" si="20"/>
        <v>159.9387499999998</v>
      </c>
      <c r="F193" s="362">
        <f t="shared" si="21"/>
        <v>6.0024560948279806E-2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608</v>
      </c>
      <c r="C194" s="378">
        <f>IF(C193=0,0,C189/C193)</f>
        <v>6020.1318411467637</v>
      </c>
      <c r="D194" s="378">
        <f>IF(LN_IF6=0,0,LN_IF2/LN_IF6)</f>
        <v>4552.0410674641762</v>
      </c>
      <c r="E194" s="378">
        <f t="shared" si="20"/>
        <v>-1468.0907736825875</v>
      </c>
      <c r="F194" s="362">
        <f t="shared" si="21"/>
        <v>-0.24386355854341782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664</v>
      </c>
      <c r="C195" s="378">
        <f>C48-C194</f>
        <v>4267.5418024690789</v>
      </c>
      <c r="D195" s="378">
        <f>LN_IB7-LN_IF7</f>
        <v>6478.0350675992877</v>
      </c>
      <c r="E195" s="378">
        <f t="shared" si="20"/>
        <v>2210.4932651302088</v>
      </c>
      <c r="F195" s="362">
        <f t="shared" si="21"/>
        <v>0.51797811654739501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665</v>
      </c>
      <c r="C196" s="378">
        <f>C21-C194</f>
        <v>2677.2444149669391</v>
      </c>
      <c r="D196" s="378">
        <f>LN_IA7-LN_IF7</f>
        <v>4704.8479410298214</v>
      </c>
      <c r="E196" s="378">
        <f t="shared" si="20"/>
        <v>2027.6035260628823</v>
      </c>
      <c r="F196" s="362">
        <f t="shared" si="21"/>
        <v>0.75734718680435498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625</v>
      </c>
      <c r="C197" s="391">
        <f>C127+C162</f>
        <v>7133665.2598466724</v>
      </c>
      <c r="D197" s="391">
        <f>LN_IF9*LN_IF6</f>
        <v>13288814.074623892</v>
      </c>
      <c r="E197" s="391">
        <f t="shared" si="20"/>
        <v>6155148.8147772197</v>
      </c>
      <c r="F197" s="362">
        <f t="shared" si="21"/>
        <v>0.86283118012598137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13588</v>
      </c>
      <c r="D198" s="369">
        <f>LN_ID11+LN_IE11</f>
        <v>14326</v>
      </c>
      <c r="E198" s="369">
        <f t="shared" si="20"/>
        <v>738</v>
      </c>
      <c r="F198" s="362">
        <f t="shared" si="21"/>
        <v>5.4312628790108917E-2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609</v>
      </c>
      <c r="C199" s="432">
        <f>IF(C198=0,0,C189/C198)</f>
        <v>1180.5249484839565</v>
      </c>
      <c r="D199" s="432">
        <f>IF(LN_IF11=0,0,LN_IF2/LN_IF11)</f>
        <v>897.47396342314676</v>
      </c>
      <c r="E199" s="432">
        <f t="shared" si="20"/>
        <v>-283.05098506080969</v>
      </c>
      <c r="F199" s="362">
        <f t="shared" si="21"/>
        <v>-0.2397670506026213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610</v>
      </c>
      <c r="C200" s="379">
        <f>IF(C191=0,0,C198/C191)</f>
        <v>4.9303338171262698</v>
      </c>
      <c r="D200" s="379">
        <f>IF(LN_IF4=0,0,LN_IF11/LN_IF4)</f>
        <v>4.9281045751633989</v>
      </c>
      <c r="E200" s="379">
        <f t="shared" si="20"/>
        <v>-2.2292419628708871E-3</v>
      </c>
      <c r="F200" s="362">
        <f t="shared" si="21"/>
        <v>-4.5214828154784844E-4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666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612</v>
      </c>
      <c r="C203" s="361">
        <f>C133+C168</f>
        <v>58059149</v>
      </c>
      <c r="D203" s="361">
        <f>LN_ID14+LN_IE14</f>
        <v>71484772</v>
      </c>
      <c r="E203" s="361">
        <f t="shared" ref="E203:E211" si="22">D203-C203</f>
        <v>13425623</v>
      </c>
      <c r="F203" s="362">
        <f t="shared" ref="F203:F211" si="23">IF(C203=0,0,E203/C203)</f>
        <v>0.23124043723065937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613</v>
      </c>
      <c r="C204" s="361">
        <f>C134+C169</f>
        <v>9480656</v>
      </c>
      <c r="D204" s="361">
        <f>LN_ID15+LN_IE15</f>
        <v>10644435</v>
      </c>
      <c r="E204" s="361">
        <f t="shared" si="22"/>
        <v>1163779</v>
      </c>
      <c r="F204" s="362">
        <f t="shared" si="23"/>
        <v>0.12275300358962501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614</v>
      </c>
      <c r="C205" s="366">
        <f>IF(C203=0,0,C204/C203)</f>
        <v>0.16329305825684767</v>
      </c>
      <c r="D205" s="366">
        <f>IF(LN_IF14=0,0,LN_IF15/LN_IF14)</f>
        <v>0.14890493040951436</v>
      </c>
      <c r="E205" s="367">
        <f t="shared" si="22"/>
        <v>-1.4388127847333315E-2</v>
      </c>
      <c r="F205" s="362">
        <f t="shared" si="23"/>
        <v>-8.8112305574569338E-2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615</v>
      </c>
      <c r="C206" s="366">
        <f>IF(C188=0,0,C203/C188)</f>
        <v>0.78266669289074386</v>
      </c>
      <c r="D206" s="366">
        <f>IF(LN_IF1=0,0,LN_IF14/LN_IF1)</f>
        <v>0.8658686929710061</v>
      </c>
      <c r="E206" s="367">
        <f t="shared" si="22"/>
        <v>8.3202000080262239E-2</v>
      </c>
      <c r="F206" s="362">
        <f t="shared" si="23"/>
        <v>0.10630578870420489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616</v>
      </c>
      <c r="C207" s="376">
        <f>C137+C172</f>
        <v>2246.4465636127202</v>
      </c>
      <c r="D207" s="376">
        <f>LN_ID18+LN_IE18</f>
        <v>2574.3229652541163</v>
      </c>
      <c r="E207" s="376">
        <f t="shared" si="22"/>
        <v>327.87640164139611</v>
      </c>
      <c r="F207" s="362">
        <f t="shared" si="23"/>
        <v>0.14595335003834123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617</v>
      </c>
      <c r="C208" s="378">
        <f>IF(C207=0,0,C204/C207)</f>
        <v>4220.2900142673652</v>
      </c>
      <c r="D208" s="378">
        <f>IF(LN_IF18=0,0,LN_IF15/LN_IF18)</f>
        <v>4134.8483246542719</v>
      </c>
      <c r="E208" s="378">
        <f t="shared" si="22"/>
        <v>-85.441689613093331</v>
      </c>
      <c r="F208" s="362">
        <f t="shared" si="23"/>
        <v>-2.0245454536120512E-2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667</v>
      </c>
      <c r="C209" s="378">
        <f>C61-C208</f>
        <v>8749.3039695477019</v>
      </c>
      <c r="D209" s="378">
        <f>LN_IB18-LN_IF19</f>
        <v>9563.4533508533423</v>
      </c>
      <c r="E209" s="378">
        <f t="shared" si="22"/>
        <v>814.14938130564042</v>
      </c>
      <c r="F209" s="362">
        <f t="shared" si="23"/>
        <v>9.3053045606749915E-2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668</v>
      </c>
      <c r="C210" s="378">
        <f>C32-C208</f>
        <v>2869.8579570944048</v>
      </c>
      <c r="D210" s="378">
        <f>LN_IA16-LN_IF19</f>
        <v>2690.728787330966</v>
      </c>
      <c r="E210" s="378">
        <f t="shared" si="22"/>
        <v>-179.12916976343877</v>
      </c>
      <c r="F210" s="362">
        <f t="shared" si="23"/>
        <v>-6.2417434047780739E-2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628</v>
      </c>
      <c r="C211" s="391">
        <f>C141+C176</f>
        <v>6446982.5457713464</v>
      </c>
      <c r="D211" s="353">
        <f>LN_IF21*LN_IF18</f>
        <v>6926804.9104964649</v>
      </c>
      <c r="E211" s="353">
        <f t="shared" si="22"/>
        <v>479822.3647251185</v>
      </c>
      <c r="F211" s="362">
        <f t="shared" si="23"/>
        <v>7.4425882390489764E-2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669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619</v>
      </c>
      <c r="C214" s="361">
        <f>C188+C203</f>
        <v>132240342</v>
      </c>
      <c r="D214" s="361">
        <f>LN_IF1+LN_IF14</f>
        <v>154043216</v>
      </c>
      <c r="E214" s="361">
        <f>D214-C214</f>
        <v>21802874</v>
      </c>
      <c r="F214" s="362">
        <f>IF(C214=0,0,E214/C214)</f>
        <v>0.16487309145041382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620</v>
      </c>
      <c r="C215" s="361">
        <f>C189+C204</f>
        <v>25521629</v>
      </c>
      <c r="D215" s="361">
        <f>LN_IF2+LN_IF15</f>
        <v>23501647</v>
      </c>
      <c r="E215" s="361">
        <f>D215-C215</f>
        <v>-2019982</v>
      </c>
      <c r="F215" s="362">
        <f>IF(C215=0,0,E215/C215)</f>
        <v>-7.9147847498292526E-2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621</v>
      </c>
      <c r="C216" s="361">
        <f>C214-C215</f>
        <v>106718713</v>
      </c>
      <c r="D216" s="361">
        <f>LN_IF23-LN_IF24</f>
        <v>130541569</v>
      </c>
      <c r="E216" s="361">
        <f>D216-C216</f>
        <v>23822856</v>
      </c>
      <c r="F216" s="362">
        <f>IF(C216=0,0,E216/C216)</f>
        <v>0.22323035323711221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670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671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603</v>
      </c>
      <c r="C221" s="361">
        <v>235250</v>
      </c>
      <c r="D221" s="361">
        <v>230354</v>
      </c>
      <c r="E221" s="361">
        <f t="shared" ref="E221:E230" si="24">D221-C221</f>
        <v>-4896</v>
      </c>
      <c r="F221" s="362">
        <f t="shared" ref="F221:F230" si="25">IF(C221=0,0,E221/C221)</f>
        <v>-2.0811902231668438E-2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604</v>
      </c>
      <c r="C222" s="361">
        <v>53861</v>
      </c>
      <c r="D222" s="361">
        <v>59886</v>
      </c>
      <c r="E222" s="361">
        <f t="shared" si="24"/>
        <v>6025</v>
      </c>
      <c r="F222" s="362">
        <f t="shared" si="25"/>
        <v>0.11186201518724123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605</v>
      </c>
      <c r="C223" s="366">
        <f>IF(C221=0,0,C222/C221)</f>
        <v>0.22895217853347502</v>
      </c>
      <c r="D223" s="366">
        <f>IF(LN_IG1=0,0,LN_IG2/LN_IG1)</f>
        <v>0.259973779487224</v>
      </c>
      <c r="E223" s="367">
        <f t="shared" si="24"/>
        <v>3.1021600953748979E-2</v>
      </c>
      <c r="F223" s="362">
        <f t="shared" si="25"/>
        <v>0.13549380116168372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11</v>
      </c>
      <c r="D224" s="369">
        <v>13</v>
      </c>
      <c r="E224" s="369">
        <f t="shared" si="24"/>
        <v>2</v>
      </c>
      <c r="F224" s="362">
        <f t="shared" si="25"/>
        <v>0.18181818181818182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606</v>
      </c>
      <c r="C225" s="372">
        <v>1.0287200000000001</v>
      </c>
      <c r="D225" s="372">
        <v>0.75034000000000001</v>
      </c>
      <c r="E225" s="373">
        <f t="shared" si="24"/>
        <v>-0.27838000000000007</v>
      </c>
      <c r="F225" s="362">
        <f t="shared" si="25"/>
        <v>-0.2706081343805895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607</v>
      </c>
      <c r="C226" s="376">
        <f>C224*C225</f>
        <v>11.31592</v>
      </c>
      <c r="D226" s="376">
        <f>LN_IG3*LN_IG4</f>
        <v>9.7544199999999996</v>
      </c>
      <c r="E226" s="376">
        <f t="shared" si="24"/>
        <v>-1.5615000000000006</v>
      </c>
      <c r="F226" s="362">
        <f t="shared" si="25"/>
        <v>-0.13799143154069668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608</v>
      </c>
      <c r="C227" s="378">
        <f>IF(C226=0,0,C222/C226)</f>
        <v>4759.7543991120474</v>
      </c>
      <c r="D227" s="378">
        <f>IF(LN_IG5=0,0,LN_IG2/LN_IG5)</f>
        <v>6139.3706647858098</v>
      </c>
      <c r="E227" s="378">
        <f t="shared" si="24"/>
        <v>1379.6162656737624</v>
      </c>
      <c r="F227" s="362">
        <f t="shared" si="25"/>
        <v>0.28985030528699879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34</v>
      </c>
      <c r="D228" s="369">
        <v>51</v>
      </c>
      <c r="E228" s="369">
        <f t="shared" si="24"/>
        <v>17</v>
      </c>
      <c r="F228" s="362">
        <f t="shared" si="25"/>
        <v>0.5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609</v>
      </c>
      <c r="C229" s="378">
        <f>IF(C228=0,0,C222/C228)</f>
        <v>1584.1470588235295</v>
      </c>
      <c r="D229" s="378">
        <f>IF(LN_IG6=0,0,LN_IG2/LN_IG6)</f>
        <v>1174.2352941176471</v>
      </c>
      <c r="E229" s="378">
        <f t="shared" si="24"/>
        <v>-409.91176470588243</v>
      </c>
      <c r="F229" s="362">
        <f t="shared" si="25"/>
        <v>-0.25875865654183922</v>
      </c>
      <c r="Q229" s="330"/>
      <c r="U229" s="375"/>
    </row>
    <row r="230" spans="1:21" ht="11.25" customHeight="1" x14ac:dyDescent="0.2">
      <c r="A230" s="364">
        <v>10</v>
      </c>
      <c r="B230" s="360" t="s">
        <v>610</v>
      </c>
      <c r="C230" s="379">
        <f>IF(C224=0,0,C228/C224)</f>
        <v>3.0909090909090908</v>
      </c>
      <c r="D230" s="379">
        <f>IF(LN_IG3=0,0,LN_IG6/LN_IG3)</f>
        <v>3.9230769230769229</v>
      </c>
      <c r="E230" s="379">
        <f t="shared" si="24"/>
        <v>0.83216783216783208</v>
      </c>
      <c r="F230" s="362">
        <f t="shared" si="25"/>
        <v>0.26923076923076922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672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612</v>
      </c>
      <c r="C233" s="361">
        <v>341637</v>
      </c>
      <c r="D233" s="361">
        <v>445996</v>
      </c>
      <c r="E233" s="361">
        <f>D233-C233</f>
        <v>104359</v>
      </c>
      <c r="F233" s="362">
        <f>IF(C233=0,0,E233/C233)</f>
        <v>0.30546749912919269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613</v>
      </c>
      <c r="C234" s="361">
        <v>126599</v>
      </c>
      <c r="D234" s="361">
        <v>50252</v>
      </c>
      <c r="E234" s="361">
        <f>D234-C234</f>
        <v>-76347</v>
      </c>
      <c r="F234" s="362">
        <f>IF(C234=0,0,E234/C234)</f>
        <v>-0.60306163555794279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673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619</v>
      </c>
      <c r="C237" s="361">
        <f>C221+C233</f>
        <v>576887</v>
      </c>
      <c r="D237" s="361">
        <f>LN_IG1+LN_IG9</f>
        <v>676350</v>
      </c>
      <c r="E237" s="361">
        <f>D237-C237</f>
        <v>99463</v>
      </c>
      <c r="F237" s="362">
        <f>IF(C237=0,0,E237/C237)</f>
        <v>0.17241331491262588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620</v>
      </c>
      <c r="C238" s="361">
        <f>C222+C234</f>
        <v>180460</v>
      </c>
      <c r="D238" s="361">
        <f>LN_IG2+LN_IG10</f>
        <v>110138</v>
      </c>
      <c r="E238" s="361">
        <f>D238-C238</f>
        <v>-70322</v>
      </c>
      <c r="F238" s="362">
        <f>IF(C238=0,0,E238/C238)</f>
        <v>-0.38968192397207135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621</v>
      </c>
      <c r="C239" s="361">
        <f>C237-C238</f>
        <v>396427</v>
      </c>
      <c r="D239" s="361">
        <f>LN_IG13-LN_IG14</f>
        <v>566212</v>
      </c>
      <c r="E239" s="361">
        <f>D239-C239</f>
        <v>169785</v>
      </c>
      <c r="F239" s="362">
        <f>IF(C239=0,0,E239/C239)</f>
        <v>0.42828818420541487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674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675</v>
      </c>
      <c r="C243" s="361">
        <v>23523556</v>
      </c>
      <c r="D243" s="361">
        <v>24062351</v>
      </c>
      <c r="E243" s="353">
        <f>D243-C243</f>
        <v>538795</v>
      </c>
      <c r="F243" s="415">
        <f>IF(C243=0,0,E243/C243)</f>
        <v>2.2904487739863821E-2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676</v>
      </c>
      <c r="C244" s="361">
        <v>425519879</v>
      </c>
      <c r="D244" s="361">
        <v>431680034</v>
      </c>
      <c r="E244" s="353">
        <f>D244-C244</f>
        <v>6160155</v>
      </c>
      <c r="F244" s="415">
        <f>IF(C244=0,0,E244/C244)</f>
        <v>1.4476773716134659E-2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677</v>
      </c>
      <c r="C245" s="400">
        <v>2936412</v>
      </c>
      <c r="D245" s="400">
        <v>2850410</v>
      </c>
      <c r="E245" s="400">
        <f>D245-C245</f>
        <v>-86002</v>
      </c>
      <c r="F245" s="401">
        <f>IF(C245=0,0,E245/C245)</f>
        <v>-2.9288124418508029E-2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678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679</v>
      </c>
      <c r="C248" s="353">
        <v>11909791</v>
      </c>
      <c r="D248" s="353">
        <v>23197082</v>
      </c>
      <c r="E248" s="353">
        <f>D248-C248</f>
        <v>11287291</v>
      </c>
      <c r="F248" s="362">
        <f>IF(C248=0,0,E248/C248)</f>
        <v>0.94773208026908284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680</v>
      </c>
      <c r="C249" s="353">
        <v>47934677</v>
      </c>
      <c r="D249" s="353">
        <v>42704703</v>
      </c>
      <c r="E249" s="353">
        <f>D249-C249</f>
        <v>-5229974</v>
      </c>
      <c r="F249" s="362">
        <f>IF(C249=0,0,E249/C249)</f>
        <v>-0.1091062739402625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681</v>
      </c>
      <c r="C250" s="353">
        <f>C248+C249</f>
        <v>59844468</v>
      </c>
      <c r="D250" s="353">
        <f>LN_IH4+LN_IH5</f>
        <v>65901785</v>
      </c>
      <c r="E250" s="353">
        <f>D250-C250</f>
        <v>6057317</v>
      </c>
      <c r="F250" s="362">
        <f>IF(C250=0,0,E250/C250)</f>
        <v>0.10121765975093971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682</v>
      </c>
      <c r="C251" s="353">
        <f>C250*C313</f>
        <v>21584250.893948287</v>
      </c>
      <c r="D251" s="353">
        <f>LN_IH6*LN_III10</f>
        <v>23866565.56902891</v>
      </c>
      <c r="E251" s="353">
        <f>D251-C251</f>
        <v>2282314.6750806235</v>
      </c>
      <c r="F251" s="362">
        <f>IF(C251=0,0,E251/C251)</f>
        <v>0.10573981401043343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683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619</v>
      </c>
      <c r="C254" s="353">
        <f>C188+C203</f>
        <v>132240342</v>
      </c>
      <c r="D254" s="353">
        <f>LN_IF23</f>
        <v>154043216</v>
      </c>
      <c r="E254" s="353">
        <f>D254-C254</f>
        <v>21802874</v>
      </c>
      <c r="F254" s="362">
        <f>IF(C254=0,0,E254/C254)</f>
        <v>0.16487309145041382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620</v>
      </c>
      <c r="C255" s="353">
        <f>C189+C204</f>
        <v>25521629</v>
      </c>
      <c r="D255" s="353">
        <f>LN_IF24</f>
        <v>23501647</v>
      </c>
      <c r="E255" s="353">
        <f>D255-C255</f>
        <v>-2019982</v>
      </c>
      <c r="F255" s="362">
        <f>IF(C255=0,0,E255/C255)</f>
        <v>-7.9147847498292526E-2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684</v>
      </c>
      <c r="C256" s="353">
        <f>C254*C313</f>
        <v>47695448.14116364</v>
      </c>
      <c r="D256" s="353">
        <f>LN_IH8*LN_III10</f>
        <v>55787297.948425576</v>
      </c>
      <c r="E256" s="353">
        <f>D256-C256</f>
        <v>8091849.8072619364</v>
      </c>
      <c r="F256" s="362">
        <f>IF(C256=0,0,E256/C256)</f>
        <v>0.16965664696791583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685</v>
      </c>
      <c r="C257" s="353">
        <f>C256-C255</f>
        <v>22173819.14116364</v>
      </c>
      <c r="D257" s="353">
        <f>LN_IH10-LN_IH9</f>
        <v>32285650.948425576</v>
      </c>
      <c r="E257" s="353">
        <f>D257-C257</f>
        <v>10111831.807261936</v>
      </c>
      <c r="F257" s="362">
        <f>IF(C257=0,0,E257/C257)</f>
        <v>0.45602571856871771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686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687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688</v>
      </c>
      <c r="C261" s="361">
        <f>C15+C42+C188+C221</f>
        <v>519029050</v>
      </c>
      <c r="D261" s="361">
        <f>LN_IA1+LN_IB1+LN_IF1+LN_IG1</f>
        <v>578603475</v>
      </c>
      <c r="E261" s="361">
        <f t="shared" ref="E261:E274" si="26">D261-C261</f>
        <v>59574425</v>
      </c>
      <c r="F261" s="415">
        <f t="shared" ref="F261:F274" si="27">IF(C261=0,0,E261/C261)</f>
        <v>0.1147805214370949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689</v>
      </c>
      <c r="C262" s="361">
        <f>C16+C43+C189+C222</f>
        <v>161734487</v>
      </c>
      <c r="D262" s="361">
        <f>+LN_IA2+LN_IB2+LN_IF2+LN_IG2</f>
        <v>168753453</v>
      </c>
      <c r="E262" s="361">
        <f t="shared" si="26"/>
        <v>7018966</v>
      </c>
      <c r="F262" s="415">
        <f t="shared" si="27"/>
        <v>4.3398078728873697E-2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690</v>
      </c>
      <c r="C263" s="366">
        <f>IF(C261=0,0,C262/C261)</f>
        <v>0.31160970084429762</v>
      </c>
      <c r="D263" s="366">
        <f>IF(LN_IIA1=0,0,LN_IIA2/LN_IIA1)</f>
        <v>0.29165648028643448</v>
      </c>
      <c r="E263" s="367">
        <f t="shared" si="26"/>
        <v>-1.9953220557863138E-2</v>
      </c>
      <c r="F263" s="371">
        <f t="shared" si="27"/>
        <v>-6.4032732305189646E-2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691</v>
      </c>
      <c r="C264" s="369">
        <f>C18+C45+C191+C224</f>
        <v>14888</v>
      </c>
      <c r="D264" s="369">
        <f>LN_IA4+LN_IB4+LN_IF4+LN_IG3</f>
        <v>15089</v>
      </c>
      <c r="E264" s="369">
        <f t="shared" si="26"/>
        <v>201</v>
      </c>
      <c r="F264" s="415">
        <f t="shared" si="27"/>
        <v>1.3500806018269747E-2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692</v>
      </c>
      <c r="C265" s="439">
        <f>IF(C264=0,0,C266/C264)</f>
        <v>1.2139909692369695</v>
      </c>
      <c r="D265" s="439">
        <f>IF(LN_IIA4=0,0,LN_IIA6/LN_IIA4)</f>
        <v>1.2121896659818412</v>
      </c>
      <c r="E265" s="439">
        <f t="shared" si="26"/>
        <v>-1.8013032551282837E-3</v>
      </c>
      <c r="F265" s="415">
        <f t="shared" si="27"/>
        <v>-1.4837863713767639E-3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693</v>
      </c>
      <c r="C266" s="376">
        <f>C20+C47+C193+C226</f>
        <v>18073.897550000002</v>
      </c>
      <c r="D266" s="376">
        <f>LN_IA6+LN_IB6+LN_IF6+LN_IG5</f>
        <v>18290.729870000003</v>
      </c>
      <c r="E266" s="376">
        <f t="shared" si="26"/>
        <v>216.83232000000135</v>
      </c>
      <c r="F266" s="415">
        <f t="shared" si="27"/>
        <v>1.1996987334920538E-2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694</v>
      </c>
      <c r="C267" s="361">
        <f>C27+C56+C203+C233</f>
        <v>637988263</v>
      </c>
      <c r="D267" s="361">
        <f>LN_IA11+LN_IB13+LN_IF14+LN_IG9</f>
        <v>710022246</v>
      </c>
      <c r="E267" s="361">
        <f t="shared" si="26"/>
        <v>72033983</v>
      </c>
      <c r="F267" s="415">
        <f t="shared" si="27"/>
        <v>0.11290800658506785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615</v>
      </c>
      <c r="C268" s="366">
        <f>IF(C261=0,0,C267/C261)</f>
        <v>1.2291956741149652</v>
      </c>
      <c r="D268" s="366">
        <f>IF(LN_IIA1=0,0,LN_IIA7/LN_IIA1)</f>
        <v>1.2271309742825172</v>
      </c>
      <c r="E268" s="367">
        <f t="shared" si="26"/>
        <v>-2.0646998324480581E-3</v>
      </c>
      <c r="F268" s="371">
        <f t="shared" si="27"/>
        <v>-1.679716155798112E-3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695</v>
      </c>
      <c r="C269" s="361">
        <f>C28+C57+C204+C234</f>
        <v>219721790</v>
      </c>
      <c r="D269" s="361">
        <f>LN_IA12+LN_IB14+LN_IF15+LN_IG10</f>
        <v>226233451</v>
      </c>
      <c r="E269" s="361">
        <f t="shared" si="26"/>
        <v>6511661</v>
      </c>
      <c r="F269" s="415">
        <f t="shared" si="27"/>
        <v>2.9635936426696687E-2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614</v>
      </c>
      <c r="C270" s="366">
        <f>IF(C267=0,0,C269/C267)</f>
        <v>0.34439785610914914</v>
      </c>
      <c r="D270" s="366">
        <f>IF(LN_IIA7=0,0,LN_IIA9/LN_IIA7)</f>
        <v>0.31862867998082417</v>
      </c>
      <c r="E270" s="367">
        <f t="shared" si="26"/>
        <v>-2.5769176128324967E-2</v>
      </c>
      <c r="F270" s="371">
        <f t="shared" si="27"/>
        <v>-7.482385755664521E-2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696</v>
      </c>
      <c r="C271" s="353">
        <f>C261+C267</f>
        <v>1157017313</v>
      </c>
      <c r="D271" s="353">
        <f>LN_IIA1+LN_IIA7</f>
        <v>1288625721</v>
      </c>
      <c r="E271" s="353">
        <f t="shared" si="26"/>
        <v>131608408</v>
      </c>
      <c r="F271" s="415">
        <f t="shared" si="27"/>
        <v>0.11374800231705781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697</v>
      </c>
      <c r="C272" s="353">
        <f>C262+C269</f>
        <v>381456277</v>
      </c>
      <c r="D272" s="353">
        <f>LN_IIA2+LN_IIA9</f>
        <v>394986904</v>
      </c>
      <c r="E272" s="353">
        <f t="shared" si="26"/>
        <v>13530627</v>
      </c>
      <c r="F272" s="415">
        <f t="shared" si="27"/>
        <v>3.5470977450975334E-2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698</v>
      </c>
      <c r="C273" s="366">
        <f>IF(C271=0,0,C272/C271)</f>
        <v>0.32968934234089547</v>
      </c>
      <c r="D273" s="366">
        <f>IF(LN_IIA11=0,0,LN_IIA12/LN_IIA11)</f>
        <v>0.30651794199287136</v>
      </c>
      <c r="E273" s="367">
        <f t="shared" si="26"/>
        <v>-2.3171400348024118E-2</v>
      </c>
      <c r="F273" s="371">
        <f t="shared" si="27"/>
        <v>-7.0282527738082357E-2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75272</v>
      </c>
      <c r="D274" s="421">
        <f>LN_IA8+LN_IB10+LN_IF11+LN_IG6</f>
        <v>76225</v>
      </c>
      <c r="E274" s="442">
        <f t="shared" si="26"/>
        <v>953</v>
      </c>
      <c r="F274" s="371">
        <f t="shared" si="27"/>
        <v>1.2660750345413965E-2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699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700</v>
      </c>
      <c r="C277" s="361">
        <f>C15+C188+C221</f>
        <v>320113875</v>
      </c>
      <c r="D277" s="361">
        <f>LN_IA1+LN_IF1+LN_IG1</f>
        <v>362862265</v>
      </c>
      <c r="E277" s="361">
        <f t="shared" ref="E277:E291" si="28">D277-C277</f>
        <v>42748390</v>
      </c>
      <c r="F277" s="415">
        <f t="shared" ref="F277:F291" si="29">IF(C277=0,0,E277/C277)</f>
        <v>0.13354119686314753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701</v>
      </c>
      <c r="C278" s="361">
        <f>C16+C189+C222</f>
        <v>85935480</v>
      </c>
      <c r="D278" s="361">
        <f>LN_IA2+LN_IF2+LN_IG2</f>
        <v>89396167</v>
      </c>
      <c r="E278" s="361">
        <f t="shared" si="28"/>
        <v>3460687</v>
      </c>
      <c r="F278" s="415">
        <f t="shared" si="29"/>
        <v>4.0270758946130282E-2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702</v>
      </c>
      <c r="C279" s="366">
        <f>IF(C277=0,0,C278/C277)</f>
        <v>0.26845284353888127</v>
      </c>
      <c r="D279" s="366">
        <f>IF(D277=0,0,LN_IIB2/D277)</f>
        <v>0.24636391166218399</v>
      </c>
      <c r="E279" s="367">
        <f t="shared" si="28"/>
        <v>-2.2088931876697276E-2</v>
      </c>
      <c r="F279" s="371">
        <f t="shared" si="29"/>
        <v>-8.2282353896907162E-2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703</v>
      </c>
      <c r="C280" s="369">
        <f>C18+C191+C224</f>
        <v>7860</v>
      </c>
      <c r="D280" s="369">
        <f>LN_IA4+LN_IF4+LN_IG3</f>
        <v>8302</v>
      </c>
      <c r="E280" s="369">
        <f t="shared" si="28"/>
        <v>442</v>
      </c>
      <c r="F280" s="415">
        <f t="shared" si="29"/>
        <v>5.6234096692111962E-2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704</v>
      </c>
      <c r="C281" s="439">
        <f>IF(C280=0,0,C282/C280)</f>
        <v>1.3620805585241729</v>
      </c>
      <c r="D281" s="439">
        <f>IF(LN_IIB4=0,0,LN_IIB6/LN_IIB4)</f>
        <v>1.3365577752348829</v>
      </c>
      <c r="E281" s="439">
        <f t="shared" si="28"/>
        <v>-2.5522783289289919E-2</v>
      </c>
      <c r="F281" s="415">
        <f t="shared" si="29"/>
        <v>-1.8738086473346405E-2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705</v>
      </c>
      <c r="C282" s="376">
        <f>C20+C193+C226</f>
        <v>10705.953189999998</v>
      </c>
      <c r="D282" s="376">
        <f>LN_IA6+LN_IF6+LN_IG5</f>
        <v>11096.102649999999</v>
      </c>
      <c r="E282" s="376">
        <f t="shared" si="28"/>
        <v>390.14946000000054</v>
      </c>
      <c r="F282" s="415">
        <f t="shared" si="29"/>
        <v>3.6442290852198335E-2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706</v>
      </c>
      <c r="C283" s="361">
        <f>C27+C203+C233</f>
        <v>236620445</v>
      </c>
      <c r="D283" s="361">
        <f>LN_IA11+LN_IF14+LN_IG9</f>
        <v>270204925</v>
      </c>
      <c r="E283" s="361">
        <f t="shared" si="28"/>
        <v>33584480</v>
      </c>
      <c r="F283" s="415">
        <f t="shared" si="29"/>
        <v>0.14193397362598992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707</v>
      </c>
      <c r="C284" s="366">
        <f>IF(C277=0,0,C283/C277)</f>
        <v>0.73917584796972635</v>
      </c>
      <c r="D284" s="366">
        <f>IF(D277=0,0,LN_IIB7/D277)</f>
        <v>0.74464873055896297</v>
      </c>
      <c r="E284" s="367">
        <f t="shared" si="28"/>
        <v>5.4728825892366162E-3</v>
      </c>
      <c r="F284" s="371">
        <f t="shared" si="29"/>
        <v>7.404033295012046E-3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708</v>
      </c>
      <c r="C285" s="361">
        <f>C28+C204+C234</f>
        <v>35800178</v>
      </c>
      <c r="D285" s="361">
        <f>LN_IA12+LN_IF15+LN_IG10</f>
        <v>36700906</v>
      </c>
      <c r="E285" s="361">
        <f t="shared" si="28"/>
        <v>900728</v>
      </c>
      <c r="F285" s="415">
        <f t="shared" si="29"/>
        <v>2.5159874903415286E-2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709</v>
      </c>
      <c r="C286" s="366">
        <f>IF(C283=0,0,C285/C283)</f>
        <v>0.15129790665383966</v>
      </c>
      <c r="D286" s="366">
        <f>IF(LN_IIB7=0,0,LN_IIB9/LN_IIB7)</f>
        <v>0.13582619191711623</v>
      </c>
      <c r="E286" s="367">
        <f t="shared" si="28"/>
        <v>-1.547171473672343E-2</v>
      </c>
      <c r="F286" s="371">
        <f t="shared" si="29"/>
        <v>-0.10225993920802728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710</v>
      </c>
      <c r="C287" s="353">
        <f>C277+C283</f>
        <v>556734320</v>
      </c>
      <c r="D287" s="353">
        <f>D277+LN_IIB7</f>
        <v>633067190</v>
      </c>
      <c r="E287" s="353">
        <f t="shared" si="28"/>
        <v>76332870</v>
      </c>
      <c r="F287" s="415">
        <f t="shared" si="29"/>
        <v>0.13710825299938398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711</v>
      </c>
      <c r="C288" s="353">
        <f>C278+C285</f>
        <v>121735658</v>
      </c>
      <c r="D288" s="353">
        <f>LN_IIB2+LN_IIB9</f>
        <v>126097073</v>
      </c>
      <c r="E288" s="353">
        <f t="shared" si="28"/>
        <v>4361415</v>
      </c>
      <c r="F288" s="415">
        <f t="shared" si="29"/>
        <v>3.5826930840592325E-2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712</v>
      </c>
      <c r="C289" s="366">
        <f>IF(C287=0,0,C288/C287)</f>
        <v>0.21866023635834056</v>
      </c>
      <c r="D289" s="366">
        <f>IF(LN_IIB11=0,0,LN_IIB12/LN_IIB11)</f>
        <v>0.1991843440820239</v>
      </c>
      <c r="E289" s="367">
        <f t="shared" si="28"/>
        <v>-1.9475892276316659E-2</v>
      </c>
      <c r="F289" s="371">
        <f t="shared" si="29"/>
        <v>-8.9069199780793945E-2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47642</v>
      </c>
      <c r="D290" s="421">
        <f>LN_IA8+LN_IF11+LN_IG6</f>
        <v>50269</v>
      </c>
      <c r="E290" s="442">
        <f t="shared" si="28"/>
        <v>2627</v>
      </c>
      <c r="F290" s="371">
        <f t="shared" si="29"/>
        <v>5.5140422316443477E-2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713</v>
      </c>
      <c r="C291" s="361">
        <f>C287-C288</f>
        <v>434998662</v>
      </c>
      <c r="D291" s="429">
        <f>LN_IIB11-LN_IIB12</f>
        <v>506970117</v>
      </c>
      <c r="E291" s="353">
        <f t="shared" si="28"/>
        <v>71971455</v>
      </c>
      <c r="F291" s="415">
        <f t="shared" si="29"/>
        <v>0.16545212959758482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610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601</v>
      </c>
      <c r="C294" s="379">
        <f>IF(C18=0,0,C22/C18)</f>
        <v>6.6797565285686238</v>
      </c>
      <c r="D294" s="379">
        <f>IF(LN_IA4=0,0,LN_IA8/LN_IA4)</f>
        <v>6.6688963210702346</v>
      </c>
      <c r="E294" s="379">
        <f t="shared" ref="E294:E300" si="30">D294-C294</f>
        <v>-1.0860207498389229E-2</v>
      </c>
      <c r="F294" s="415">
        <f t="shared" ref="F294:F300" si="31">IF(C294=0,0,E294/C294)</f>
        <v>-1.625838823906418E-3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622</v>
      </c>
      <c r="C295" s="379">
        <f>IF(C45=0,0,C51/C45)</f>
        <v>3.9314171883892999</v>
      </c>
      <c r="D295" s="379">
        <f>IF(LN_IB4=0,0,(LN_IB10)/(LN_IB4))</f>
        <v>3.824370119345808</v>
      </c>
      <c r="E295" s="379">
        <f t="shared" si="30"/>
        <v>-0.10704706904349193</v>
      </c>
      <c r="F295" s="415">
        <f t="shared" si="31"/>
        <v>-2.7228621108854913E-2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637</v>
      </c>
      <c r="C296" s="379">
        <f>IF(C86=0,0,C93/C86)</f>
        <v>4.4677966101694917</v>
      </c>
      <c r="D296" s="379">
        <f>IF(LN_IC4=0,0,LN_IC11/LN_IC4)</f>
        <v>3.7265306122448978</v>
      </c>
      <c r="E296" s="379">
        <f t="shared" si="30"/>
        <v>-0.74126599792459391</v>
      </c>
      <c r="F296" s="415">
        <f t="shared" si="31"/>
        <v>-0.16591310272212079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4.4393873085339166</v>
      </c>
      <c r="D297" s="379">
        <f>IF(LN_ID4=0,0,LN_ID11/LN_ID4)</f>
        <v>4.4664224664224665</v>
      </c>
      <c r="E297" s="379">
        <f t="shared" si="30"/>
        <v>2.7035157888549932E-2</v>
      </c>
      <c r="F297" s="415">
        <f t="shared" si="31"/>
        <v>6.089839883215359E-3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714</v>
      </c>
      <c r="C298" s="379">
        <f>IF(C156=0,0,C163/C156)</f>
        <v>7.3121019108280256</v>
      </c>
      <c r="D298" s="379">
        <f>IF(LN_IE4=0,0,LN_IE11/LN_IE4)</f>
        <v>7.4488888888888889</v>
      </c>
      <c r="E298" s="379">
        <f t="shared" si="30"/>
        <v>0.13678697806086326</v>
      </c>
      <c r="F298" s="415">
        <f t="shared" si="31"/>
        <v>1.8706929926442101E-2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3.0909090909090908</v>
      </c>
      <c r="D299" s="379">
        <f>IF(LN_IG3=0,0,LN_IG6/LN_IG3)</f>
        <v>3.9230769230769229</v>
      </c>
      <c r="E299" s="379">
        <f t="shared" si="30"/>
        <v>0.83216783216783208</v>
      </c>
      <c r="F299" s="415">
        <f t="shared" si="31"/>
        <v>0.26923076923076922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715</v>
      </c>
      <c r="C300" s="379">
        <f>IF(C264=0,0,C274/C264)</f>
        <v>5.0558839333691568</v>
      </c>
      <c r="D300" s="379">
        <f>IF(LN_IIA4=0,0,LN_IIA14/LN_IIA4)</f>
        <v>5.0516932865000994</v>
      </c>
      <c r="E300" s="379">
        <f t="shared" si="30"/>
        <v>-4.1906468690573462E-3</v>
      </c>
      <c r="F300" s="415">
        <f t="shared" si="31"/>
        <v>-8.2886532291590184E-4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716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710</v>
      </c>
      <c r="C304" s="353">
        <f>C35+C66+C214+C221+C233</f>
        <v>1157017313</v>
      </c>
      <c r="D304" s="353">
        <f>LN_IIA11</f>
        <v>1288625721</v>
      </c>
      <c r="E304" s="353">
        <f t="shared" ref="E304:E316" si="32">D304-C304</f>
        <v>131608408</v>
      </c>
      <c r="F304" s="362">
        <f>IF(C304=0,0,E304/C304)</f>
        <v>0.11374800231705781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713</v>
      </c>
      <c r="C305" s="353">
        <f>C291</f>
        <v>434998662</v>
      </c>
      <c r="D305" s="353">
        <f>LN_IIB14</f>
        <v>506970117</v>
      </c>
      <c r="E305" s="353">
        <f t="shared" si="32"/>
        <v>71971455</v>
      </c>
      <c r="F305" s="362">
        <f>IF(C305=0,0,E305/C305)</f>
        <v>0.16545212959758482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717</v>
      </c>
      <c r="C306" s="353">
        <f>C250</f>
        <v>59844468</v>
      </c>
      <c r="D306" s="353">
        <f>LN_IH6</f>
        <v>65901785</v>
      </c>
      <c r="E306" s="353">
        <f t="shared" si="32"/>
        <v>6057317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718</v>
      </c>
      <c r="C307" s="353">
        <f>C73-C74</f>
        <v>235646501</v>
      </c>
      <c r="D307" s="353">
        <f>LN_IB32-LN_IB33</f>
        <v>238177311</v>
      </c>
      <c r="E307" s="353">
        <f t="shared" si="32"/>
        <v>2530810</v>
      </c>
      <c r="F307" s="362">
        <f t="shared" ref="F307:F316" si="33">IF(C307=0,0,E307/C307)</f>
        <v>1.0739858174257381E-2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719</v>
      </c>
      <c r="C308" s="353">
        <v>12159825</v>
      </c>
      <c r="D308" s="353">
        <v>13746535</v>
      </c>
      <c r="E308" s="353">
        <f t="shared" si="32"/>
        <v>1586710</v>
      </c>
      <c r="F308" s="362">
        <f t="shared" si="33"/>
        <v>0.1304878976465533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720</v>
      </c>
      <c r="C309" s="353">
        <f>C305+C307+C308+C306</f>
        <v>742649456</v>
      </c>
      <c r="D309" s="353">
        <f>LN_III2+LN_III3+LN_III4+LN_III5</f>
        <v>824795748</v>
      </c>
      <c r="E309" s="353">
        <f t="shared" si="32"/>
        <v>82146292</v>
      </c>
      <c r="F309" s="362">
        <f t="shared" si="33"/>
        <v>0.11061247178776631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721</v>
      </c>
      <c r="C310" s="353">
        <f>C304-C309</f>
        <v>414367857</v>
      </c>
      <c r="D310" s="353">
        <f>LN_III1-LN_III6</f>
        <v>463829973</v>
      </c>
      <c r="E310" s="353">
        <f t="shared" si="32"/>
        <v>49462116</v>
      </c>
      <c r="F310" s="362">
        <f t="shared" si="33"/>
        <v>0.1193676468008473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722</v>
      </c>
      <c r="C311" s="353">
        <f>C245</f>
        <v>2936412</v>
      </c>
      <c r="D311" s="353">
        <f>LN_IH3</f>
        <v>2850410</v>
      </c>
      <c r="E311" s="353">
        <f t="shared" si="32"/>
        <v>-86002</v>
      </c>
      <c r="F311" s="362">
        <f t="shared" si="33"/>
        <v>-2.9288124418508029E-2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723</v>
      </c>
      <c r="C312" s="353">
        <f>C310+C311</f>
        <v>417304269</v>
      </c>
      <c r="D312" s="353">
        <f>LN_III7+LN_III8</f>
        <v>466680383</v>
      </c>
      <c r="E312" s="353">
        <f t="shared" si="32"/>
        <v>49376114</v>
      </c>
      <c r="F312" s="362">
        <f t="shared" si="33"/>
        <v>0.11832161247312808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724</v>
      </c>
      <c r="C313" s="448">
        <f>IF(C304=0,0,C312/C304)</f>
        <v>0.36067245002409054</v>
      </c>
      <c r="D313" s="448">
        <f>IF(LN_III1=0,0,LN_III9/LN_III1)</f>
        <v>0.36215355273045957</v>
      </c>
      <c r="E313" s="448">
        <f t="shared" si="32"/>
        <v>1.4811027063690307E-3</v>
      </c>
      <c r="F313" s="362">
        <f t="shared" si="33"/>
        <v>4.1065035776092764E-3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682</v>
      </c>
      <c r="C314" s="353">
        <f>C306*C313</f>
        <v>21584250.893948287</v>
      </c>
      <c r="D314" s="353">
        <f>D313*LN_III5</f>
        <v>23866565.56902891</v>
      </c>
      <c r="E314" s="353">
        <f t="shared" si="32"/>
        <v>2282314.6750806235</v>
      </c>
      <c r="F314" s="362">
        <f t="shared" si="33"/>
        <v>0.10573981401043343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685</v>
      </c>
      <c r="C315" s="353">
        <f>(C214*C313)-C215</f>
        <v>22173819.14116364</v>
      </c>
      <c r="D315" s="353">
        <f>D313*LN_IH8-LN_IH9</f>
        <v>32285650.948425576</v>
      </c>
      <c r="E315" s="353">
        <f t="shared" si="32"/>
        <v>10111831.807261936</v>
      </c>
      <c r="F315" s="362">
        <f t="shared" si="33"/>
        <v>0.45602571856871771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725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726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727</v>
      </c>
      <c r="C318" s="353">
        <f>C314+C315+C316</f>
        <v>43758070.035111926</v>
      </c>
      <c r="D318" s="353">
        <f>D314+D315+D316</f>
        <v>56152216.51745449</v>
      </c>
      <c r="E318" s="353">
        <f>D318-C318</f>
        <v>12394146.482342564</v>
      </c>
      <c r="F318" s="362">
        <f>IF(C318=0,0,E318/C318)</f>
        <v>0.28324253040404601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728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6010231.4533921117</v>
      </c>
      <c r="D322" s="353">
        <f>LN_ID22</f>
        <v>5726837.0153277079</v>
      </c>
      <c r="E322" s="353">
        <f>LN_IV2-C322</f>
        <v>-283394.43806440383</v>
      </c>
      <c r="F322" s="362">
        <f>IF(C322=0,0,E322/C322)</f>
        <v>-4.71520007610454E-2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714</v>
      </c>
      <c r="C323" s="353">
        <f>C162+C176</f>
        <v>3903732.7991423546</v>
      </c>
      <c r="D323" s="353">
        <f>LN_IE10+LN_IE22</f>
        <v>5243824.3061769791</v>
      </c>
      <c r="E323" s="353">
        <f>LN_IV3-C323</f>
        <v>1340091.5070346245</v>
      </c>
      <c r="F323" s="362">
        <f>IF(C323=0,0,E323/C323)</f>
        <v>0.3432846395965013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729</v>
      </c>
      <c r="C324" s="353">
        <f>C92+C106</f>
        <v>11504798.506866131</v>
      </c>
      <c r="D324" s="353">
        <f>LN_IC10+LN_IC22</f>
        <v>10280947.570068873</v>
      </c>
      <c r="E324" s="353">
        <f>LN_IV1-C324</f>
        <v>-1223850.9367972575</v>
      </c>
      <c r="F324" s="362">
        <f>IF(C324=0,0,E324/C324)</f>
        <v>-0.10637743338719545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730</v>
      </c>
      <c r="C325" s="429">
        <f>C324+C322+C323</f>
        <v>21418762.759400595</v>
      </c>
      <c r="D325" s="429">
        <f>LN_IV1+LN_IV2+LN_IV3</f>
        <v>21251608.891573559</v>
      </c>
      <c r="E325" s="353">
        <f>LN_IV4-C325</f>
        <v>-167153.86782703549</v>
      </c>
      <c r="F325" s="362">
        <f>IF(C325=0,0,E325/C325)</f>
        <v>-7.8040860578500234E-3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731</v>
      </c>
      <c r="B327" s="446" t="s">
        <v>732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733</v>
      </c>
      <c r="C329" s="431">
        <v>19743013</v>
      </c>
      <c r="D329" s="431">
        <v>21493900</v>
      </c>
      <c r="E329" s="431">
        <f t="shared" ref="E329:E335" si="34">D329-C329</f>
        <v>1750887</v>
      </c>
      <c r="F329" s="462">
        <f t="shared" ref="F329:F335" si="35">IF(C329=0,0,E329/C329)</f>
        <v>8.8683880216256755E-2</v>
      </c>
    </row>
    <row r="330" spans="1:22" s="333" customFormat="1" ht="11.25" customHeight="1" x14ac:dyDescent="0.2">
      <c r="A330" s="364">
        <v>2</v>
      </c>
      <c r="B330" s="360" t="s">
        <v>734</v>
      </c>
      <c r="C330" s="429">
        <v>32545056</v>
      </c>
      <c r="D330" s="429">
        <v>31916505</v>
      </c>
      <c r="E330" s="431">
        <f t="shared" si="34"/>
        <v>-628551</v>
      </c>
      <c r="F330" s="463">
        <f t="shared" si="35"/>
        <v>-1.9313256059537889E-2</v>
      </c>
    </row>
    <row r="331" spans="1:22" s="333" customFormat="1" ht="11.25" customHeight="1" x14ac:dyDescent="0.2">
      <c r="A331" s="339">
        <v>3</v>
      </c>
      <c r="B331" s="360" t="s">
        <v>735</v>
      </c>
      <c r="C331" s="429">
        <v>416938000</v>
      </c>
      <c r="D331" s="429">
        <v>429754000</v>
      </c>
      <c r="E331" s="431">
        <f t="shared" si="34"/>
        <v>12816000</v>
      </c>
      <c r="F331" s="462">
        <f t="shared" si="35"/>
        <v>3.0738383164883028E-2</v>
      </c>
    </row>
    <row r="332" spans="1:22" s="333" customFormat="1" ht="11.25" customHeight="1" x14ac:dyDescent="0.2">
      <c r="A332" s="364">
        <v>4</v>
      </c>
      <c r="B332" s="360" t="s">
        <v>736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737</v>
      </c>
      <c r="C333" s="429">
        <v>1157017000</v>
      </c>
      <c r="D333" s="429">
        <v>1288626000</v>
      </c>
      <c r="E333" s="431">
        <f t="shared" si="34"/>
        <v>131609000</v>
      </c>
      <c r="F333" s="462">
        <f t="shared" si="35"/>
        <v>0.11374854474912642</v>
      </c>
    </row>
    <row r="334" spans="1:22" s="333" customFormat="1" ht="11.25" customHeight="1" x14ac:dyDescent="0.2">
      <c r="A334" s="339">
        <v>6</v>
      </c>
      <c r="B334" s="360" t="s">
        <v>738</v>
      </c>
      <c r="C334" s="429">
        <v>0</v>
      </c>
      <c r="D334" s="429">
        <v>410583</v>
      </c>
      <c r="E334" s="429">
        <f t="shared" si="34"/>
        <v>410583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739</v>
      </c>
      <c r="C335" s="429">
        <v>59844900</v>
      </c>
      <c r="D335" s="429">
        <v>66312000</v>
      </c>
      <c r="E335" s="429">
        <f t="shared" si="34"/>
        <v>6467100</v>
      </c>
      <c r="F335" s="462">
        <f t="shared" si="35"/>
        <v>0.10806434633527669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FILING&amp;RSTAMFORD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tabSelected="1"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592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740</v>
      </c>
      <c r="B5" s="710"/>
      <c r="C5" s="710"/>
      <c r="D5" s="710"/>
      <c r="E5" s="710"/>
    </row>
    <row r="6" spans="1:5" s="338" customFormat="1" ht="15.75" customHeight="1" x14ac:dyDescent="0.25">
      <c r="A6" s="710" t="s">
        <v>741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742</v>
      </c>
      <c r="D9" s="494" t="s">
        <v>743</v>
      </c>
      <c r="E9" s="495" t="s">
        <v>744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745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746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622</v>
      </c>
      <c r="C14" s="513">
        <v>198915175</v>
      </c>
      <c r="D14" s="513">
        <v>215741210</v>
      </c>
      <c r="E14" s="514">
        <f t="shared" ref="E14:E22" si="0">D14-C14</f>
        <v>16826035</v>
      </c>
    </row>
    <row r="15" spans="1:5" s="506" customFormat="1" x14ac:dyDescent="0.2">
      <c r="A15" s="512">
        <v>2</v>
      </c>
      <c r="B15" s="511" t="s">
        <v>601</v>
      </c>
      <c r="C15" s="513">
        <v>245697432</v>
      </c>
      <c r="D15" s="515">
        <v>280073467</v>
      </c>
      <c r="E15" s="514">
        <f t="shared" si="0"/>
        <v>34376035</v>
      </c>
    </row>
    <row r="16" spans="1:5" s="506" customFormat="1" x14ac:dyDescent="0.2">
      <c r="A16" s="512">
        <v>3</v>
      </c>
      <c r="B16" s="511" t="s">
        <v>747</v>
      </c>
      <c r="C16" s="513">
        <v>74181193</v>
      </c>
      <c r="D16" s="515">
        <v>82558444</v>
      </c>
      <c r="E16" s="514">
        <f t="shared" si="0"/>
        <v>8377251</v>
      </c>
    </row>
    <row r="17" spans="1:5" s="506" customFormat="1" x14ac:dyDescent="0.2">
      <c r="A17" s="512">
        <v>4</v>
      </c>
      <c r="B17" s="511" t="s">
        <v>114</v>
      </c>
      <c r="C17" s="513">
        <v>53088283</v>
      </c>
      <c r="D17" s="515">
        <v>63392712</v>
      </c>
      <c r="E17" s="514">
        <f t="shared" si="0"/>
        <v>10304429</v>
      </c>
    </row>
    <row r="18" spans="1:5" s="506" customFormat="1" x14ac:dyDescent="0.2">
      <c r="A18" s="512">
        <v>5</v>
      </c>
      <c r="B18" s="511" t="s">
        <v>714</v>
      </c>
      <c r="C18" s="513">
        <v>21092910</v>
      </c>
      <c r="D18" s="515">
        <v>19165732</v>
      </c>
      <c r="E18" s="514">
        <f t="shared" si="0"/>
        <v>-1927178</v>
      </c>
    </row>
    <row r="19" spans="1:5" s="506" customFormat="1" x14ac:dyDescent="0.2">
      <c r="A19" s="512">
        <v>6</v>
      </c>
      <c r="B19" s="511" t="s">
        <v>418</v>
      </c>
      <c r="C19" s="513">
        <v>235250</v>
      </c>
      <c r="D19" s="515">
        <v>230354</v>
      </c>
      <c r="E19" s="514">
        <f t="shared" si="0"/>
        <v>-4896</v>
      </c>
    </row>
    <row r="20" spans="1:5" s="506" customFormat="1" x14ac:dyDescent="0.2">
      <c r="A20" s="512">
        <v>7</v>
      </c>
      <c r="B20" s="511" t="s">
        <v>729</v>
      </c>
      <c r="C20" s="513">
        <v>21486553</v>
      </c>
      <c r="D20" s="515">
        <v>19716942</v>
      </c>
      <c r="E20" s="514">
        <f t="shared" si="0"/>
        <v>-1769611</v>
      </c>
    </row>
    <row r="21" spans="1:5" s="506" customFormat="1" x14ac:dyDescent="0.2">
      <c r="A21" s="512"/>
      <c r="B21" s="516" t="s">
        <v>748</v>
      </c>
      <c r="C21" s="517">
        <f>SUM(C15+C16+C19)</f>
        <v>320113875</v>
      </c>
      <c r="D21" s="517">
        <f>SUM(D15+D16+D19)</f>
        <v>362862265</v>
      </c>
      <c r="E21" s="517">
        <f t="shared" si="0"/>
        <v>42748390</v>
      </c>
    </row>
    <row r="22" spans="1:5" s="506" customFormat="1" x14ac:dyDescent="0.2">
      <c r="A22" s="512"/>
      <c r="B22" s="516" t="s">
        <v>688</v>
      </c>
      <c r="C22" s="517">
        <f>SUM(C14+C21)</f>
        <v>519029050</v>
      </c>
      <c r="D22" s="517">
        <f>SUM(D14+D21)</f>
        <v>578603475</v>
      </c>
      <c r="E22" s="517">
        <f t="shared" si="0"/>
        <v>59574425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749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622</v>
      </c>
      <c r="C25" s="513">
        <v>401367818</v>
      </c>
      <c r="D25" s="513">
        <v>439817321</v>
      </c>
      <c r="E25" s="514">
        <f t="shared" ref="E25:E33" si="1">D25-C25</f>
        <v>38449503</v>
      </c>
    </row>
    <row r="26" spans="1:5" s="506" customFormat="1" x14ac:dyDescent="0.2">
      <c r="A26" s="512">
        <v>2</v>
      </c>
      <c r="B26" s="511" t="s">
        <v>601</v>
      </c>
      <c r="C26" s="513">
        <v>178219659</v>
      </c>
      <c r="D26" s="515">
        <v>198274157</v>
      </c>
      <c r="E26" s="514">
        <f t="shared" si="1"/>
        <v>20054498</v>
      </c>
    </row>
    <row r="27" spans="1:5" s="506" customFormat="1" x14ac:dyDescent="0.2">
      <c r="A27" s="512">
        <v>3</v>
      </c>
      <c r="B27" s="511" t="s">
        <v>747</v>
      </c>
      <c r="C27" s="513">
        <v>58059149</v>
      </c>
      <c r="D27" s="515">
        <v>71484772</v>
      </c>
      <c r="E27" s="514">
        <f t="shared" si="1"/>
        <v>13425623</v>
      </c>
    </row>
    <row r="28" spans="1:5" s="506" customFormat="1" x14ac:dyDescent="0.2">
      <c r="A28" s="512">
        <v>4</v>
      </c>
      <c r="B28" s="511" t="s">
        <v>114</v>
      </c>
      <c r="C28" s="513">
        <v>45867653</v>
      </c>
      <c r="D28" s="515">
        <v>58636260</v>
      </c>
      <c r="E28" s="514">
        <f t="shared" si="1"/>
        <v>12768607</v>
      </c>
    </row>
    <row r="29" spans="1:5" s="506" customFormat="1" x14ac:dyDescent="0.2">
      <c r="A29" s="512">
        <v>5</v>
      </c>
      <c r="B29" s="511" t="s">
        <v>714</v>
      </c>
      <c r="C29" s="513">
        <v>12191496</v>
      </c>
      <c r="D29" s="515">
        <v>12848512</v>
      </c>
      <c r="E29" s="514">
        <f t="shared" si="1"/>
        <v>657016</v>
      </c>
    </row>
    <row r="30" spans="1:5" s="506" customFormat="1" x14ac:dyDescent="0.2">
      <c r="A30" s="512">
        <v>6</v>
      </c>
      <c r="B30" s="511" t="s">
        <v>418</v>
      </c>
      <c r="C30" s="513">
        <v>341637</v>
      </c>
      <c r="D30" s="515">
        <v>445996</v>
      </c>
      <c r="E30" s="514">
        <f t="shared" si="1"/>
        <v>104359</v>
      </c>
    </row>
    <row r="31" spans="1:5" s="506" customFormat="1" x14ac:dyDescent="0.2">
      <c r="A31" s="512">
        <v>7</v>
      </c>
      <c r="B31" s="511" t="s">
        <v>729</v>
      </c>
      <c r="C31" s="514">
        <v>38147950</v>
      </c>
      <c r="D31" s="518">
        <v>43856299</v>
      </c>
      <c r="E31" s="514">
        <f t="shared" si="1"/>
        <v>5708349</v>
      </c>
    </row>
    <row r="32" spans="1:5" s="506" customFormat="1" x14ac:dyDescent="0.2">
      <c r="A32" s="512"/>
      <c r="B32" s="516" t="s">
        <v>750</v>
      </c>
      <c r="C32" s="517">
        <f>SUM(C26+C27+C30)</f>
        <v>236620445</v>
      </c>
      <c r="D32" s="517">
        <f>SUM(D26+D27+D30)</f>
        <v>270204925</v>
      </c>
      <c r="E32" s="517">
        <f t="shared" si="1"/>
        <v>33584480</v>
      </c>
    </row>
    <row r="33" spans="1:5" s="506" customFormat="1" x14ac:dyDescent="0.2">
      <c r="A33" s="512"/>
      <c r="B33" s="516" t="s">
        <v>694</v>
      </c>
      <c r="C33" s="517">
        <f>SUM(C25+C32)</f>
        <v>637988263</v>
      </c>
      <c r="D33" s="517">
        <f>SUM(D25+D32)</f>
        <v>710022246</v>
      </c>
      <c r="E33" s="517">
        <f t="shared" si="1"/>
        <v>72033983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619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751</v>
      </c>
      <c r="C36" s="514">
        <f t="shared" ref="C36:D42" si="2">C14+C25</f>
        <v>600282993</v>
      </c>
      <c r="D36" s="514">
        <f t="shared" si="2"/>
        <v>655558531</v>
      </c>
      <c r="E36" s="514">
        <f t="shared" ref="E36:E44" si="3">D36-C36</f>
        <v>55275538</v>
      </c>
    </row>
    <row r="37" spans="1:5" s="506" customFormat="1" x14ac:dyDescent="0.2">
      <c r="A37" s="512">
        <v>2</v>
      </c>
      <c r="B37" s="511" t="s">
        <v>752</v>
      </c>
      <c r="C37" s="514">
        <f t="shared" si="2"/>
        <v>423917091</v>
      </c>
      <c r="D37" s="514">
        <f t="shared" si="2"/>
        <v>478347624</v>
      </c>
      <c r="E37" s="514">
        <f t="shared" si="3"/>
        <v>54430533</v>
      </c>
    </row>
    <row r="38" spans="1:5" s="506" customFormat="1" x14ac:dyDescent="0.2">
      <c r="A38" s="512">
        <v>3</v>
      </c>
      <c r="B38" s="511" t="s">
        <v>753</v>
      </c>
      <c r="C38" s="514">
        <f t="shared" si="2"/>
        <v>132240342</v>
      </c>
      <c r="D38" s="514">
        <f t="shared" si="2"/>
        <v>154043216</v>
      </c>
      <c r="E38" s="514">
        <f t="shared" si="3"/>
        <v>21802874</v>
      </c>
    </row>
    <row r="39" spans="1:5" s="506" customFormat="1" x14ac:dyDescent="0.2">
      <c r="A39" s="512">
        <v>4</v>
      </c>
      <c r="B39" s="511" t="s">
        <v>754</v>
      </c>
      <c r="C39" s="514">
        <f t="shared" si="2"/>
        <v>98955936</v>
      </c>
      <c r="D39" s="514">
        <f t="shared" si="2"/>
        <v>122028972</v>
      </c>
      <c r="E39" s="514">
        <f t="shared" si="3"/>
        <v>23073036</v>
      </c>
    </row>
    <row r="40" spans="1:5" s="506" customFormat="1" x14ac:dyDescent="0.2">
      <c r="A40" s="512">
        <v>5</v>
      </c>
      <c r="B40" s="511" t="s">
        <v>755</v>
      </c>
      <c r="C40" s="514">
        <f t="shared" si="2"/>
        <v>33284406</v>
      </c>
      <c r="D40" s="514">
        <f t="shared" si="2"/>
        <v>32014244</v>
      </c>
      <c r="E40" s="514">
        <f t="shared" si="3"/>
        <v>-1270162</v>
      </c>
    </row>
    <row r="41" spans="1:5" s="506" customFormat="1" x14ac:dyDescent="0.2">
      <c r="A41" s="512">
        <v>6</v>
      </c>
      <c r="B41" s="511" t="s">
        <v>756</v>
      </c>
      <c r="C41" s="514">
        <f t="shared" si="2"/>
        <v>576887</v>
      </c>
      <c r="D41" s="514">
        <f t="shared" si="2"/>
        <v>676350</v>
      </c>
      <c r="E41" s="514">
        <f t="shared" si="3"/>
        <v>99463</v>
      </c>
    </row>
    <row r="42" spans="1:5" s="506" customFormat="1" x14ac:dyDescent="0.2">
      <c r="A42" s="512">
        <v>7</v>
      </c>
      <c r="B42" s="511" t="s">
        <v>757</v>
      </c>
      <c r="C42" s="514">
        <f t="shared" si="2"/>
        <v>59634503</v>
      </c>
      <c r="D42" s="514">
        <f t="shared" si="2"/>
        <v>63573241</v>
      </c>
      <c r="E42" s="514">
        <f t="shared" si="3"/>
        <v>3938738</v>
      </c>
    </row>
    <row r="43" spans="1:5" s="506" customFormat="1" x14ac:dyDescent="0.2">
      <c r="A43" s="512"/>
      <c r="B43" s="516" t="s">
        <v>758</v>
      </c>
      <c r="C43" s="517">
        <f>SUM(C37+C38+C41)</f>
        <v>556734320</v>
      </c>
      <c r="D43" s="517">
        <f>SUM(D37+D38+D41)</f>
        <v>633067190</v>
      </c>
      <c r="E43" s="517">
        <f t="shared" si="3"/>
        <v>76332870</v>
      </c>
    </row>
    <row r="44" spans="1:5" s="506" customFormat="1" x14ac:dyDescent="0.2">
      <c r="A44" s="512"/>
      <c r="B44" s="516" t="s">
        <v>696</v>
      </c>
      <c r="C44" s="517">
        <f>SUM(C36+C43)</f>
        <v>1157017313</v>
      </c>
      <c r="D44" s="517">
        <f>SUM(D36+D43)</f>
        <v>1288625721</v>
      </c>
      <c r="E44" s="517">
        <f t="shared" si="3"/>
        <v>131608408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759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622</v>
      </c>
      <c r="C47" s="513">
        <v>75799007</v>
      </c>
      <c r="D47" s="513">
        <v>79357286</v>
      </c>
      <c r="E47" s="514">
        <f t="shared" ref="E47:E55" si="4">D47-C47</f>
        <v>3558279</v>
      </c>
    </row>
    <row r="48" spans="1:5" s="506" customFormat="1" x14ac:dyDescent="0.2">
      <c r="A48" s="512">
        <v>2</v>
      </c>
      <c r="B48" s="511" t="s">
        <v>601</v>
      </c>
      <c r="C48" s="513">
        <v>69840646</v>
      </c>
      <c r="D48" s="515">
        <v>76479069</v>
      </c>
      <c r="E48" s="514">
        <f t="shared" si="4"/>
        <v>6638423</v>
      </c>
    </row>
    <row r="49" spans="1:5" s="506" customFormat="1" x14ac:dyDescent="0.2">
      <c r="A49" s="512">
        <v>3</v>
      </c>
      <c r="B49" s="511" t="s">
        <v>747</v>
      </c>
      <c r="C49" s="513">
        <v>16040973</v>
      </c>
      <c r="D49" s="515">
        <v>12857212</v>
      </c>
      <c r="E49" s="514">
        <f t="shared" si="4"/>
        <v>-3183761</v>
      </c>
    </row>
    <row r="50" spans="1:5" s="506" customFormat="1" x14ac:dyDescent="0.2">
      <c r="A50" s="512">
        <v>4</v>
      </c>
      <c r="B50" s="511" t="s">
        <v>114</v>
      </c>
      <c r="C50" s="513">
        <v>13873473</v>
      </c>
      <c r="D50" s="515">
        <v>11714938</v>
      </c>
      <c r="E50" s="514">
        <f t="shared" si="4"/>
        <v>-2158535</v>
      </c>
    </row>
    <row r="51" spans="1:5" s="506" customFormat="1" x14ac:dyDescent="0.2">
      <c r="A51" s="512">
        <v>5</v>
      </c>
      <c r="B51" s="511" t="s">
        <v>714</v>
      </c>
      <c r="C51" s="513">
        <v>2167500</v>
      </c>
      <c r="D51" s="515">
        <v>1142274</v>
      </c>
      <c r="E51" s="514">
        <f t="shared" si="4"/>
        <v>-1025226</v>
      </c>
    </row>
    <row r="52" spans="1:5" s="506" customFormat="1" x14ac:dyDescent="0.2">
      <c r="A52" s="512">
        <v>6</v>
      </c>
      <c r="B52" s="511" t="s">
        <v>418</v>
      </c>
      <c r="C52" s="513">
        <v>53861</v>
      </c>
      <c r="D52" s="515">
        <v>59886</v>
      </c>
      <c r="E52" s="514">
        <f t="shared" si="4"/>
        <v>6025</v>
      </c>
    </row>
    <row r="53" spans="1:5" s="506" customFormat="1" x14ac:dyDescent="0.2">
      <c r="A53" s="512">
        <v>7</v>
      </c>
      <c r="B53" s="511" t="s">
        <v>729</v>
      </c>
      <c r="C53" s="513">
        <v>473462</v>
      </c>
      <c r="D53" s="515">
        <v>577992</v>
      </c>
      <c r="E53" s="514">
        <f t="shared" si="4"/>
        <v>104530</v>
      </c>
    </row>
    <row r="54" spans="1:5" s="506" customFormat="1" x14ac:dyDescent="0.2">
      <c r="A54" s="512"/>
      <c r="B54" s="516" t="s">
        <v>760</v>
      </c>
      <c r="C54" s="517">
        <f>SUM(C48+C49+C52)</f>
        <v>85935480</v>
      </c>
      <c r="D54" s="517">
        <f>SUM(D48+D49+D52)</f>
        <v>89396167</v>
      </c>
      <c r="E54" s="517">
        <f t="shared" si="4"/>
        <v>3460687</v>
      </c>
    </row>
    <row r="55" spans="1:5" s="506" customFormat="1" x14ac:dyDescent="0.2">
      <c r="A55" s="512"/>
      <c r="B55" s="516" t="s">
        <v>689</v>
      </c>
      <c r="C55" s="517">
        <f>SUM(C47+C54)</f>
        <v>161734487</v>
      </c>
      <c r="D55" s="517">
        <f>SUM(D47+D54)</f>
        <v>168753453</v>
      </c>
      <c r="E55" s="517">
        <f t="shared" si="4"/>
        <v>7018966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761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622</v>
      </c>
      <c r="C58" s="513">
        <v>183921612</v>
      </c>
      <c r="D58" s="513">
        <v>189532545</v>
      </c>
      <c r="E58" s="514">
        <f t="shared" ref="E58:E66" si="5">D58-C58</f>
        <v>5610933</v>
      </c>
    </row>
    <row r="59" spans="1:5" s="506" customFormat="1" x14ac:dyDescent="0.2">
      <c r="A59" s="512">
        <v>2</v>
      </c>
      <c r="B59" s="511" t="s">
        <v>601</v>
      </c>
      <c r="C59" s="513">
        <v>26192923</v>
      </c>
      <c r="D59" s="515">
        <v>26006219</v>
      </c>
      <c r="E59" s="514">
        <f t="shared" si="5"/>
        <v>-186704</v>
      </c>
    </row>
    <row r="60" spans="1:5" s="506" customFormat="1" x14ac:dyDescent="0.2">
      <c r="A60" s="512">
        <v>3</v>
      </c>
      <c r="B60" s="511" t="s">
        <v>747</v>
      </c>
      <c r="C60" s="513">
        <f>C61+C62</f>
        <v>9480656</v>
      </c>
      <c r="D60" s="515">
        <f>D61+D62</f>
        <v>10644435</v>
      </c>
      <c r="E60" s="514">
        <f t="shared" si="5"/>
        <v>1163779</v>
      </c>
    </row>
    <row r="61" spans="1:5" s="506" customFormat="1" x14ac:dyDescent="0.2">
      <c r="A61" s="512">
        <v>4</v>
      </c>
      <c r="B61" s="511" t="s">
        <v>114</v>
      </c>
      <c r="C61" s="513">
        <v>7987232</v>
      </c>
      <c r="D61" s="515">
        <v>9785294</v>
      </c>
      <c r="E61" s="514">
        <f t="shared" si="5"/>
        <v>1798062</v>
      </c>
    </row>
    <row r="62" spans="1:5" s="506" customFormat="1" x14ac:dyDescent="0.2">
      <c r="A62" s="512">
        <v>5</v>
      </c>
      <c r="B62" s="511" t="s">
        <v>714</v>
      </c>
      <c r="C62" s="513">
        <v>1493424</v>
      </c>
      <c r="D62" s="515">
        <v>859141</v>
      </c>
      <c r="E62" s="514">
        <f t="shared" si="5"/>
        <v>-634283</v>
      </c>
    </row>
    <row r="63" spans="1:5" s="506" customFormat="1" x14ac:dyDescent="0.2">
      <c r="A63" s="512">
        <v>6</v>
      </c>
      <c r="B63" s="511" t="s">
        <v>418</v>
      </c>
      <c r="C63" s="513">
        <v>126599</v>
      </c>
      <c r="D63" s="515">
        <v>50252</v>
      </c>
      <c r="E63" s="514">
        <f t="shared" si="5"/>
        <v>-76347</v>
      </c>
    </row>
    <row r="64" spans="1:5" s="506" customFormat="1" x14ac:dyDescent="0.2">
      <c r="A64" s="512">
        <v>7</v>
      </c>
      <c r="B64" s="511" t="s">
        <v>729</v>
      </c>
      <c r="C64" s="513">
        <v>1764297</v>
      </c>
      <c r="D64" s="515">
        <v>1586852</v>
      </c>
      <c r="E64" s="514">
        <f t="shared" si="5"/>
        <v>-177445</v>
      </c>
    </row>
    <row r="65" spans="1:5" s="506" customFormat="1" x14ac:dyDescent="0.2">
      <c r="A65" s="512"/>
      <c r="B65" s="516" t="s">
        <v>762</v>
      </c>
      <c r="C65" s="517">
        <f>SUM(C59+C60+C63)</f>
        <v>35800178</v>
      </c>
      <c r="D65" s="517">
        <f>SUM(D59+D60+D63)</f>
        <v>36700906</v>
      </c>
      <c r="E65" s="517">
        <f t="shared" si="5"/>
        <v>900728</v>
      </c>
    </row>
    <row r="66" spans="1:5" s="506" customFormat="1" x14ac:dyDescent="0.2">
      <c r="A66" s="512"/>
      <c r="B66" s="516" t="s">
        <v>695</v>
      </c>
      <c r="C66" s="517">
        <f>SUM(C58+C65)</f>
        <v>219721790</v>
      </c>
      <c r="D66" s="517">
        <f>SUM(D58+D65)</f>
        <v>226233451</v>
      </c>
      <c r="E66" s="517">
        <f t="shared" si="5"/>
        <v>6511661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620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751</v>
      </c>
      <c r="C69" s="514">
        <f t="shared" ref="C69:D75" si="6">C47+C58</f>
        <v>259720619</v>
      </c>
      <c r="D69" s="514">
        <f t="shared" si="6"/>
        <v>268889831</v>
      </c>
      <c r="E69" s="514">
        <f t="shared" ref="E69:E77" si="7">D69-C69</f>
        <v>9169212</v>
      </c>
    </row>
    <row r="70" spans="1:5" s="506" customFormat="1" x14ac:dyDescent="0.2">
      <c r="A70" s="512">
        <v>2</v>
      </c>
      <c r="B70" s="511" t="s">
        <v>752</v>
      </c>
      <c r="C70" s="514">
        <f t="shared" si="6"/>
        <v>96033569</v>
      </c>
      <c r="D70" s="514">
        <f t="shared" si="6"/>
        <v>102485288</v>
      </c>
      <c r="E70" s="514">
        <f t="shared" si="7"/>
        <v>6451719</v>
      </c>
    </row>
    <row r="71" spans="1:5" s="506" customFormat="1" x14ac:dyDescent="0.2">
      <c r="A71" s="512">
        <v>3</v>
      </c>
      <c r="B71" s="511" t="s">
        <v>753</v>
      </c>
      <c r="C71" s="514">
        <f t="shared" si="6"/>
        <v>25521629</v>
      </c>
      <c r="D71" s="514">
        <f t="shared" si="6"/>
        <v>23501647</v>
      </c>
      <c r="E71" s="514">
        <f t="shared" si="7"/>
        <v>-2019982</v>
      </c>
    </row>
    <row r="72" spans="1:5" s="506" customFormat="1" x14ac:dyDescent="0.2">
      <c r="A72" s="512">
        <v>4</v>
      </c>
      <c r="B72" s="511" t="s">
        <v>754</v>
      </c>
      <c r="C72" s="514">
        <f t="shared" si="6"/>
        <v>21860705</v>
      </c>
      <c r="D72" s="514">
        <f t="shared" si="6"/>
        <v>21500232</v>
      </c>
      <c r="E72" s="514">
        <f t="shared" si="7"/>
        <v>-360473</v>
      </c>
    </row>
    <row r="73" spans="1:5" s="506" customFormat="1" x14ac:dyDescent="0.2">
      <c r="A73" s="512">
        <v>5</v>
      </c>
      <c r="B73" s="511" t="s">
        <v>755</v>
      </c>
      <c r="C73" s="514">
        <f t="shared" si="6"/>
        <v>3660924</v>
      </c>
      <c r="D73" s="514">
        <f t="shared" si="6"/>
        <v>2001415</v>
      </c>
      <c r="E73" s="514">
        <f t="shared" si="7"/>
        <v>-1659509</v>
      </c>
    </row>
    <row r="74" spans="1:5" s="506" customFormat="1" x14ac:dyDescent="0.2">
      <c r="A74" s="512">
        <v>6</v>
      </c>
      <c r="B74" s="511" t="s">
        <v>756</v>
      </c>
      <c r="C74" s="514">
        <f t="shared" si="6"/>
        <v>180460</v>
      </c>
      <c r="D74" s="514">
        <f t="shared" si="6"/>
        <v>110138</v>
      </c>
      <c r="E74" s="514">
        <f t="shared" si="7"/>
        <v>-70322</v>
      </c>
    </row>
    <row r="75" spans="1:5" s="506" customFormat="1" x14ac:dyDescent="0.2">
      <c r="A75" s="512">
        <v>7</v>
      </c>
      <c r="B75" s="511" t="s">
        <v>757</v>
      </c>
      <c r="C75" s="514">
        <f t="shared" si="6"/>
        <v>2237759</v>
      </c>
      <c r="D75" s="514">
        <f t="shared" si="6"/>
        <v>2164844</v>
      </c>
      <c r="E75" s="514">
        <f t="shared" si="7"/>
        <v>-72915</v>
      </c>
    </row>
    <row r="76" spans="1:5" s="506" customFormat="1" x14ac:dyDescent="0.2">
      <c r="A76" s="512"/>
      <c r="B76" s="516" t="s">
        <v>763</v>
      </c>
      <c r="C76" s="517">
        <f>SUM(C70+C71+C74)</f>
        <v>121735658</v>
      </c>
      <c r="D76" s="517">
        <f>SUM(D70+D71+D74)</f>
        <v>126097073</v>
      </c>
      <c r="E76" s="517">
        <f t="shared" si="7"/>
        <v>4361415</v>
      </c>
    </row>
    <row r="77" spans="1:5" s="506" customFormat="1" x14ac:dyDescent="0.2">
      <c r="A77" s="512"/>
      <c r="B77" s="516" t="s">
        <v>697</v>
      </c>
      <c r="C77" s="517">
        <f>SUM(C69+C76)</f>
        <v>381456277</v>
      </c>
      <c r="D77" s="517">
        <f>SUM(D69+D76)</f>
        <v>394986904</v>
      </c>
      <c r="E77" s="517">
        <f t="shared" si="7"/>
        <v>13530627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764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765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622</v>
      </c>
      <c r="C83" s="523">
        <f t="shared" ref="C83:D89" si="8">IF(C$44=0,0,C14/C$44)</f>
        <v>0.17192065560733749</v>
      </c>
      <c r="D83" s="523">
        <f t="shared" si="8"/>
        <v>0.16741960561875205</v>
      </c>
      <c r="E83" s="523">
        <f t="shared" ref="E83:E91" si="9">D83-C83</f>
        <v>-4.5010499885854427E-3</v>
      </c>
    </row>
    <row r="84" spans="1:5" s="506" customFormat="1" x14ac:dyDescent="0.2">
      <c r="A84" s="512">
        <v>2</v>
      </c>
      <c r="B84" s="511" t="s">
        <v>601</v>
      </c>
      <c r="C84" s="523">
        <f t="shared" si="8"/>
        <v>0.21235415342484162</v>
      </c>
      <c r="D84" s="523">
        <f t="shared" si="8"/>
        <v>0.21734275704403699</v>
      </c>
      <c r="E84" s="523">
        <f t="shared" si="9"/>
        <v>4.9886036191953698E-3</v>
      </c>
    </row>
    <row r="85" spans="1:5" s="506" customFormat="1" x14ac:dyDescent="0.2">
      <c r="A85" s="512">
        <v>3</v>
      </c>
      <c r="B85" s="511" t="s">
        <v>747</v>
      </c>
      <c r="C85" s="523">
        <f t="shared" si="8"/>
        <v>6.4114159888979991E-2</v>
      </c>
      <c r="D85" s="523">
        <f t="shared" si="8"/>
        <v>6.4067046508999484E-2</v>
      </c>
      <c r="E85" s="523">
        <f t="shared" si="9"/>
        <v>-4.7113379980506798E-5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4.588374124009327E-2</v>
      </c>
      <c r="D86" s="523">
        <f t="shared" si="8"/>
        <v>4.919404522734961E-2</v>
      </c>
      <c r="E86" s="523">
        <f t="shared" si="9"/>
        <v>3.3103039872563397E-3</v>
      </c>
    </row>
    <row r="87" spans="1:5" s="506" customFormat="1" x14ac:dyDescent="0.2">
      <c r="A87" s="512">
        <v>5</v>
      </c>
      <c r="B87" s="511" t="s">
        <v>714</v>
      </c>
      <c r="C87" s="523">
        <f t="shared" si="8"/>
        <v>1.8230418648886717E-2</v>
      </c>
      <c r="D87" s="523">
        <f t="shared" si="8"/>
        <v>1.4873001281649879E-2</v>
      </c>
      <c r="E87" s="523">
        <f t="shared" si="9"/>
        <v>-3.3574173672368379E-3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2.033245288180057E-4</v>
      </c>
      <c r="D88" s="523">
        <f t="shared" si="8"/>
        <v>1.7875943048943689E-4</v>
      </c>
      <c r="E88" s="523">
        <f t="shared" si="9"/>
        <v>-2.4565098328568804E-5</v>
      </c>
    </row>
    <row r="89" spans="1:5" s="506" customFormat="1" x14ac:dyDescent="0.2">
      <c r="A89" s="512">
        <v>7</v>
      </c>
      <c r="B89" s="511" t="s">
        <v>729</v>
      </c>
      <c r="C89" s="523">
        <f t="shared" si="8"/>
        <v>1.8570640869917561E-2</v>
      </c>
      <c r="D89" s="523">
        <f t="shared" si="8"/>
        <v>1.5300751551582602E-2</v>
      </c>
      <c r="E89" s="523">
        <f t="shared" si="9"/>
        <v>-3.2698893183349589E-3</v>
      </c>
    </row>
    <row r="90" spans="1:5" s="506" customFormat="1" x14ac:dyDescent="0.2">
      <c r="A90" s="512"/>
      <c r="B90" s="516" t="s">
        <v>766</v>
      </c>
      <c r="C90" s="524">
        <f>SUM(C84+C85+C88)</f>
        <v>0.2766716378426396</v>
      </c>
      <c r="D90" s="524">
        <f>SUM(D84+D85+D88)</f>
        <v>0.28158856298352591</v>
      </c>
      <c r="E90" s="525">
        <f t="shared" si="9"/>
        <v>4.916925140886319E-3</v>
      </c>
    </row>
    <row r="91" spans="1:5" s="506" customFormat="1" x14ac:dyDescent="0.2">
      <c r="A91" s="512"/>
      <c r="B91" s="516" t="s">
        <v>767</v>
      </c>
      <c r="C91" s="524">
        <f>SUM(C83+C90)</f>
        <v>0.44859229344997709</v>
      </c>
      <c r="D91" s="524">
        <f>SUM(D83+D90)</f>
        <v>0.44900816860227799</v>
      </c>
      <c r="E91" s="525">
        <f t="shared" si="9"/>
        <v>4.1587515230090411E-4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768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622</v>
      </c>
      <c r="C95" s="523">
        <f t="shared" ref="C95:D101" si="10">IF(C$44=0,0,C25/C$44)</f>
        <v>0.34689871403851674</v>
      </c>
      <c r="D95" s="523">
        <f t="shared" si="10"/>
        <v>0.34130726543211687</v>
      </c>
      <c r="E95" s="523">
        <f t="shared" ref="E95:E103" si="11">D95-C95</f>
        <v>-5.5914486063998736E-3</v>
      </c>
    </row>
    <row r="96" spans="1:5" s="506" customFormat="1" x14ac:dyDescent="0.2">
      <c r="A96" s="512">
        <v>2</v>
      </c>
      <c r="B96" s="511" t="s">
        <v>601</v>
      </c>
      <c r="C96" s="523">
        <f t="shared" si="10"/>
        <v>0.15403370113615578</v>
      </c>
      <c r="D96" s="523">
        <f t="shared" si="10"/>
        <v>0.15386481409523253</v>
      </c>
      <c r="E96" s="523">
        <f t="shared" si="11"/>
        <v>-1.6888704092324347E-4</v>
      </c>
    </row>
    <row r="97" spans="1:5" s="506" customFormat="1" x14ac:dyDescent="0.2">
      <c r="A97" s="512">
        <v>3</v>
      </c>
      <c r="B97" s="511" t="s">
        <v>747</v>
      </c>
      <c r="C97" s="523">
        <f t="shared" si="10"/>
        <v>5.0180017487776347E-2</v>
      </c>
      <c r="D97" s="523">
        <f t="shared" si="10"/>
        <v>5.5473649823260043E-2</v>
      </c>
      <c r="E97" s="523">
        <f t="shared" si="11"/>
        <v>5.2936323354836959E-3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3.964301353544223E-2</v>
      </c>
      <c r="D98" s="523">
        <f t="shared" si="10"/>
        <v>4.5502940880690367E-2</v>
      </c>
      <c r="E98" s="523">
        <f t="shared" si="11"/>
        <v>5.8599273452481365E-3</v>
      </c>
    </row>
    <row r="99" spans="1:5" s="506" customFormat="1" x14ac:dyDescent="0.2">
      <c r="A99" s="512">
        <v>5</v>
      </c>
      <c r="B99" s="511" t="s">
        <v>714</v>
      </c>
      <c r="C99" s="523">
        <f t="shared" si="10"/>
        <v>1.0537003952334117E-2</v>
      </c>
      <c r="D99" s="523">
        <f t="shared" si="10"/>
        <v>9.9707089425696786E-3</v>
      </c>
      <c r="E99" s="523">
        <f t="shared" si="11"/>
        <v>-5.662950097644389E-4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2.9527388757405741E-4</v>
      </c>
      <c r="D100" s="523">
        <f t="shared" si="10"/>
        <v>3.4610204711256107E-4</v>
      </c>
      <c r="E100" s="523">
        <f t="shared" si="11"/>
        <v>5.082815953850366E-5</v>
      </c>
    </row>
    <row r="101" spans="1:5" s="506" customFormat="1" x14ac:dyDescent="0.2">
      <c r="A101" s="512">
        <v>7</v>
      </c>
      <c r="B101" s="511" t="s">
        <v>729</v>
      </c>
      <c r="C101" s="523">
        <f t="shared" si="10"/>
        <v>3.2970941377780401E-2</v>
      </c>
      <c r="D101" s="523">
        <f t="shared" si="10"/>
        <v>3.4033387883928477E-2</v>
      </c>
      <c r="E101" s="523">
        <f t="shared" si="11"/>
        <v>1.0624465061480765E-3</v>
      </c>
    </row>
    <row r="102" spans="1:5" s="506" customFormat="1" x14ac:dyDescent="0.2">
      <c r="A102" s="512"/>
      <c r="B102" s="516" t="s">
        <v>769</v>
      </c>
      <c r="C102" s="524">
        <f>SUM(C96+C97+C100)</f>
        <v>0.20450899251150617</v>
      </c>
      <c r="D102" s="524">
        <f>SUM(D96+D97+D100)</f>
        <v>0.20968456596560514</v>
      </c>
      <c r="E102" s="525">
        <f t="shared" si="11"/>
        <v>5.1755734540989695E-3</v>
      </c>
    </row>
    <row r="103" spans="1:5" s="506" customFormat="1" x14ac:dyDescent="0.2">
      <c r="A103" s="512"/>
      <c r="B103" s="516" t="s">
        <v>770</v>
      </c>
      <c r="C103" s="524">
        <f>SUM(C95+C102)</f>
        <v>0.55140770655002291</v>
      </c>
      <c r="D103" s="524">
        <f>SUM(D95+D102)</f>
        <v>0.55099183139772201</v>
      </c>
      <c r="E103" s="525">
        <f t="shared" si="11"/>
        <v>-4.1587515230090411E-4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771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772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622</v>
      </c>
      <c r="C109" s="523">
        <f t="shared" ref="C109:D115" si="12">IF(C$77=0,0,C47/C$77)</f>
        <v>0.19870955485679423</v>
      </c>
      <c r="D109" s="523">
        <f t="shared" si="12"/>
        <v>0.20091118261480387</v>
      </c>
      <c r="E109" s="523">
        <f t="shared" ref="E109:E117" si="13">D109-C109</f>
        <v>2.2016277580096388E-3</v>
      </c>
    </row>
    <row r="110" spans="1:5" s="506" customFormat="1" x14ac:dyDescent="0.2">
      <c r="A110" s="512">
        <v>2</v>
      </c>
      <c r="B110" s="511" t="s">
        <v>601</v>
      </c>
      <c r="C110" s="523">
        <f t="shared" si="12"/>
        <v>0.18308951827787068</v>
      </c>
      <c r="D110" s="523">
        <f t="shared" si="12"/>
        <v>0.19362431570642655</v>
      </c>
      <c r="E110" s="523">
        <f t="shared" si="13"/>
        <v>1.053479742855587E-2</v>
      </c>
    </row>
    <row r="111" spans="1:5" s="506" customFormat="1" x14ac:dyDescent="0.2">
      <c r="A111" s="512">
        <v>3</v>
      </c>
      <c r="B111" s="511" t="s">
        <v>747</v>
      </c>
      <c r="C111" s="523">
        <f t="shared" si="12"/>
        <v>4.2051930895346097E-2</v>
      </c>
      <c r="D111" s="523">
        <f t="shared" si="12"/>
        <v>3.2550983006768244E-2</v>
      </c>
      <c r="E111" s="523">
        <f t="shared" si="13"/>
        <v>-9.5009478885778528E-3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3.6369759357767761E-2</v>
      </c>
      <c r="D112" s="523">
        <f t="shared" si="12"/>
        <v>2.9659054215124055E-2</v>
      </c>
      <c r="E112" s="523">
        <f t="shared" si="13"/>
        <v>-6.7107051426437067E-3</v>
      </c>
    </row>
    <row r="113" spans="1:5" s="506" customFormat="1" x14ac:dyDescent="0.2">
      <c r="A113" s="512">
        <v>5</v>
      </c>
      <c r="B113" s="511" t="s">
        <v>714</v>
      </c>
      <c r="C113" s="523">
        <f t="shared" si="12"/>
        <v>5.6821715375783418E-3</v>
      </c>
      <c r="D113" s="523">
        <f t="shared" si="12"/>
        <v>2.8919287916441909E-3</v>
      </c>
      <c r="E113" s="523">
        <f t="shared" si="13"/>
        <v>-2.7902427459341509E-3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1.4119835810173336E-4</v>
      </c>
      <c r="D114" s="523">
        <f t="shared" si="12"/>
        <v>1.5161515329632295E-4</v>
      </c>
      <c r="E114" s="523">
        <f t="shared" si="13"/>
        <v>1.0416795194589582E-5</v>
      </c>
    </row>
    <row r="115" spans="1:5" s="506" customFormat="1" x14ac:dyDescent="0.2">
      <c r="A115" s="512">
        <v>7</v>
      </c>
      <c r="B115" s="511" t="s">
        <v>729</v>
      </c>
      <c r="C115" s="523">
        <f t="shared" si="12"/>
        <v>1.2411959864013459E-3</v>
      </c>
      <c r="D115" s="523">
        <f t="shared" si="12"/>
        <v>1.4633194015971729E-3</v>
      </c>
      <c r="E115" s="523">
        <f t="shared" si="13"/>
        <v>2.2212341519582701E-4</v>
      </c>
    </row>
    <row r="116" spans="1:5" s="506" customFormat="1" x14ac:dyDescent="0.2">
      <c r="A116" s="512"/>
      <c r="B116" s="516" t="s">
        <v>766</v>
      </c>
      <c r="C116" s="524">
        <f>SUM(C110+C111+C114)</f>
        <v>0.22528264753131849</v>
      </c>
      <c r="D116" s="524">
        <f>SUM(D110+D111+D114)</f>
        <v>0.22632691386649112</v>
      </c>
      <c r="E116" s="525">
        <f t="shared" si="13"/>
        <v>1.0442663351726278E-3</v>
      </c>
    </row>
    <row r="117" spans="1:5" s="506" customFormat="1" x14ac:dyDescent="0.2">
      <c r="A117" s="512"/>
      <c r="B117" s="516" t="s">
        <v>767</v>
      </c>
      <c r="C117" s="524">
        <f>SUM(C109+C116)</f>
        <v>0.42399220238811275</v>
      </c>
      <c r="D117" s="524">
        <f>SUM(D109+D116)</f>
        <v>0.42723809648129496</v>
      </c>
      <c r="E117" s="525">
        <f t="shared" si="13"/>
        <v>3.2458940931822111E-3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773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622</v>
      </c>
      <c r="C121" s="523">
        <f t="shared" ref="C121:D127" si="14">IF(C$77=0,0,C58/C$77)</f>
        <v>0.48215647005855927</v>
      </c>
      <c r="D121" s="523">
        <f t="shared" si="14"/>
        <v>0.47984513684028368</v>
      </c>
      <c r="E121" s="523">
        <f t="shared" ref="E121:E129" si="15">D121-C121</f>
        <v>-2.3113332182755908E-3</v>
      </c>
    </row>
    <row r="122" spans="1:5" s="506" customFormat="1" x14ac:dyDescent="0.2">
      <c r="A122" s="512">
        <v>2</v>
      </c>
      <c r="B122" s="511" t="s">
        <v>601</v>
      </c>
      <c r="C122" s="523">
        <f t="shared" si="14"/>
        <v>6.8665597027257733E-2</v>
      </c>
      <c r="D122" s="523">
        <f t="shared" si="14"/>
        <v>6.5840712025227038E-2</v>
      </c>
      <c r="E122" s="523">
        <f t="shared" si="15"/>
        <v>-2.8248850020306943E-3</v>
      </c>
    </row>
    <row r="123" spans="1:5" s="506" customFormat="1" x14ac:dyDescent="0.2">
      <c r="A123" s="512">
        <v>3</v>
      </c>
      <c r="B123" s="511" t="s">
        <v>747</v>
      </c>
      <c r="C123" s="523">
        <f t="shared" si="14"/>
        <v>2.4853847142224376E-2</v>
      </c>
      <c r="D123" s="523">
        <f t="shared" si="14"/>
        <v>2.6948830181974845E-2</v>
      </c>
      <c r="E123" s="523">
        <f t="shared" si="15"/>
        <v>2.0949830397504685E-3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2.0938787697547836E-2</v>
      </c>
      <c r="D124" s="523">
        <f t="shared" si="14"/>
        <v>2.4773717561025772E-2</v>
      </c>
      <c r="E124" s="523">
        <f t="shared" si="15"/>
        <v>3.8349298634779358E-3</v>
      </c>
    </row>
    <row r="125" spans="1:5" s="506" customFormat="1" x14ac:dyDescent="0.2">
      <c r="A125" s="512">
        <v>5</v>
      </c>
      <c r="B125" s="511" t="s">
        <v>714</v>
      </c>
      <c r="C125" s="523">
        <f t="shared" si="14"/>
        <v>3.9150594446765389E-3</v>
      </c>
      <c r="D125" s="523">
        <f t="shared" si="14"/>
        <v>2.1751126209490733E-3</v>
      </c>
      <c r="E125" s="523">
        <f t="shared" si="15"/>
        <v>-1.7399468237274656E-3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3.3188338384585028E-4</v>
      </c>
      <c r="D126" s="523">
        <f t="shared" si="14"/>
        <v>1.2722447121943061E-4</v>
      </c>
      <c r="E126" s="523">
        <f t="shared" si="15"/>
        <v>-2.0465891262641967E-4</v>
      </c>
    </row>
    <row r="127" spans="1:5" s="506" customFormat="1" x14ac:dyDescent="0.2">
      <c r="A127" s="512">
        <v>7</v>
      </c>
      <c r="B127" s="511" t="s">
        <v>729</v>
      </c>
      <c r="C127" s="523">
        <f t="shared" si="14"/>
        <v>4.6251617980322289E-3</v>
      </c>
      <c r="D127" s="523">
        <f t="shared" si="14"/>
        <v>4.0174800327050847E-3</v>
      </c>
      <c r="E127" s="523">
        <f t="shared" si="15"/>
        <v>-6.0768176532714421E-4</v>
      </c>
    </row>
    <row r="128" spans="1:5" s="506" customFormat="1" x14ac:dyDescent="0.2">
      <c r="A128" s="512"/>
      <c r="B128" s="516" t="s">
        <v>769</v>
      </c>
      <c r="C128" s="524">
        <f>SUM(C122+C123+C126)</f>
        <v>9.3851327553327951E-2</v>
      </c>
      <c r="D128" s="524">
        <f>SUM(D122+D123+D126)</f>
        <v>9.2916766678421317E-2</v>
      </c>
      <c r="E128" s="525">
        <f t="shared" si="15"/>
        <v>-9.345608749066342E-4</v>
      </c>
    </row>
    <row r="129" spans="1:5" s="506" customFormat="1" x14ac:dyDescent="0.2">
      <c r="A129" s="512"/>
      <c r="B129" s="516" t="s">
        <v>770</v>
      </c>
      <c r="C129" s="524">
        <f>SUM(C121+C128)</f>
        <v>0.57600779761188725</v>
      </c>
      <c r="D129" s="524">
        <f>SUM(D121+D128)</f>
        <v>0.57276190351870504</v>
      </c>
      <c r="E129" s="525">
        <f t="shared" si="15"/>
        <v>-3.2458940931822111E-3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774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775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776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622</v>
      </c>
      <c r="C137" s="530">
        <v>7028</v>
      </c>
      <c r="D137" s="530">
        <v>6787</v>
      </c>
      <c r="E137" s="531">
        <f t="shared" ref="E137:E145" si="16">D137-C137</f>
        <v>-241</v>
      </c>
    </row>
    <row r="138" spans="1:5" s="506" customFormat="1" x14ac:dyDescent="0.2">
      <c r="A138" s="512">
        <v>2</v>
      </c>
      <c r="B138" s="511" t="s">
        <v>601</v>
      </c>
      <c r="C138" s="530">
        <v>5093</v>
      </c>
      <c r="D138" s="530">
        <v>5382</v>
      </c>
      <c r="E138" s="531">
        <f t="shared" si="16"/>
        <v>289</v>
      </c>
    </row>
    <row r="139" spans="1:5" s="506" customFormat="1" x14ac:dyDescent="0.2">
      <c r="A139" s="512">
        <v>3</v>
      </c>
      <c r="B139" s="511" t="s">
        <v>747</v>
      </c>
      <c r="C139" s="530">
        <f>C140+C141</f>
        <v>2756</v>
      </c>
      <c r="D139" s="530">
        <f>D140+D141</f>
        <v>2907</v>
      </c>
      <c r="E139" s="531">
        <f t="shared" si="16"/>
        <v>151</v>
      </c>
    </row>
    <row r="140" spans="1:5" s="506" customFormat="1" x14ac:dyDescent="0.2">
      <c r="A140" s="512">
        <v>4</v>
      </c>
      <c r="B140" s="511" t="s">
        <v>114</v>
      </c>
      <c r="C140" s="530">
        <v>2285</v>
      </c>
      <c r="D140" s="530">
        <v>2457</v>
      </c>
      <c r="E140" s="531">
        <f t="shared" si="16"/>
        <v>172</v>
      </c>
    </row>
    <row r="141" spans="1:5" s="506" customFormat="1" x14ac:dyDescent="0.2">
      <c r="A141" s="512">
        <v>5</v>
      </c>
      <c r="B141" s="511" t="s">
        <v>714</v>
      </c>
      <c r="C141" s="530">
        <v>471</v>
      </c>
      <c r="D141" s="530">
        <v>450</v>
      </c>
      <c r="E141" s="531">
        <f t="shared" si="16"/>
        <v>-21</v>
      </c>
    </row>
    <row r="142" spans="1:5" s="506" customFormat="1" x14ac:dyDescent="0.2">
      <c r="A142" s="512">
        <v>6</v>
      </c>
      <c r="B142" s="511" t="s">
        <v>418</v>
      </c>
      <c r="C142" s="530">
        <v>11</v>
      </c>
      <c r="D142" s="530">
        <v>13</v>
      </c>
      <c r="E142" s="531">
        <f t="shared" si="16"/>
        <v>2</v>
      </c>
    </row>
    <row r="143" spans="1:5" s="506" customFormat="1" x14ac:dyDescent="0.2">
      <c r="A143" s="512">
        <v>7</v>
      </c>
      <c r="B143" s="511" t="s">
        <v>729</v>
      </c>
      <c r="C143" s="530">
        <v>590</v>
      </c>
      <c r="D143" s="530">
        <v>490</v>
      </c>
      <c r="E143" s="531">
        <f t="shared" si="16"/>
        <v>-100</v>
      </c>
    </row>
    <row r="144" spans="1:5" s="506" customFormat="1" x14ac:dyDescent="0.2">
      <c r="A144" s="512"/>
      <c r="B144" s="516" t="s">
        <v>777</v>
      </c>
      <c r="C144" s="532">
        <f>SUM(C138+C139+C142)</f>
        <v>7860</v>
      </c>
      <c r="D144" s="532">
        <f>SUM(D138+D139+D142)</f>
        <v>8302</v>
      </c>
      <c r="E144" s="533">
        <f t="shared" si="16"/>
        <v>442</v>
      </c>
    </row>
    <row r="145" spans="1:5" s="506" customFormat="1" x14ac:dyDescent="0.2">
      <c r="A145" s="512"/>
      <c r="B145" s="516" t="s">
        <v>691</v>
      </c>
      <c r="C145" s="532">
        <f>SUM(C137+C144)</f>
        <v>14888</v>
      </c>
      <c r="D145" s="532">
        <f>SUM(D137+D144)</f>
        <v>15089</v>
      </c>
      <c r="E145" s="533">
        <f t="shared" si="16"/>
        <v>201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622</v>
      </c>
      <c r="C149" s="534">
        <v>27630</v>
      </c>
      <c r="D149" s="534">
        <v>25956</v>
      </c>
      <c r="E149" s="531">
        <f t="shared" ref="E149:E157" si="17">D149-C149</f>
        <v>-1674</v>
      </c>
    </row>
    <row r="150" spans="1:5" s="506" customFormat="1" x14ac:dyDescent="0.2">
      <c r="A150" s="512">
        <v>2</v>
      </c>
      <c r="B150" s="511" t="s">
        <v>601</v>
      </c>
      <c r="C150" s="534">
        <v>34020</v>
      </c>
      <c r="D150" s="534">
        <v>35892</v>
      </c>
      <c r="E150" s="531">
        <f t="shared" si="17"/>
        <v>1872</v>
      </c>
    </row>
    <row r="151" spans="1:5" s="506" customFormat="1" x14ac:dyDescent="0.2">
      <c r="A151" s="512">
        <v>3</v>
      </c>
      <c r="B151" s="511" t="s">
        <v>747</v>
      </c>
      <c r="C151" s="534">
        <f>C152+C153</f>
        <v>13588</v>
      </c>
      <c r="D151" s="534">
        <f>D152+D153</f>
        <v>14326</v>
      </c>
      <c r="E151" s="531">
        <f t="shared" si="17"/>
        <v>738</v>
      </c>
    </row>
    <row r="152" spans="1:5" s="506" customFormat="1" x14ac:dyDescent="0.2">
      <c r="A152" s="512">
        <v>4</v>
      </c>
      <c r="B152" s="511" t="s">
        <v>114</v>
      </c>
      <c r="C152" s="534">
        <v>10144</v>
      </c>
      <c r="D152" s="534">
        <v>10974</v>
      </c>
      <c r="E152" s="531">
        <f t="shared" si="17"/>
        <v>830</v>
      </c>
    </row>
    <row r="153" spans="1:5" s="506" customFormat="1" x14ac:dyDescent="0.2">
      <c r="A153" s="512">
        <v>5</v>
      </c>
      <c r="B153" s="511" t="s">
        <v>714</v>
      </c>
      <c r="C153" s="535">
        <v>3444</v>
      </c>
      <c r="D153" s="534">
        <v>3352</v>
      </c>
      <c r="E153" s="531">
        <f t="shared" si="17"/>
        <v>-92</v>
      </c>
    </row>
    <row r="154" spans="1:5" s="506" customFormat="1" x14ac:dyDescent="0.2">
      <c r="A154" s="512">
        <v>6</v>
      </c>
      <c r="B154" s="511" t="s">
        <v>418</v>
      </c>
      <c r="C154" s="534">
        <v>34</v>
      </c>
      <c r="D154" s="534">
        <v>51</v>
      </c>
      <c r="E154" s="531">
        <f t="shared" si="17"/>
        <v>17</v>
      </c>
    </row>
    <row r="155" spans="1:5" s="506" customFormat="1" x14ac:dyDescent="0.2">
      <c r="A155" s="512">
        <v>7</v>
      </c>
      <c r="B155" s="511" t="s">
        <v>729</v>
      </c>
      <c r="C155" s="534">
        <v>2636</v>
      </c>
      <c r="D155" s="534">
        <v>1826</v>
      </c>
      <c r="E155" s="531">
        <f t="shared" si="17"/>
        <v>-810</v>
      </c>
    </row>
    <row r="156" spans="1:5" s="506" customFormat="1" x14ac:dyDescent="0.2">
      <c r="A156" s="512"/>
      <c r="B156" s="516" t="s">
        <v>778</v>
      </c>
      <c r="C156" s="532">
        <f>SUM(C150+C151+C154)</f>
        <v>47642</v>
      </c>
      <c r="D156" s="532">
        <f>SUM(D150+D151+D154)</f>
        <v>50269</v>
      </c>
      <c r="E156" s="533">
        <f t="shared" si="17"/>
        <v>2627</v>
      </c>
    </row>
    <row r="157" spans="1:5" s="506" customFormat="1" x14ac:dyDescent="0.2">
      <c r="A157" s="512"/>
      <c r="B157" s="516" t="s">
        <v>779</v>
      </c>
      <c r="C157" s="532">
        <f>SUM(C149+C156)</f>
        <v>75272</v>
      </c>
      <c r="D157" s="532">
        <f>SUM(D149+D156)</f>
        <v>76225</v>
      </c>
      <c r="E157" s="533">
        <f t="shared" si="17"/>
        <v>953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780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622</v>
      </c>
      <c r="C161" s="536">
        <f t="shared" ref="C161:D169" si="18">IF(C137=0,0,C149/C137)</f>
        <v>3.9314171883892999</v>
      </c>
      <c r="D161" s="536">
        <f t="shared" si="18"/>
        <v>3.824370119345808</v>
      </c>
      <c r="E161" s="537">
        <f t="shared" ref="E161:E169" si="19">D161-C161</f>
        <v>-0.10704706904349193</v>
      </c>
    </row>
    <row r="162" spans="1:5" s="506" customFormat="1" x14ac:dyDescent="0.2">
      <c r="A162" s="512">
        <v>2</v>
      </c>
      <c r="B162" s="511" t="s">
        <v>601</v>
      </c>
      <c r="C162" s="536">
        <f t="shared" si="18"/>
        <v>6.6797565285686238</v>
      </c>
      <c r="D162" s="536">
        <f t="shared" si="18"/>
        <v>6.6688963210702346</v>
      </c>
      <c r="E162" s="537">
        <f t="shared" si="19"/>
        <v>-1.0860207498389229E-2</v>
      </c>
    </row>
    <row r="163" spans="1:5" s="506" customFormat="1" x14ac:dyDescent="0.2">
      <c r="A163" s="512">
        <v>3</v>
      </c>
      <c r="B163" s="511" t="s">
        <v>747</v>
      </c>
      <c r="C163" s="536">
        <f t="shared" si="18"/>
        <v>4.9303338171262698</v>
      </c>
      <c r="D163" s="536">
        <f t="shared" si="18"/>
        <v>4.9281045751633989</v>
      </c>
      <c r="E163" s="537">
        <f t="shared" si="19"/>
        <v>-2.2292419628708871E-3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4.4393873085339166</v>
      </c>
      <c r="D164" s="536">
        <f t="shared" si="18"/>
        <v>4.4664224664224665</v>
      </c>
      <c r="E164" s="537">
        <f t="shared" si="19"/>
        <v>2.7035157888549932E-2</v>
      </c>
    </row>
    <row r="165" spans="1:5" s="506" customFormat="1" x14ac:dyDescent="0.2">
      <c r="A165" s="512">
        <v>5</v>
      </c>
      <c r="B165" s="511" t="s">
        <v>714</v>
      </c>
      <c r="C165" s="536">
        <f t="shared" si="18"/>
        <v>7.3121019108280256</v>
      </c>
      <c r="D165" s="536">
        <f t="shared" si="18"/>
        <v>7.4488888888888889</v>
      </c>
      <c r="E165" s="537">
        <f t="shared" si="19"/>
        <v>0.13678697806086326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3.0909090909090908</v>
      </c>
      <c r="D166" s="536">
        <f t="shared" si="18"/>
        <v>3.9230769230769229</v>
      </c>
      <c r="E166" s="537">
        <f t="shared" si="19"/>
        <v>0.83216783216783208</v>
      </c>
    </row>
    <row r="167" spans="1:5" s="506" customFormat="1" x14ac:dyDescent="0.2">
      <c r="A167" s="512">
        <v>7</v>
      </c>
      <c r="B167" s="511" t="s">
        <v>729</v>
      </c>
      <c r="C167" s="536">
        <f t="shared" si="18"/>
        <v>4.4677966101694917</v>
      </c>
      <c r="D167" s="536">
        <f t="shared" si="18"/>
        <v>3.7265306122448978</v>
      </c>
      <c r="E167" s="537">
        <f t="shared" si="19"/>
        <v>-0.74126599792459391</v>
      </c>
    </row>
    <row r="168" spans="1:5" s="506" customFormat="1" x14ac:dyDescent="0.2">
      <c r="A168" s="512"/>
      <c r="B168" s="516" t="s">
        <v>781</v>
      </c>
      <c r="C168" s="538">
        <f t="shared" si="18"/>
        <v>6.061323155216285</v>
      </c>
      <c r="D168" s="538">
        <f t="shared" si="18"/>
        <v>6.0550469766321369</v>
      </c>
      <c r="E168" s="539">
        <f t="shared" si="19"/>
        <v>-6.2761785841480844E-3</v>
      </c>
    </row>
    <row r="169" spans="1:5" s="506" customFormat="1" x14ac:dyDescent="0.2">
      <c r="A169" s="512"/>
      <c r="B169" s="516" t="s">
        <v>715</v>
      </c>
      <c r="C169" s="538">
        <f t="shared" si="18"/>
        <v>5.0558839333691568</v>
      </c>
      <c r="D169" s="538">
        <f t="shared" si="18"/>
        <v>5.0516932865000994</v>
      </c>
      <c r="E169" s="539">
        <f t="shared" si="19"/>
        <v>-4.1906468690573462E-3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782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622</v>
      </c>
      <c r="C173" s="541">
        <f t="shared" ref="C173:D181" si="20">IF(C137=0,0,C203/C137)</f>
        <v>1.04837</v>
      </c>
      <c r="D173" s="541">
        <f t="shared" si="20"/>
        <v>1.06006</v>
      </c>
      <c r="E173" s="542">
        <f t="shared" ref="E173:E181" si="21">D173-C173</f>
        <v>1.1689999999999978E-2</v>
      </c>
    </row>
    <row r="174" spans="1:5" s="506" customFormat="1" x14ac:dyDescent="0.2">
      <c r="A174" s="512">
        <v>2</v>
      </c>
      <c r="B174" s="511" t="s">
        <v>601</v>
      </c>
      <c r="C174" s="541">
        <f t="shared" si="20"/>
        <v>1.5766899999999999</v>
      </c>
      <c r="D174" s="541">
        <f t="shared" si="20"/>
        <v>1.5350900000000001</v>
      </c>
      <c r="E174" s="542">
        <f t="shared" si="21"/>
        <v>-4.1599999999999859E-2</v>
      </c>
    </row>
    <row r="175" spans="1:5" s="506" customFormat="1" x14ac:dyDescent="0.2">
      <c r="A175" s="512">
        <v>0</v>
      </c>
      <c r="B175" s="511" t="s">
        <v>747</v>
      </c>
      <c r="C175" s="541">
        <f t="shared" si="20"/>
        <v>0.96681970246734394</v>
      </c>
      <c r="D175" s="541">
        <f t="shared" si="20"/>
        <v>0.97161811145510835</v>
      </c>
      <c r="E175" s="542">
        <f t="shared" si="21"/>
        <v>4.7984089877644021E-3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0.88258999999999999</v>
      </c>
      <c r="D176" s="541">
        <f t="shared" si="20"/>
        <v>0.92154999999999998</v>
      </c>
      <c r="E176" s="542">
        <f t="shared" si="21"/>
        <v>3.8959999999999995E-2</v>
      </c>
    </row>
    <row r="177" spans="1:5" s="506" customFormat="1" x14ac:dyDescent="0.2">
      <c r="A177" s="512">
        <v>5</v>
      </c>
      <c r="B177" s="511" t="s">
        <v>714</v>
      </c>
      <c r="C177" s="541">
        <f t="shared" si="20"/>
        <v>1.3754500000000001</v>
      </c>
      <c r="D177" s="541">
        <f t="shared" si="20"/>
        <v>1.24499</v>
      </c>
      <c r="E177" s="542">
        <f t="shared" si="21"/>
        <v>-0.13046000000000002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1.0287200000000001</v>
      </c>
      <c r="D178" s="541">
        <f t="shared" si="20"/>
        <v>0.75034000000000001</v>
      </c>
      <c r="E178" s="542">
        <f t="shared" si="21"/>
        <v>-0.27838000000000007</v>
      </c>
    </row>
    <row r="179" spans="1:5" s="506" customFormat="1" x14ac:dyDescent="0.2">
      <c r="A179" s="512">
        <v>7</v>
      </c>
      <c r="B179" s="511" t="s">
        <v>729</v>
      </c>
      <c r="C179" s="541">
        <f t="shared" si="20"/>
        <v>1.2307600000000001</v>
      </c>
      <c r="D179" s="541">
        <f t="shared" si="20"/>
        <v>1.1037699999999997</v>
      </c>
      <c r="E179" s="542">
        <f t="shared" si="21"/>
        <v>-0.12699000000000038</v>
      </c>
    </row>
    <row r="180" spans="1:5" s="506" customFormat="1" x14ac:dyDescent="0.2">
      <c r="A180" s="512"/>
      <c r="B180" s="516" t="s">
        <v>783</v>
      </c>
      <c r="C180" s="543">
        <f t="shared" si="20"/>
        <v>1.3620805585241729</v>
      </c>
      <c r="D180" s="543">
        <f t="shared" si="20"/>
        <v>1.3365577752348829</v>
      </c>
      <c r="E180" s="544">
        <f t="shared" si="21"/>
        <v>-2.5522783289289919E-2</v>
      </c>
    </row>
    <row r="181" spans="1:5" s="506" customFormat="1" x14ac:dyDescent="0.2">
      <c r="A181" s="512"/>
      <c r="B181" s="516" t="s">
        <v>692</v>
      </c>
      <c r="C181" s="543">
        <f t="shared" si="20"/>
        <v>1.2139909692369693</v>
      </c>
      <c r="D181" s="543">
        <f t="shared" si="20"/>
        <v>1.212189665981841</v>
      </c>
      <c r="E181" s="544">
        <f t="shared" si="21"/>
        <v>-1.8013032551282837E-3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784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785</v>
      </c>
      <c r="C185" s="513">
        <v>520905477</v>
      </c>
      <c r="D185" s="513">
        <v>568718927</v>
      </c>
      <c r="E185" s="514">
        <f>D185-C185</f>
        <v>47813450</v>
      </c>
    </row>
    <row r="186" spans="1:5" s="506" customFormat="1" ht="25.5" x14ac:dyDescent="0.2">
      <c r="A186" s="512">
        <v>2</v>
      </c>
      <c r="B186" s="511" t="s">
        <v>786</v>
      </c>
      <c r="C186" s="513">
        <v>285258976</v>
      </c>
      <c r="D186" s="513">
        <v>330541616</v>
      </c>
      <c r="E186" s="514">
        <f>D186-C186</f>
        <v>45282640</v>
      </c>
    </row>
    <row r="187" spans="1:5" s="506" customFormat="1" x14ac:dyDescent="0.2">
      <c r="A187" s="512"/>
      <c r="B187" s="511" t="s">
        <v>634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718</v>
      </c>
      <c r="C188" s="546">
        <f>+C185-C186</f>
        <v>235646501</v>
      </c>
      <c r="D188" s="546">
        <f>+D185-D186</f>
        <v>238177311</v>
      </c>
      <c r="E188" s="514">
        <f t="shared" ref="E188:E197" si="22">D188-C188</f>
        <v>2530810</v>
      </c>
    </row>
    <row r="189" spans="1:5" s="506" customFormat="1" x14ac:dyDescent="0.2">
      <c r="A189" s="512">
        <v>4</v>
      </c>
      <c r="B189" s="511" t="s">
        <v>636</v>
      </c>
      <c r="C189" s="547">
        <f>IF(C185=0,0,+C188/C185)</f>
        <v>0.45237862031540899</v>
      </c>
      <c r="D189" s="547">
        <f>IF(D185=0,0,+D188/D185)</f>
        <v>0.41879617451170215</v>
      </c>
      <c r="E189" s="523">
        <f t="shared" si="22"/>
        <v>-3.358244580370684E-2</v>
      </c>
    </row>
    <row r="190" spans="1:5" s="506" customFormat="1" x14ac:dyDescent="0.2">
      <c r="A190" s="512">
        <v>5</v>
      </c>
      <c r="B190" s="511" t="s">
        <v>733</v>
      </c>
      <c r="C190" s="513">
        <v>19743013</v>
      </c>
      <c r="D190" s="513">
        <v>21493900</v>
      </c>
      <c r="E190" s="546">
        <f t="shared" si="22"/>
        <v>1750887</v>
      </c>
    </row>
    <row r="191" spans="1:5" s="506" customFormat="1" x14ac:dyDescent="0.2">
      <c r="A191" s="512">
        <v>6</v>
      </c>
      <c r="B191" s="511" t="s">
        <v>719</v>
      </c>
      <c r="C191" s="513">
        <v>12159825</v>
      </c>
      <c r="D191" s="513">
        <v>13746535</v>
      </c>
      <c r="E191" s="546">
        <f t="shared" si="22"/>
        <v>1586710</v>
      </c>
    </row>
    <row r="192" spans="1:5" ht="29.25" x14ac:dyDescent="0.2">
      <c r="A192" s="512">
        <v>7</v>
      </c>
      <c r="B192" s="548" t="s">
        <v>787</v>
      </c>
      <c r="C192" s="513">
        <v>2936412</v>
      </c>
      <c r="D192" s="513">
        <v>2850410</v>
      </c>
      <c r="E192" s="546">
        <f t="shared" si="22"/>
        <v>-86002</v>
      </c>
    </row>
    <row r="193" spans="1:5" s="506" customFormat="1" x14ac:dyDescent="0.2">
      <c r="A193" s="512">
        <v>8</v>
      </c>
      <c r="B193" s="511" t="s">
        <v>788</v>
      </c>
      <c r="C193" s="513">
        <v>11909791</v>
      </c>
      <c r="D193" s="513">
        <v>23197082</v>
      </c>
      <c r="E193" s="546">
        <f t="shared" si="22"/>
        <v>11287291</v>
      </c>
    </row>
    <row r="194" spans="1:5" s="506" customFormat="1" x14ac:dyDescent="0.2">
      <c r="A194" s="512">
        <v>9</v>
      </c>
      <c r="B194" s="511" t="s">
        <v>789</v>
      </c>
      <c r="C194" s="513">
        <v>47934677</v>
      </c>
      <c r="D194" s="513">
        <v>42704703</v>
      </c>
      <c r="E194" s="546">
        <f t="shared" si="22"/>
        <v>-5229974</v>
      </c>
    </row>
    <row r="195" spans="1:5" s="506" customFormat="1" x14ac:dyDescent="0.2">
      <c r="A195" s="512">
        <v>10</v>
      </c>
      <c r="B195" s="511" t="s">
        <v>790</v>
      </c>
      <c r="C195" s="513">
        <f>+C193+C194</f>
        <v>59844468</v>
      </c>
      <c r="D195" s="513">
        <f>+D193+D194</f>
        <v>65901785</v>
      </c>
      <c r="E195" s="549">
        <f t="shared" si="22"/>
        <v>6057317</v>
      </c>
    </row>
    <row r="196" spans="1:5" s="506" customFormat="1" x14ac:dyDescent="0.2">
      <c r="A196" s="512">
        <v>11</v>
      </c>
      <c r="B196" s="511" t="s">
        <v>791</v>
      </c>
      <c r="C196" s="513">
        <v>520905477</v>
      </c>
      <c r="D196" s="513">
        <v>568718927</v>
      </c>
      <c r="E196" s="546">
        <f t="shared" si="22"/>
        <v>47813450</v>
      </c>
    </row>
    <row r="197" spans="1:5" s="506" customFormat="1" x14ac:dyDescent="0.2">
      <c r="A197" s="512">
        <v>12</v>
      </c>
      <c r="B197" s="511" t="s">
        <v>676</v>
      </c>
      <c r="C197" s="513">
        <v>425519879</v>
      </c>
      <c r="D197" s="513">
        <v>431680034</v>
      </c>
      <c r="E197" s="546">
        <f t="shared" si="22"/>
        <v>6160155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792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793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622</v>
      </c>
      <c r="C203" s="553">
        <v>7367.9443600000004</v>
      </c>
      <c r="D203" s="553">
        <v>7194.6272200000003</v>
      </c>
      <c r="E203" s="554">
        <f t="shared" ref="E203:E211" si="23">D203-C203</f>
        <v>-173.31714000000011</v>
      </c>
    </row>
    <row r="204" spans="1:5" s="506" customFormat="1" x14ac:dyDescent="0.2">
      <c r="A204" s="512">
        <v>2</v>
      </c>
      <c r="B204" s="511" t="s">
        <v>601</v>
      </c>
      <c r="C204" s="553">
        <v>8030.0821699999997</v>
      </c>
      <c r="D204" s="553">
        <v>8261.8543800000007</v>
      </c>
      <c r="E204" s="554">
        <f t="shared" si="23"/>
        <v>231.772210000001</v>
      </c>
    </row>
    <row r="205" spans="1:5" s="506" customFormat="1" x14ac:dyDescent="0.2">
      <c r="A205" s="512">
        <v>3</v>
      </c>
      <c r="B205" s="511" t="s">
        <v>747</v>
      </c>
      <c r="C205" s="553">
        <f>C206+C207</f>
        <v>2664.5551</v>
      </c>
      <c r="D205" s="553">
        <f>D206+D207</f>
        <v>2824.4938499999998</v>
      </c>
      <c r="E205" s="554">
        <f t="shared" si="23"/>
        <v>159.9387499999998</v>
      </c>
    </row>
    <row r="206" spans="1:5" s="506" customFormat="1" x14ac:dyDescent="0.2">
      <c r="A206" s="512">
        <v>4</v>
      </c>
      <c r="B206" s="511" t="s">
        <v>114</v>
      </c>
      <c r="C206" s="553">
        <v>2016.7181499999999</v>
      </c>
      <c r="D206" s="553">
        <v>2264.2483499999998</v>
      </c>
      <c r="E206" s="554">
        <f t="shared" si="23"/>
        <v>247.53019999999992</v>
      </c>
    </row>
    <row r="207" spans="1:5" s="506" customFormat="1" x14ac:dyDescent="0.2">
      <c r="A207" s="512">
        <v>5</v>
      </c>
      <c r="B207" s="511" t="s">
        <v>714</v>
      </c>
      <c r="C207" s="553">
        <v>647.83695</v>
      </c>
      <c r="D207" s="553">
        <v>560.24549999999999</v>
      </c>
      <c r="E207" s="554">
        <f t="shared" si="23"/>
        <v>-87.591450000000009</v>
      </c>
    </row>
    <row r="208" spans="1:5" s="506" customFormat="1" x14ac:dyDescent="0.2">
      <c r="A208" s="512">
        <v>6</v>
      </c>
      <c r="B208" s="511" t="s">
        <v>418</v>
      </c>
      <c r="C208" s="553">
        <v>11.31592</v>
      </c>
      <c r="D208" s="553">
        <v>9.7544199999999996</v>
      </c>
      <c r="E208" s="554">
        <f t="shared" si="23"/>
        <v>-1.5615000000000006</v>
      </c>
    </row>
    <row r="209" spans="1:5" s="506" customFormat="1" x14ac:dyDescent="0.2">
      <c r="A209" s="512">
        <v>7</v>
      </c>
      <c r="B209" s="511" t="s">
        <v>729</v>
      </c>
      <c r="C209" s="553">
        <v>726.14840000000004</v>
      </c>
      <c r="D209" s="553">
        <v>540.8472999999999</v>
      </c>
      <c r="E209" s="554">
        <f t="shared" si="23"/>
        <v>-185.30110000000013</v>
      </c>
    </row>
    <row r="210" spans="1:5" s="506" customFormat="1" x14ac:dyDescent="0.2">
      <c r="A210" s="512"/>
      <c r="B210" s="516" t="s">
        <v>794</v>
      </c>
      <c r="C210" s="555">
        <f>C204+C205+C208</f>
        <v>10705.953189999998</v>
      </c>
      <c r="D210" s="555">
        <f>D204+D205+D208</f>
        <v>11096.102649999999</v>
      </c>
      <c r="E210" s="556">
        <f t="shared" si="23"/>
        <v>390.14946000000054</v>
      </c>
    </row>
    <row r="211" spans="1:5" s="506" customFormat="1" x14ac:dyDescent="0.2">
      <c r="A211" s="512"/>
      <c r="B211" s="516" t="s">
        <v>693</v>
      </c>
      <c r="C211" s="555">
        <f>C210+C203</f>
        <v>18073.897549999998</v>
      </c>
      <c r="D211" s="555">
        <f>D210+D203</f>
        <v>18290.729869999999</v>
      </c>
      <c r="E211" s="556">
        <f t="shared" si="23"/>
        <v>216.83232000000135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795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622</v>
      </c>
      <c r="C215" s="557">
        <f>IF(C14*C137=0,0,C25/C14*C137)</f>
        <v>14180.984557382311</v>
      </c>
      <c r="D215" s="557">
        <f>IF(D14*D137=0,0,D25/D14*D137)</f>
        <v>13836.207545266851</v>
      </c>
      <c r="E215" s="557">
        <f t="shared" ref="E215:E223" si="24">D215-C215</f>
        <v>-344.77701211546082</v>
      </c>
    </row>
    <row r="216" spans="1:5" s="506" customFormat="1" x14ac:dyDescent="0.2">
      <c r="A216" s="512">
        <v>2</v>
      </c>
      <c r="B216" s="511" t="s">
        <v>601</v>
      </c>
      <c r="C216" s="557">
        <f>IF(C15*C138=0,0,C26/C15*C138)</f>
        <v>3694.2702896748224</v>
      </c>
      <c r="D216" s="557">
        <f>IF(D15*D138=0,0,D26/D15*D138)</f>
        <v>3810.1128407640272</v>
      </c>
      <c r="E216" s="557">
        <f t="shared" si="24"/>
        <v>115.84255108920479</v>
      </c>
    </row>
    <row r="217" spans="1:5" s="506" customFormat="1" x14ac:dyDescent="0.2">
      <c r="A217" s="512">
        <v>3</v>
      </c>
      <c r="B217" s="511" t="s">
        <v>747</v>
      </c>
      <c r="C217" s="557">
        <f>C218+C219</f>
        <v>2246.4465636127202</v>
      </c>
      <c r="D217" s="557">
        <f>D218+D219</f>
        <v>2574.3229652541163</v>
      </c>
      <c r="E217" s="557">
        <f t="shared" si="24"/>
        <v>327.87640164139611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1974.2131631004152</v>
      </c>
      <c r="D218" s="557">
        <f t="shared" si="25"/>
        <v>2272.6475374645593</v>
      </c>
      <c r="E218" s="557">
        <f t="shared" si="24"/>
        <v>298.43437436414411</v>
      </c>
    </row>
    <row r="219" spans="1:5" s="506" customFormat="1" x14ac:dyDescent="0.2">
      <c r="A219" s="512">
        <v>5</v>
      </c>
      <c r="B219" s="511" t="s">
        <v>714</v>
      </c>
      <c r="C219" s="557">
        <f t="shared" si="25"/>
        <v>272.23340051230485</v>
      </c>
      <c r="D219" s="557">
        <f t="shared" si="25"/>
        <v>301.67542778955692</v>
      </c>
      <c r="E219" s="557">
        <f t="shared" si="24"/>
        <v>29.442027277252066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15.974524973432519</v>
      </c>
      <c r="D220" s="557">
        <f t="shared" si="25"/>
        <v>25.16973006763503</v>
      </c>
      <c r="E220" s="557">
        <f t="shared" si="24"/>
        <v>9.1952050942025103</v>
      </c>
    </row>
    <row r="221" spans="1:5" s="506" customFormat="1" x14ac:dyDescent="0.2">
      <c r="A221" s="512">
        <v>7</v>
      </c>
      <c r="B221" s="511" t="s">
        <v>729</v>
      </c>
      <c r="C221" s="557">
        <f t="shared" si="25"/>
        <v>1047.5058749535117</v>
      </c>
      <c r="D221" s="557">
        <f t="shared" si="25"/>
        <v>1089.9046368346571</v>
      </c>
      <c r="E221" s="557">
        <f t="shared" si="24"/>
        <v>42.398761881145447</v>
      </c>
    </row>
    <row r="222" spans="1:5" s="506" customFormat="1" x14ac:dyDescent="0.2">
      <c r="A222" s="512"/>
      <c r="B222" s="516" t="s">
        <v>796</v>
      </c>
      <c r="C222" s="558">
        <f>C216+C218+C219+C220</f>
        <v>5956.6913782609745</v>
      </c>
      <c r="D222" s="558">
        <f>D216+D218+D219+D220</f>
        <v>6409.6055360857781</v>
      </c>
      <c r="E222" s="558">
        <f t="shared" si="24"/>
        <v>452.91415782480362</v>
      </c>
    </row>
    <row r="223" spans="1:5" s="506" customFormat="1" x14ac:dyDescent="0.2">
      <c r="A223" s="512"/>
      <c r="B223" s="516" t="s">
        <v>797</v>
      </c>
      <c r="C223" s="558">
        <f>C215+C222</f>
        <v>20137.675935643285</v>
      </c>
      <c r="D223" s="558">
        <f>D215+D222</f>
        <v>20245.81308135263</v>
      </c>
      <c r="E223" s="558">
        <f t="shared" si="24"/>
        <v>108.13714570934462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798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622</v>
      </c>
      <c r="C227" s="560">
        <f t="shared" ref="C227:D235" si="26">IF(C203=0,0,C47/C203)</f>
        <v>10287.673643615843</v>
      </c>
      <c r="D227" s="560">
        <f t="shared" si="26"/>
        <v>11030.076135063464</v>
      </c>
      <c r="E227" s="560">
        <f t="shared" ref="E227:E235" si="27">D227-C227</f>
        <v>742.40249144762129</v>
      </c>
    </row>
    <row r="228" spans="1:5" s="506" customFormat="1" x14ac:dyDescent="0.2">
      <c r="A228" s="512">
        <v>2</v>
      </c>
      <c r="B228" s="511" t="s">
        <v>601</v>
      </c>
      <c r="C228" s="560">
        <f t="shared" si="26"/>
        <v>8697.3762561137028</v>
      </c>
      <c r="D228" s="560">
        <f t="shared" si="26"/>
        <v>9256.8890084939976</v>
      </c>
      <c r="E228" s="560">
        <f t="shared" si="27"/>
        <v>559.51275238029484</v>
      </c>
    </row>
    <row r="229" spans="1:5" s="506" customFormat="1" x14ac:dyDescent="0.2">
      <c r="A229" s="512">
        <v>3</v>
      </c>
      <c r="B229" s="511" t="s">
        <v>747</v>
      </c>
      <c r="C229" s="560">
        <f t="shared" si="26"/>
        <v>6020.1318411467637</v>
      </c>
      <c r="D229" s="560">
        <f t="shared" si="26"/>
        <v>4552.0410674641762</v>
      </c>
      <c r="E229" s="560">
        <f t="shared" si="27"/>
        <v>-1468.0907736825875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6879.2324797592564</v>
      </c>
      <c r="D230" s="560">
        <f t="shared" si="26"/>
        <v>5173.8750300955289</v>
      </c>
      <c r="E230" s="560">
        <f t="shared" si="27"/>
        <v>-1705.3574496637275</v>
      </c>
    </row>
    <row r="231" spans="1:5" s="506" customFormat="1" x14ac:dyDescent="0.2">
      <c r="A231" s="512">
        <v>5</v>
      </c>
      <c r="B231" s="511" t="s">
        <v>714</v>
      </c>
      <c r="C231" s="560">
        <f t="shared" si="26"/>
        <v>3345.749266076904</v>
      </c>
      <c r="D231" s="560">
        <f t="shared" si="26"/>
        <v>2038.8811690589216</v>
      </c>
      <c r="E231" s="560">
        <f t="shared" si="27"/>
        <v>-1306.8680970179823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4759.7543991120474</v>
      </c>
      <c r="D232" s="560">
        <f t="shared" si="26"/>
        <v>6139.3706647858098</v>
      </c>
      <c r="E232" s="560">
        <f t="shared" si="27"/>
        <v>1379.6162656737624</v>
      </c>
    </row>
    <row r="233" spans="1:5" s="506" customFormat="1" x14ac:dyDescent="0.2">
      <c r="A233" s="512">
        <v>7</v>
      </c>
      <c r="B233" s="511" t="s">
        <v>729</v>
      </c>
      <c r="C233" s="560">
        <f t="shared" si="26"/>
        <v>652.01823759440902</v>
      </c>
      <c r="D233" s="560">
        <f t="shared" si="26"/>
        <v>1068.6787194832998</v>
      </c>
      <c r="E233" s="560">
        <f t="shared" si="27"/>
        <v>416.66048188889079</v>
      </c>
    </row>
    <row r="234" spans="1:5" x14ac:dyDescent="0.2">
      <c r="A234" s="512"/>
      <c r="B234" s="516" t="s">
        <v>799</v>
      </c>
      <c r="C234" s="561">
        <f t="shared" si="26"/>
        <v>8026.8873284696301</v>
      </c>
      <c r="D234" s="561">
        <f t="shared" si="26"/>
        <v>8056.5374906656989</v>
      </c>
      <c r="E234" s="561">
        <f t="shared" si="27"/>
        <v>29.650162196068777</v>
      </c>
    </row>
    <row r="235" spans="1:5" s="506" customFormat="1" x14ac:dyDescent="0.2">
      <c r="A235" s="512"/>
      <c r="B235" s="516" t="s">
        <v>800</v>
      </c>
      <c r="C235" s="561">
        <f t="shared" si="26"/>
        <v>8948.5118830940828</v>
      </c>
      <c r="D235" s="561">
        <f t="shared" si="26"/>
        <v>9226.1738158839253</v>
      </c>
      <c r="E235" s="561">
        <f t="shared" si="27"/>
        <v>277.66193278984247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801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622</v>
      </c>
      <c r="C239" s="560">
        <f t="shared" ref="C239:D247" si="28">IF(C215=0,0,C58/C215)</f>
        <v>12969.593983815068</v>
      </c>
      <c r="D239" s="560">
        <f t="shared" si="28"/>
        <v>13698.301675507615</v>
      </c>
      <c r="E239" s="562">
        <f t="shared" ref="E239:E247" si="29">D239-C239</f>
        <v>728.70769169254709</v>
      </c>
    </row>
    <row r="240" spans="1:5" s="506" customFormat="1" x14ac:dyDescent="0.2">
      <c r="A240" s="512">
        <v>2</v>
      </c>
      <c r="B240" s="511" t="s">
        <v>601</v>
      </c>
      <c r="C240" s="560">
        <f t="shared" si="28"/>
        <v>7090.14797136177</v>
      </c>
      <c r="D240" s="560">
        <f t="shared" si="28"/>
        <v>6825.5771119852379</v>
      </c>
      <c r="E240" s="562">
        <f t="shared" si="29"/>
        <v>-264.5708593765321</v>
      </c>
    </row>
    <row r="241" spans="1:5" x14ac:dyDescent="0.2">
      <c r="A241" s="512">
        <v>3</v>
      </c>
      <c r="B241" s="511" t="s">
        <v>747</v>
      </c>
      <c r="C241" s="560">
        <f t="shared" si="28"/>
        <v>4220.2900142673652</v>
      </c>
      <c r="D241" s="560">
        <f t="shared" si="28"/>
        <v>4134.8483246542719</v>
      </c>
      <c r="E241" s="562">
        <f t="shared" si="29"/>
        <v>-85.441689613093331</v>
      </c>
    </row>
    <row r="242" spans="1:5" x14ac:dyDescent="0.2">
      <c r="A242" s="512">
        <v>4</v>
      </c>
      <c r="B242" s="511" t="s">
        <v>114</v>
      </c>
      <c r="C242" s="560">
        <f t="shared" si="28"/>
        <v>4045.7799336401963</v>
      </c>
      <c r="D242" s="560">
        <f t="shared" si="28"/>
        <v>4305.680418406102</v>
      </c>
      <c r="E242" s="562">
        <f t="shared" si="29"/>
        <v>259.90048476590573</v>
      </c>
    </row>
    <row r="243" spans="1:5" x14ac:dyDescent="0.2">
      <c r="A243" s="512">
        <v>5</v>
      </c>
      <c r="B243" s="511" t="s">
        <v>714</v>
      </c>
      <c r="C243" s="560">
        <f t="shared" si="28"/>
        <v>5485.8220820427869</v>
      </c>
      <c r="D243" s="560">
        <f t="shared" si="28"/>
        <v>2847.8985056725287</v>
      </c>
      <c r="E243" s="562">
        <f t="shared" si="29"/>
        <v>-2637.9235763702582</v>
      </c>
    </row>
    <row r="244" spans="1:5" x14ac:dyDescent="0.2">
      <c r="A244" s="512">
        <v>6</v>
      </c>
      <c r="B244" s="511" t="s">
        <v>418</v>
      </c>
      <c r="C244" s="560">
        <f t="shared" si="28"/>
        <v>7925.0556877621566</v>
      </c>
      <c r="D244" s="560">
        <f t="shared" si="28"/>
        <v>1996.5251858071167</v>
      </c>
      <c r="E244" s="562">
        <f t="shared" si="29"/>
        <v>-5928.5305019550397</v>
      </c>
    </row>
    <row r="245" spans="1:5" x14ac:dyDescent="0.2">
      <c r="A245" s="512">
        <v>7</v>
      </c>
      <c r="B245" s="511" t="s">
        <v>729</v>
      </c>
      <c r="C245" s="560">
        <f t="shared" si="28"/>
        <v>1684.2836323741856</v>
      </c>
      <c r="D245" s="560">
        <f t="shared" si="28"/>
        <v>1455.9549031818017</v>
      </c>
      <c r="E245" s="562">
        <f t="shared" si="29"/>
        <v>-228.32872919238389</v>
      </c>
    </row>
    <row r="246" spans="1:5" ht="25.5" x14ac:dyDescent="0.2">
      <c r="A246" s="512"/>
      <c r="B246" s="516" t="s">
        <v>802</v>
      </c>
      <c r="C246" s="561">
        <f t="shared" si="28"/>
        <v>6010.0776969331046</v>
      </c>
      <c r="D246" s="561">
        <f t="shared" si="28"/>
        <v>5725.9227254119805</v>
      </c>
      <c r="E246" s="563">
        <f t="shared" si="29"/>
        <v>-284.15497152112403</v>
      </c>
    </row>
    <row r="247" spans="1:5" x14ac:dyDescent="0.2">
      <c r="A247" s="512"/>
      <c r="B247" s="516" t="s">
        <v>803</v>
      </c>
      <c r="C247" s="561">
        <f t="shared" si="28"/>
        <v>10910.980527355534</v>
      </c>
      <c r="D247" s="561">
        <f t="shared" si="28"/>
        <v>11174.332692440588</v>
      </c>
      <c r="E247" s="563">
        <f t="shared" si="29"/>
        <v>263.35216508505437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731</v>
      </c>
      <c r="B249" s="550" t="s">
        <v>728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6010231.4533921117</v>
      </c>
      <c r="D251" s="546">
        <f>((IF((IF(D15=0,0,D26/D15)*D138)=0,0,D59/(IF(D15=0,0,D26/D15)*D138)))-(IF((IF(D17=0,0,D28/D17)*D140)=0,0,D61/(IF(D17=0,0,D28/D17)*D140))))*(IF(D17=0,0,D28/D17)*D140)</f>
        <v>5726837.0153277079</v>
      </c>
      <c r="E251" s="546">
        <f>D251-C251</f>
        <v>-283394.43806440383</v>
      </c>
    </row>
    <row r="252" spans="1:5" x14ac:dyDescent="0.2">
      <c r="A252" s="512">
        <v>2</v>
      </c>
      <c r="B252" s="511" t="s">
        <v>714</v>
      </c>
      <c r="C252" s="546">
        <f>IF(C231=0,0,(C228-C231)*C207)+IF(C243=0,0,(C240-C243)*C219)</f>
        <v>3903732.7991423546</v>
      </c>
      <c r="D252" s="546">
        <f>IF(D231=0,0,(D228-D231)*D207)+IF(D243=0,0,(D240-D243)*D219)</f>
        <v>5243824.3061769791</v>
      </c>
      <c r="E252" s="546">
        <f>D252-C252</f>
        <v>1340091.5070346245</v>
      </c>
    </row>
    <row r="253" spans="1:5" x14ac:dyDescent="0.2">
      <c r="A253" s="512">
        <v>3</v>
      </c>
      <c r="B253" s="511" t="s">
        <v>729</v>
      </c>
      <c r="C253" s="546">
        <f>IF(C233=0,0,(C228-C233)*C209+IF(C221=0,0,(C240-C245)*C221))</f>
        <v>11504798.506866131</v>
      </c>
      <c r="D253" s="546">
        <f>IF(D233=0,0,(D228-D233)*D209+IF(D221=0,0,(D240-D245)*D221))</f>
        <v>10280947.570068873</v>
      </c>
      <c r="E253" s="546">
        <f>D253-C253</f>
        <v>-1223850.9367972575</v>
      </c>
    </row>
    <row r="254" spans="1:5" ht="15" customHeight="1" x14ac:dyDescent="0.2">
      <c r="A254" s="512"/>
      <c r="B254" s="516" t="s">
        <v>730</v>
      </c>
      <c r="C254" s="564">
        <f>+C251+C252+C253</f>
        <v>21418762.759400599</v>
      </c>
      <c r="D254" s="564">
        <f>+D251+D252+D253</f>
        <v>21251608.891573559</v>
      </c>
      <c r="E254" s="564">
        <f>D254-C254</f>
        <v>-167153.86782703921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804</v>
      </c>
      <c r="B256" s="550" t="s">
        <v>805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696</v>
      </c>
      <c r="C258" s="546">
        <f>+C44</f>
        <v>1157017313</v>
      </c>
      <c r="D258" s="549">
        <f>+D44</f>
        <v>1288625721</v>
      </c>
      <c r="E258" s="546">
        <f t="shared" ref="E258:E271" si="30">D258-C258</f>
        <v>131608408</v>
      </c>
    </row>
    <row r="259" spans="1:5" x14ac:dyDescent="0.2">
      <c r="A259" s="512">
        <v>2</v>
      </c>
      <c r="B259" s="511" t="s">
        <v>713</v>
      </c>
      <c r="C259" s="546">
        <f>+(C43-C76)</f>
        <v>434998662</v>
      </c>
      <c r="D259" s="549">
        <f>+(D43-D76)</f>
        <v>506970117</v>
      </c>
      <c r="E259" s="546">
        <f t="shared" si="30"/>
        <v>71971455</v>
      </c>
    </row>
    <row r="260" spans="1:5" x14ac:dyDescent="0.2">
      <c r="A260" s="512">
        <v>3</v>
      </c>
      <c r="B260" s="511" t="s">
        <v>717</v>
      </c>
      <c r="C260" s="546">
        <f>C195</f>
        <v>59844468</v>
      </c>
      <c r="D260" s="546">
        <f>D195</f>
        <v>65901785</v>
      </c>
      <c r="E260" s="546">
        <f t="shared" si="30"/>
        <v>6057317</v>
      </c>
    </row>
    <row r="261" spans="1:5" x14ac:dyDescent="0.2">
      <c r="A261" s="512">
        <v>4</v>
      </c>
      <c r="B261" s="511" t="s">
        <v>718</v>
      </c>
      <c r="C261" s="546">
        <f>C188</f>
        <v>235646501</v>
      </c>
      <c r="D261" s="546">
        <f>D188</f>
        <v>238177311</v>
      </c>
      <c r="E261" s="546">
        <f t="shared" si="30"/>
        <v>2530810</v>
      </c>
    </row>
    <row r="262" spans="1:5" x14ac:dyDescent="0.2">
      <c r="A262" s="512">
        <v>5</v>
      </c>
      <c r="B262" s="511" t="s">
        <v>719</v>
      </c>
      <c r="C262" s="546">
        <f>C191</f>
        <v>12159825</v>
      </c>
      <c r="D262" s="546">
        <f>D191</f>
        <v>13746535</v>
      </c>
      <c r="E262" s="546">
        <f t="shared" si="30"/>
        <v>1586710</v>
      </c>
    </row>
    <row r="263" spans="1:5" x14ac:dyDescent="0.2">
      <c r="A263" s="512">
        <v>6</v>
      </c>
      <c r="B263" s="511" t="s">
        <v>720</v>
      </c>
      <c r="C263" s="546">
        <f>+C259+C260+C261+C262</f>
        <v>742649456</v>
      </c>
      <c r="D263" s="546">
        <f>+D259+D260+D261+D262</f>
        <v>824795748</v>
      </c>
      <c r="E263" s="546">
        <f t="shared" si="30"/>
        <v>82146292</v>
      </c>
    </row>
    <row r="264" spans="1:5" x14ac:dyDescent="0.2">
      <c r="A264" s="512">
        <v>7</v>
      </c>
      <c r="B264" s="511" t="s">
        <v>620</v>
      </c>
      <c r="C264" s="546">
        <f>+C258-C263</f>
        <v>414367857</v>
      </c>
      <c r="D264" s="546">
        <f>+D258-D263</f>
        <v>463829973</v>
      </c>
      <c r="E264" s="546">
        <f t="shared" si="30"/>
        <v>49462116</v>
      </c>
    </row>
    <row r="265" spans="1:5" x14ac:dyDescent="0.2">
      <c r="A265" s="512">
        <v>8</v>
      </c>
      <c r="B265" s="511" t="s">
        <v>806</v>
      </c>
      <c r="C265" s="565">
        <f>C192</f>
        <v>2936412</v>
      </c>
      <c r="D265" s="565">
        <f>D192</f>
        <v>2850410</v>
      </c>
      <c r="E265" s="546">
        <f t="shared" si="30"/>
        <v>-86002</v>
      </c>
    </row>
    <row r="266" spans="1:5" x14ac:dyDescent="0.2">
      <c r="A266" s="512">
        <v>9</v>
      </c>
      <c r="B266" s="511" t="s">
        <v>807</v>
      </c>
      <c r="C266" s="546">
        <f>+C264+C265</f>
        <v>417304269</v>
      </c>
      <c r="D266" s="546">
        <f>+D264+D265</f>
        <v>466680383</v>
      </c>
      <c r="E266" s="565">
        <f t="shared" si="30"/>
        <v>49376114</v>
      </c>
    </row>
    <row r="267" spans="1:5" x14ac:dyDescent="0.2">
      <c r="A267" s="512">
        <v>10</v>
      </c>
      <c r="B267" s="511" t="s">
        <v>808</v>
      </c>
      <c r="C267" s="566">
        <f>IF(C258=0,0,C266/C258)</f>
        <v>0.36067245002409054</v>
      </c>
      <c r="D267" s="566">
        <f>IF(D258=0,0,D266/D258)</f>
        <v>0.36215355273045957</v>
      </c>
      <c r="E267" s="567">
        <f t="shared" si="30"/>
        <v>1.4811027063690307E-3</v>
      </c>
    </row>
    <row r="268" spans="1:5" x14ac:dyDescent="0.2">
      <c r="A268" s="512">
        <v>11</v>
      </c>
      <c r="B268" s="511" t="s">
        <v>682</v>
      </c>
      <c r="C268" s="546">
        <f>+C260*C267</f>
        <v>21584250.893948287</v>
      </c>
      <c r="D268" s="568">
        <f>+D260*D267</f>
        <v>23866565.56902891</v>
      </c>
      <c r="E268" s="546">
        <f t="shared" si="30"/>
        <v>2282314.6750806235</v>
      </c>
    </row>
    <row r="269" spans="1:5" x14ac:dyDescent="0.2">
      <c r="A269" s="512">
        <v>12</v>
      </c>
      <c r="B269" s="511" t="s">
        <v>809</v>
      </c>
      <c r="C269" s="546">
        <f>((C17+C18+C28+C29)*C267)-(C50+C51+C61+C62)</f>
        <v>22173819.14116364</v>
      </c>
      <c r="D269" s="568">
        <f>((D17+D18+D28+D29)*D267)-(D50+D51+D61+D62)</f>
        <v>32285650.948425576</v>
      </c>
      <c r="E269" s="546">
        <f t="shared" si="30"/>
        <v>10111831.807261936</v>
      </c>
    </row>
    <row r="270" spans="1:5" s="569" customFormat="1" x14ac:dyDescent="0.2">
      <c r="A270" s="570">
        <v>13</v>
      </c>
      <c r="B270" s="571" t="s">
        <v>810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811</v>
      </c>
      <c r="C271" s="546">
        <f>+C268+C269+C270</f>
        <v>43758070.035111926</v>
      </c>
      <c r="D271" s="546">
        <f>+D268+D269+D270</f>
        <v>56152216.51745449</v>
      </c>
      <c r="E271" s="549">
        <f t="shared" si="30"/>
        <v>12394146.482342564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812</v>
      </c>
      <c r="B273" s="550" t="s">
        <v>813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814</v>
      </c>
      <c r="C275" s="340"/>
      <c r="D275" s="340"/>
      <c r="E275" s="520"/>
    </row>
    <row r="276" spans="1:5" x14ac:dyDescent="0.2">
      <c r="A276" s="512">
        <v>1</v>
      </c>
      <c r="B276" s="511" t="s">
        <v>622</v>
      </c>
      <c r="C276" s="547">
        <f t="shared" ref="C276:D284" si="31">IF(C14=0,0,+C47/C14)</f>
        <v>0.38106196271853066</v>
      </c>
      <c r="D276" s="547">
        <f t="shared" si="31"/>
        <v>0.36783554704268134</v>
      </c>
      <c r="E276" s="574">
        <f t="shared" ref="E276:E284" si="32">D276-C276</f>
        <v>-1.3226415675849312E-2</v>
      </c>
    </row>
    <row r="277" spans="1:5" x14ac:dyDescent="0.2">
      <c r="A277" s="512">
        <v>2</v>
      </c>
      <c r="B277" s="511" t="s">
        <v>601</v>
      </c>
      <c r="C277" s="547">
        <f t="shared" si="31"/>
        <v>0.28425468443642504</v>
      </c>
      <c r="D277" s="547">
        <f t="shared" si="31"/>
        <v>0.27306788400630611</v>
      </c>
      <c r="E277" s="574">
        <f t="shared" si="32"/>
        <v>-1.1186800430118937E-2</v>
      </c>
    </row>
    <row r="278" spans="1:5" x14ac:dyDescent="0.2">
      <c r="A278" s="512">
        <v>3</v>
      </c>
      <c r="B278" s="511" t="s">
        <v>747</v>
      </c>
      <c r="C278" s="547">
        <f t="shared" si="31"/>
        <v>0.21624042902626275</v>
      </c>
      <c r="D278" s="547">
        <f t="shared" si="31"/>
        <v>0.15573466961174801</v>
      </c>
      <c r="E278" s="574">
        <f t="shared" si="32"/>
        <v>-6.0505759414514748E-2</v>
      </c>
    </row>
    <row r="279" spans="1:5" x14ac:dyDescent="0.2">
      <c r="A279" s="512">
        <v>4</v>
      </c>
      <c r="B279" s="511" t="s">
        <v>114</v>
      </c>
      <c r="C279" s="547">
        <f t="shared" si="31"/>
        <v>0.26132834245176095</v>
      </c>
      <c r="D279" s="547">
        <f t="shared" si="31"/>
        <v>0.18479944508447596</v>
      </c>
      <c r="E279" s="574">
        <f t="shared" si="32"/>
        <v>-7.6528897367284993E-2</v>
      </c>
    </row>
    <row r="280" spans="1:5" x14ac:dyDescent="0.2">
      <c r="A280" s="512">
        <v>5</v>
      </c>
      <c r="B280" s="511" t="s">
        <v>714</v>
      </c>
      <c r="C280" s="547">
        <f t="shared" si="31"/>
        <v>0.10275964767308067</v>
      </c>
      <c r="D280" s="547">
        <f t="shared" si="31"/>
        <v>5.9599810745553573E-2</v>
      </c>
      <c r="E280" s="574">
        <f t="shared" si="32"/>
        <v>-4.3159836927527097E-2</v>
      </c>
    </row>
    <row r="281" spans="1:5" x14ac:dyDescent="0.2">
      <c r="A281" s="512">
        <v>6</v>
      </c>
      <c r="B281" s="511" t="s">
        <v>418</v>
      </c>
      <c r="C281" s="547">
        <f t="shared" si="31"/>
        <v>0.22895217853347502</v>
      </c>
      <c r="D281" s="547">
        <f t="shared" si="31"/>
        <v>0.259973779487224</v>
      </c>
      <c r="E281" s="574">
        <f t="shared" si="32"/>
        <v>3.1021600953748979E-2</v>
      </c>
    </row>
    <row r="282" spans="1:5" x14ac:dyDescent="0.2">
      <c r="A282" s="512">
        <v>7</v>
      </c>
      <c r="B282" s="511" t="s">
        <v>729</v>
      </c>
      <c r="C282" s="547">
        <f t="shared" si="31"/>
        <v>2.2035270152453025E-2</v>
      </c>
      <c r="D282" s="547">
        <f t="shared" si="31"/>
        <v>2.9314484974394102E-2</v>
      </c>
      <c r="E282" s="574">
        <f t="shared" si="32"/>
        <v>7.2792148219410768E-3</v>
      </c>
    </row>
    <row r="283" spans="1:5" ht="29.25" customHeight="1" x14ac:dyDescent="0.2">
      <c r="A283" s="512"/>
      <c r="B283" s="516" t="s">
        <v>815</v>
      </c>
      <c r="C283" s="575">
        <f t="shared" si="31"/>
        <v>0.26845284353888127</v>
      </c>
      <c r="D283" s="575">
        <f t="shared" si="31"/>
        <v>0.24636391166218399</v>
      </c>
      <c r="E283" s="576">
        <f t="shared" si="32"/>
        <v>-2.2088931876697276E-2</v>
      </c>
    </row>
    <row r="284" spans="1:5" x14ac:dyDescent="0.2">
      <c r="A284" s="512"/>
      <c r="B284" s="516" t="s">
        <v>816</v>
      </c>
      <c r="C284" s="575">
        <f t="shared" si="31"/>
        <v>0.31160970084429762</v>
      </c>
      <c r="D284" s="575">
        <f t="shared" si="31"/>
        <v>0.29165648028643448</v>
      </c>
      <c r="E284" s="576">
        <f t="shared" si="32"/>
        <v>-1.9953220557863138E-2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817</v>
      </c>
      <c r="C286" s="520"/>
      <c r="D286" s="520"/>
      <c r="E286" s="520"/>
    </row>
    <row r="287" spans="1:5" x14ac:dyDescent="0.2">
      <c r="A287" s="512">
        <v>1</v>
      </c>
      <c r="B287" s="511" t="s">
        <v>622</v>
      </c>
      <c r="C287" s="547">
        <f t="shared" ref="C287:D295" si="33">IF(C25=0,0,+C58/C25)</f>
        <v>0.45823706772624206</v>
      </c>
      <c r="D287" s="547">
        <f t="shared" si="33"/>
        <v>0.43093469936351142</v>
      </c>
      <c r="E287" s="574">
        <f t="shared" ref="E287:E295" si="34">D287-C287</f>
        <v>-2.7302368362730645E-2</v>
      </c>
    </row>
    <row r="288" spans="1:5" x14ac:dyDescent="0.2">
      <c r="A288" s="512">
        <v>2</v>
      </c>
      <c r="B288" s="511" t="s">
        <v>601</v>
      </c>
      <c r="C288" s="547">
        <f t="shared" si="33"/>
        <v>0.14696988618971604</v>
      </c>
      <c r="D288" s="547">
        <f t="shared" si="33"/>
        <v>0.13116292810666194</v>
      </c>
      <c r="E288" s="574">
        <f t="shared" si="34"/>
        <v>-1.5806958083054101E-2</v>
      </c>
    </row>
    <row r="289" spans="1:5" x14ac:dyDescent="0.2">
      <c r="A289" s="512">
        <v>3</v>
      </c>
      <c r="B289" s="511" t="s">
        <v>747</v>
      </c>
      <c r="C289" s="547">
        <f t="shared" si="33"/>
        <v>0.16329305825684767</v>
      </c>
      <c r="D289" s="547">
        <f t="shared" si="33"/>
        <v>0.14890493040951436</v>
      </c>
      <c r="E289" s="574">
        <f t="shared" si="34"/>
        <v>-1.4388127847333315E-2</v>
      </c>
    </row>
    <row r="290" spans="1:5" x14ac:dyDescent="0.2">
      <c r="A290" s="512">
        <v>4</v>
      </c>
      <c r="B290" s="511" t="s">
        <v>114</v>
      </c>
      <c r="C290" s="547">
        <f t="shared" si="33"/>
        <v>0.17413648786433436</v>
      </c>
      <c r="D290" s="547">
        <f t="shared" si="33"/>
        <v>0.16688127789869273</v>
      </c>
      <c r="E290" s="574">
        <f t="shared" si="34"/>
        <v>-7.2552099656416347E-3</v>
      </c>
    </row>
    <row r="291" spans="1:5" x14ac:dyDescent="0.2">
      <c r="A291" s="512">
        <v>5</v>
      </c>
      <c r="B291" s="511" t="s">
        <v>714</v>
      </c>
      <c r="C291" s="547">
        <f t="shared" si="33"/>
        <v>0.12249718984446208</v>
      </c>
      <c r="D291" s="547">
        <f t="shared" si="33"/>
        <v>6.6866964828300735E-2</v>
      </c>
      <c r="E291" s="574">
        <f t="shared" si="34"/>
        <v>-5.5630225016161342E-2</v>
      </c>
    </row>
    <row r="292" spans="1:5" x14ac:dyDescent="0.2">
      <c r="A292" s="512">
        <v>6</v>
      </c>
      <c r="B292" s="511" t="s">
        <v>418</v>
      </c>
      <c r="C292" s="547">
        <f t="shared" si="33"/>
        <v>0.37056583449684899</v>
      </c>
      <c r="D292" s="547">
        <f t="shared" si="33"/>
        <v>0.11267365626597547</v>
      </c>
      <c r="E292" s="574">
        <f t="shared" si="34"/>
        <v>-0.25789217823087351</v>
      </c>
    </row>
    <row r="293" spans="1:5" x14ac:dyDescent="0.2">
      <c r="A293" s="512">
        <v>7</v>
      </c>
      <c r="B293" s="511" t="s">
        <v>729</v>
      </c>
      <c r="C293" s="547">
        <f t="shared" si="33"/>
        <v>4.6248802360284107E-2</v>
      </c>
      <c r="D293" s="547">
        <f t="shared" si="33"/>
        <v>3.6182989358039534E-2</v>
      </c>
      <c r="E293" s="574">
        <f t="shared" si="34"/>
        <v>-1.0065813002244572E-2</v>
      </c>
    </row>
    <row r="294" spans="1:5" ht="29.25" customHeight="1" x14ac:dyDescent="0.2">
      <c r="A294" s="512"/>
      <c r="B294" s="516" t="s">
        <v>818</v>
      </c>
      <c r="C294" s="575">
        <f t="shared" si="33"/>
        <v>0.15129790665383966</v>
      </c>
      <c r="D294" s="575">
        <f t="shared" si="33"/>
        <v>0.13582619191711623</v>
      </c>
      <c r="E294" s="576">
        <f t="shared" si="34"/>
        <v>-1.547171473672343E-2</v>
      </c>
    </row>
    <row r="295" spans="1:5" x14ac:dyDescent="0.2">
      <c r="A295" s="512"/>
      <c r="B295" s="516" t="s">
        <v>819</v>
      </c>
      <c r="C295" s="575">
        <f t="shared" si="33"/>
        <v>0.34439785610914914</v>
      </c>
      <c r="D295" s="575">
        <f t="shared" si="33"/>
        <v>0.31862867998082417</v>
      </c>
      <c r="E295" s="576">
        <f t="shared" si="34"/>
        <v>-2.5769176128324967E-2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820</v>
      </c>
      <c r="B297" s="501" t="s">
        <v>821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822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620</v>
      </c>
      <c r="C301" s="514">
        <f>+C48+C47+C50+C51+C52+C59+C58+C61+C62+C63</f>
        <v>381456277</v>
      </c>
      <c r="D301" s="514">
        <f>+D48+D47+D50+D51+D52+D59+D58+D61+D62+D63</f>
        <v>394986904</v>
      </c>
      <c r="E301" s="514">
        <f>D301-C301</f>
        <v>13530627</v>
      </c>
    </row>
    <row r="302" spans="1:5" ht="25.5" x14ac:dyDescent="0.2">
      <c r="A302" s="512">
        <v>2</v>
      </c>
      <c r="B302" s="511" t="s">
        <v>823</v>
      </c>
      <c r="C302" s="546">
        <f>C265</f>
        <v>2936412</v>
      </c>
      <c r="D302" s="546">
        <f>D265</f>
        <v>2850410</v>
      </c>
      <c r="E302" s="514">
        <f>D302-C302</f>
        <v>-86002</v>
      </c>
    </row>
    <row r="303" spans="1:5" x14ac:dyDescent="0.2">
      <c r="A303" s="512"/>
      <c r="B303" s="516" t="s">
        <v>824</v>
      </c>
      <c r="C303" s="517">
        <f>+C301+C302</f>
        <v>384392689</v>
      </c>
      <c r="D303" s="517">
        <f>+D301+D302</f>
        <v>397837314</v>
      </c>
      <c r="E303" s="517">
        <f>D303-C303</f>
        <v>13444625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825</v>
      </c>
      <c r="C305" s="513">
        <v>32545056</v>
      </c>
      <c r="D305" s="578">
        <v>31916505</v>
      </c>
      <c r="E305" s="579">
        <f>D305-C305</f>
        <v>-628551</v>
      </c>
    </row>
    <row r="306" spans="1:5" x14ac:dyDescent="0.2">
      <c r="A306" s="512">
        <v>4</v>
      </c>
      <c r="B306" s="516" t="s">
        <v>826</v>
      </c>
      <c r="C306" s="580">
        <f>+C303+C305</f>
        <v>416937745</v>
      </c>
      <c r="D306" s="580">
        <f>+D303+D305</f>
        <v>429753819</v>
      </c>
      <c r="E306" s="580">
        <f>D306-C306</f>
        <v>12816074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827</v>
      </c>
      <c r="C308" s="513">
        <v>416938000</v>
      </c>
      <c r="D308" s="513">
        <v>429754000</v>
      </c>
      <c r="E308" s="514">
        <f>D308-C308</f>
        <v>12816000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828</v>
      </c>
      <c r="C310" s="581">
        <f>C306-C308</f>
        <v>-255</v>
      </c>
      <c r="D310" s="582">
        <f>D306-D308</f>
        <v>-181</v>
      </c>
      <c r="E310" s="580">
        <f>D310-C310</f>
        <v>74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829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830</v>
      </c>
      <c r="C314" s="514">
        <f>+C14+C15+C16+C19+C25+C26+C27+C30</f>
        <v>1157017313</v>
      </c>
      <c r="D314" s="514">
        <f>+D14+D15+D16+D19+D25+D26+D27+D30</f>
        <v>1288625721</v>
      </c>
      <c r="E314" s="514">
        <f>D314-C314</f>
        <v>131608408</v>
      </c>
    </row>
    <row r="315" spans="1:5" x14ac:dyDescent="0.2">
      <c r="A315" s="512">
        <v>2</v>
      </c>
      <c r="B315" s="583" t="s">
        <v>831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832</v>
      </c>
      <c r="C316" s="581">
        <f>C314+C315</f>
        <v>1157017313</v>
      </c>
      <c r="D316" s="581">
        <f>D314+D315</f>
        <v>1288625721</v>
      </c>
      <c r="E316" s="517">
        <f>D316-C316</f>
        <v>131608408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833</v>
      </c>
      <c r="C318" s="513">
        <v>1157017000</v>
      </c>
      <c r="D318" s="513">
        <v>1288626000</v>
      </c>
      <c r="E318" s="514">
        <f>D318-C318</f>
        <v>131609000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828</v>
      </c>
      <c r="C320" s="581">
        <f>C316-C318</f>
        <v>313</v>
      </c>
      <c r="D320" s="581">
        <f>D316-D318</f>
        <v>-279</v>
      </c>
      <c r="E320" s="517">
        <f>D320-C320</f>
        <v>-592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834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835</v>
      </c>
      <c r="C324" s="513">
        <f>+C193+C194</f>
        <v>59844468</v>
      </c>
      <c r="D324" s="513">
        <f>+D193+D194</f>
        <v>65901785</v>
      </c>
      <c r="E324" s="514">
        <f>D324-C324</f>
        <v>6057317</v>
      </c>
    </row>
    <row r="325" spans="1:5" x14ac:dyDescent="0.2">
      <c r="A325" s="512">
        <v>2</v>
      </c>
      <c r="B325" s="511" t="s">
        <v>836</v>
      </c>
      <c r="C325" s="513">
        <v>0</v>
      </c>
      <c r="D325" s="513">
        <v>410583</v>
      </c>
      <c r="E325" s="514">
        <f>D325-C325</f>
        <v>410583</v>
      </c>
    </row>
    <row r="326" spans="1:5" x14ac:dyDescent="0.2">
      <c r="A326" s="512"/>
      <c r="B326" s="516" t="s">
        <v>837</v>
      </c>
      <c r="C326" s="581">
        <f>C324+C325</f>
        <v>59844468</v>
      </c>
      <c r="D326" s="581">
        <f>D324+D325</f>
        <v>66312368</v>
      </c>
      <c r="E326" s="517">
        <f>D326-C326</f>
        <v>6467900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838</v>
      </c>
      <c r="C328" s="513">
        <v>59844900</v>
      </c>
      <c r="D328" s="513">
        <v>66312000</v>
      </c>
      <c r="E328" s="514">
        <f>D328-C328</f>
        <v>6467100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839</v>
      </c>
      <c r="C330" s="581">
        <f>C326-C328</f>
        <v>-432</v>
      </c>
      <c r="D330" s="581">
        <f>D326-D328</f>
        <v>368</v>
      </c>
      <c r="E330" s="517">
        <f>D330-C330</f>
        <v>800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FILING&amp;RSTAMFORD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tabSelected="1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592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840</v>
      </c>
      <c r="B5" s="696"/>
      <c r="C5" s="697"/>
      <c r="D5" s="585"/>
    </row>
    <row r="6" spans="1:58" s="338" customFormat="1" ht="15.75" customHeight="1" x14ac:dyDescent="0.25">
      <c r="A6" s="695" t="s">
        <v>841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842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843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746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622</v>
      </c>
      <c r="C14" s="513">
        <v>215741210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601</v>
      </c>
      <c r="C15" s="515">
        <v>280073467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747</v>
      </c>
      <c r="C16" s="515">
        <v>82558444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63392712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714</v>
      </c>
      <c r="C18" s="515">
        <v>19165732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230354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729</v>
      </c>
      <c r="C20" s="515">
        <v>19716942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748</v>
      </c>
      <c r="C21" s="517">
        <f>SUM(C15+C16+C19)</f>
        <v>362862265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688</v>
      </c>
      <c r="C22" s="517">
        <f>SUM(C14+C21)</f>
        <v>578603475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749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622</v>
      </c>
      <c r="C25" s="513">
        <v>439817321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601</v>
      </c>
      <c r="C26" s="515">
        <v>198274157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747</v>
      </c>
      <c r="C27" s="515">
        <v>71484772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58636260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714</v>
      </c>
      <c r="C29" s="515">
        <v>12848512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445996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729</v>
      </c>
      <c r="C31" s="518">
        <v>43856299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750</v>
      </c>
      <c r="C32" s="517">
        <f>SUM(C26+C27+C30)</f>
        <v>270204925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694</v>
      </c>
      <c r="C33" s="517">
        <f>SUM(C25+C32)</f>
        <v>710022246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619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844</v>
      </c>
      <c r="C36" s="514">
        <f>SUM(C14+C25)</f>
        <v>655558531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845</v>
      </c>
      <c r="C37" s="518">
        <f>SUM(C21+C32)</f>
        <v>633067190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619</v>
      </c>
      <c r="C38" s="517">
        <f>SUM(+C36+C37)</f>
        <v>1288625721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759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622</v>
      </c>
      <c r="C41" s="513">
        <v>79357286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601</v>
      </c>
      <c r="C42" s="515">
        <v>76479069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747</v>
      </c>
      <c r="C43" s="515">
        <v>12857212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11714938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714</v>
      </c>
      <c r="C45" s="515">
        <v>1142274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59886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729</v>
      </c>
      <c r="C47" s="515">
        <v>577992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760</v>
      </c>
      <c r="C48" s="517">
        <f>SUM(C42+C43+C46)</f>
        <v>89396167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689</v>
      </c>
      <c r="C49" s="517">
        <f>SUM(C41+C48)</f>
        <v>168753453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761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622</v>
      </c>
      <c r="C52" s="513">
        <v>189532545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601</v>
      </c>
      <c r="C53" s="515">
        <v>26006219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747</v>
      </c>
      <c r="C54" s="515">
        <v>10644435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9785294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714</v>
      </c>
      <c r="C56" s="515">
        <v>859141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50252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729</v>
      </c>
      <c r="C58" s="515">
        <v>1586852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762</v>
      </c>
      <c r="C59" s="517">
        <f>SUM(C53+C54+C57)</f>
        <v>36700906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695</v>
      </c>
      <c r="C60" s="517">
        <f>SUM(C52+C59)</f>
        <v>226233451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620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846</v>
      </c>
      <c r="C63" s="514">
        <f>SUM(C41+C52)</f>
        <v>268889831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847</v>
      </c>
      <c r="C64" s="518">
        <f>SUM(C48+C59)</f>
        <v>126097073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620</v>
      </c>
      <c r="C65" s="517">
        <f>SUM(+C63+C64)</f>
        <v>394986904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848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849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622</v>
      </c>
      <c r="C70" s="530">
        <v>6787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601</v>
      </c>
      <c r="C71" s="530">
        <v>5382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747</v>
      </c>
      <c r="C72" s="530">
        <v>2907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2457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714</v>
      </c>
      <c r="C74" s="530">
        <v>450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13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729</v>
      </c>
      <c r="C76" s="545">
        <v>490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777</v>
      </c>
      <c r="C77" s="532">
        <f>SUM(C71+C72+C75)</f>
        <v>8302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691</v>
      </c>
      <c r="C78" s="596">
        <f>SUM(C70+C77)</f>
        <v>15089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782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622</v>
      </c>
      <c r="C81" s="541">
        <v>1.06006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601</v>
      </c>
      <c r="C82" s="541">
        <v>1.5350900000000001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747</v>
      </c>
      <c r="C83" s="541">
        <f>((C73*C84)+(C74*C85))/(C73+C74)</f>
        <v>0.97161811145510835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0.92154999999999998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714</v>
      </c>
      <c r="C85" s="541">
        <v>1.24499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0.75034000000000001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729</v>
      </c>
      <c r="C87" s="541">
        <v>1.1037699999999999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783</v>
      </c>
      <c r="C88" s="543">
        <f>((C71*C82)+(C73*C84)+(C74*C85)+(C75*C86))/(C71+C73+C74+C75)</f>
        <v>1.3365577752348829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692</v>
      </c>
      <c r="C89" s="543">
        <f>((C70*C81)+(C71*C82)+(C73*C84)+(C74*C85)+(C75*C86))/(C70+C71+C73+C74+C75)</f>
        <v>1.2121896659818412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784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785</v>
      </c>
      <c r="C92" s="513">
        <v>568718927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786</v>
      </c>
      <c r="C93" s="546">
        <v>330541616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634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718</v>
      </c>
      <c r="C95" s="513">
        <f>+C92-C93</f>
        <v>238177311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636</v>
      </c>
      <c r="C96" s="597">
        <f>(+C92-C93)/C92</f>
        <v>0.41879617451170215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733</v>
      </c>
      <c r="C98" s="513">
        <v>21493900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719</v>
      </c>
      <c r="C99" s="513">
        <v>13746535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850</v>
      </c>
      <c r="C101" s="513">
        <v>2850410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788</v>
      </c>
      <c r="C103" s="513">
        <v>23197082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789</v>
      </c>
      <c r="C104" s="513">
        <v>42704703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790</v>
      </c>
      <c r="C105" s="578">
        <f>+C103+C104</f>
        <v>65901785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791</v>
      </c>
      <c r="C107" s="513">
        <v>24062351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676</v>
      </c>
      <c r="C108" s="513">
        <v>431680034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821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822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620</v>
      </c>
      <c r="C114" s="514">
        <f>+C65</f>
        <v>394986904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823</v>
      </c>
      <c r="C115" s="546">
        <f>+C101</f>
        <v>2850410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824</v>
      </c>
      <c r="C116" s="517">
        <f>+C114+C115</f>
        <v>397837314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825</v>
      </c>
      <c r="C118" s="578">
        <v>31916505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826</v>
      </c>
      <c r="C119" s="580">
        <f>+C116+C118</f>
        <v>429753819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827</v>
      </c>
      <c r="C121" s="513">
        <v>429754000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828</v>
      </c>
      <c r="C123" s="582">
        <f>C119-C121</f>
        <v>-181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829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830</v>
      </c>
      <c r="C127" s="514">
        <f>+C38</f>
        <v>1288625721</v>
      </c>
      <c r="D127" s="588"/>
      <c r="AR127" s="507"/>
    </row>
    <row r="128" spans="1:58" s="506" customFormat="1" x14ac:dyDescent="0.2">
      <c r="A128" s="512">
        <v>2</v>
      </c>
      <c r="B128" s="583" t="s">
        <v>831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832</v>
      </c>
      <c r="C129" s="581">
        <f>C127+C128</f>
        <v>1288625721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833</v>
      </c>
      <c r="C131" s="513">
        <v>1288626000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828</v>
      </c>
      <c r="C133" s="581">
        <f>C129-C131</f>
        <v>-279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834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835</v>
      </c>
      <c r="C137" s="513">
        <f>C105</f>
        <v>65901785</v>
      </c>
      <c r="D137" s="588"/>
      <c r="AR137" s="507"/>
    </row>
    <row r="138" spans="1:44" s="506" customFormat="1" x14ac:dyDescent="0.2">
      <c r="A138" s="512">
        <v>2</v>
      </c>
      <c r="B138" s="511" t="s">
        <v>851</v>
      </c>
      <c r="C138" s="513">
        <v>410583</v>
      </c>
      <c r="D138" s="588"/>
      <c r="AR138" s="507"/>
    </row>
    <row r="139" spans="1:44" s="506" customFormat="1" x14ac:dyDescent="0.2">
      <c r="A139" s="512"/>
      <c r="B139" s="516" t="s">
        <v>837</v>
      </c>
      <c r="C139" s="581">
        <f>C137+C138</f>
        <v>66312368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852</v>
      </c>
      <c r="C141" s="513">
        <v>66312000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839</v>
      </c>
      <c r="C143" s="581">
        <f>C139-C141</f>
        <v>368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FILING&amp;RSTAMFORD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592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593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853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596</v>
      </c>
      <c r="D8" s="35" t="s">
        <v>596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598</v>
      </c>
      <c r="D9" s="607" t="s">
        <v>599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854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855</v>
      </c>
      <c r="C12" s="49">
        <v>1692</v>
      </c>
      <c r="D12" s="49">
        <v>1702</v>
      </c>
      <c r="E12" s="49">
        <f>+D12-C12</f>
        <v>10</v>
      </c>
      <c r="F12" s="70">
        <f>IF(C12=0,0,+E12/C12)</f>
        <v>5.9101654846335696E-3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856</v>
      </c>
      <c r="C13" s="49">
        <v>1057</v>
      </c>
      <c r="D13" s="49">
        <v>1629</v>
      </c>
      <c r="E13" s="49">
        <f>+D13-C13</f>
        <v>572</v>
      </c>
      <c r="F13" s="70">
        <f>IF(C13=0,0,+E13/C13)</f>
        <v>0.54115421002838227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857</v>
      </c>
      <c r="C15" s="51">
        <v>11909791</v>
      </c>
      <c r="D15" s="51">
        <v>23197082</v>
      </c>
      <c r="E15" s="51">
        <f>+D15-C15</f>
        <v>11287291</v>
      </c>
      <c r="F15" s="70">
        <f>IF(C15=0,0,+E15/C15)</f>
        <v>0.94773208026908284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858</v>
      </c>
      <c r="C16" s="27">
        <f>IF(C13=0,0,+C15/+C13)</f>
        <v>11267.541154210028</v>
      </c>
      <c r="D16" s="27">
        <f>IF(D13=0,0,+D15/+D13)</f>
        <v>14240.074892572131</v>
      </c>
      <c r="E16" s="27">
        <f>+D16-C16</f>
        <v>2972.5337383621027</v>
      </c>
      <c r="F16" s="28">
        <f>IF(C16=0,0,+E16/C16)</f>
        <v>0.26381387897140618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859</v>
      </c>
      <c r="C18" s="210">
        <v>0.38409500000000002</v>
      </c>
      <c r="D18" s="210">
        <v>0.36044500000000002</v>
      </c>
      <c r="E18" s="210">
        <f>+D18-C18</f>
        <v>-2.3650000000000004E-2</v>
      </c>
      <c r="F18" s="70">
        <f>IF(C18=0,0,+E18/C18)</f>
        <v>-6.1573308686653047E-2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860</v>
      </c>
      <c r="C19" s="27">
        <f>+C15*C18</f>
        <v>4574491.1741450001</v>
      </c>
      <c r="D19" s="27">
        <f>+D15*D18</f>
        <v>8361272.2214900004</v>
      </c>
      <c r="E19" s="27">
        <f>+D19-C19</f>
        <v>3786781.0473450003</v>
      </c>
      <c r="F19" s="28">
        <f>IF(C19=0,0,+E19/C19)</f>
        <v>0.82780377165177776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861</v>
      </c>
      <c r="C20" s="27">
        <f>IF(C13=0,0,+C19/C13)</f>
        <v>4327.8062196263008</v>
      </c>
      <c r="D20" s="27">
        <f>IF(D13=0,0,+D19/D13)</f>
        <v>5132.7637946531613</v>
      </c>
      <c r="E20" s="27">
        <f>+D20-C20</f>
        <v>804.95757502686047</v>
      </c>
      <c r="F20" s="28">
        <f>IF(C20=0,0,+E20/C20)</f>
        <v>0.1859966768790233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862</v>
      </c>
      <c r="C22" s="51">
        <v>3864448</v>
      </c>
      <c r="D22" s="51">
        <v>6963063</v>
      </c>
      <c r="E22" s="51">
        <f>+D22-C22</f>
        <v>3098615</v>
      </c>
      <c r="F22" s="70">
        <f>IF(C22=0,0,+E22/C22)</f>
        <v>0.80182603052234114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863</v>
      </c>
      <c r="C23" s="49">
        <v>2452557</v>
      </c>
      <c r="D23" s="49">
        <v>3817013</v>
      </c>
      <c r="E23" s="49">
        <f>+D23-C23</f>
        <v>1364456</v>
      </c>
      <c r="F23" s="70">
        <f>IF(C23=0,0,+E23/C23)</f>
        <v>0.55634017884191889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864</v>
      </c>
      <c r="C24" s="49">
        <v>5592786</v>
      </c>
      <c r="D24" s="49">
        <v>12417006</v>
      </c>
      <c r="E24" s="49">
        <f>+D24-C24</f>
        <v>6824220</v>
      </c>
      <c r="F24" s="70">
        <f>IF(C24=0,0,+E24/C24)</f>
        <v>1.2201825709047334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857</v>
      </c>
      <c r="C25" s="27">
        <f>+C22+C23+C24</f>
        <v>11909791</v>
      </c>
      <c r="D25" s="27">
        <f>+D22+D23+D24</f>
        <v>23197082</v>
      </c>
      <c r="E25" s="27">
        <f>+E22+E23+E24</f>
        <v>11287291</v>
      </c>
      <c r="F25" s="28">
        <f>IF(C25=0,0,+E25/C25)</f>
        <v>0.94773208026908284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865</v>
      </c>
      <c r="C27" s="49">
        <v>419</v>
      </c>
      <c r="D27" s="49">
        <v>660</v>
      </c>
      <c r="E27" s="49">
        <f>+D27-C27</f>
        <v>241</v>
      </c>
      <c r="F27" s="70">
        <f>IF(C27=0,0,+E27/C27)</f>
        <v>0.57517899761336511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866</v>
      </c>
      <c r="C28" s="49">
        <v>115</v>
      </c>
      <c r="D28" s="49">
        <v>152</v>
      </c>
      <c r="E28" s="49">
        <f>+D28-C28</f>
        <v>37</v>
      </c>
      <c r="F28" s="70">
        <f>IF(C28=0,0,+E28/C28)</f>
        <v>0.32173913043478258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867</v>
      </c>
      <c r="C29" s="49">
        <v>787</v>
      </c>
      <c r="D29" s="49">
        <v>1070</v>
      </c>
      <c r="E29" s="49">
        <f>+D29-C29</f>
        <v>283</v>
      </c>
      <c r="F29" s="70">
        <f>IF(C29=0,0,+E29/C29)</f>
        <v>0.35959339263024143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868</v>
      </c>
      <c r="C30" s="49">
        <v>3383</v>
      </c>
      <c r="D30" s="49">
        <v>7310</v>
      </c>
      <c r="E30" s="49">
        <f>+D30-C30</f>
        <v>3927</v>
      </c>
      <c r="F30" s="70">
        <f>IF(C30=0,0,+E30/C30)</f>
        <v>1.1608040201005025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869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870</v>
      </c>
      <c r="C33" s="51">
        <v>19658293</v>
      </c>
      <c r="D33" s="51">
        <v>16751305</v>
      </c>
      <c r="E33" s="51">
        <f>+D33-C33</f>
        <v>-2906988</v>
      </c>
      <c r="F33" s="70">
        <f>IF(C33=0,0,+E33/C33)</f>
        <v>-0.14787591170810202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871</v>
      </c>
      <c r="C34" s="49">
        <v>14160716</v>
      </c>
      <c r="D34" s="49">
        <v>12668393</v>
      </c>
      <c r="E34" s="49">
        <f>+D34-C34</f>
        <v>-1492323</v>
      </c>
      <c r="F34" s="70">
        <f>IF(C34=0,0,+E34/C34)</f>
        <v>-0.10538471359781525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872</v>
      </c>
      <c r="C35" s="49">
        <v>14115668</v>
      </c>
      <c r="D35" s="49">
        <v>13285005</v>
      </c>
      <c r="E35" s="49">
        <f>+D35-C35</f>
        <v>-830663</v>
      </c>
      <c r="F35" s="70">
        <f>IF(C35=0,0,+E35/C35)</f>
        <v>-5.8846878518253619E-2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873</v>
      </c>
      <c r="C36" s="27">
        <f>+C33+C34+C35</f>
        <v>47934677</v>
      </c>
      <c r="D36" s="27">
        <f>+D33+D34+D35</f>
        <v>42704703</v>
      </c>
      <c r="E36" s="27">
        <f>+E33+E34+E35</f>
        <v>-5229974</v>
      </c>
      <c r="F36" s="28">
        <f>IF(C36=0,0,+E36/C36)</f>
        <v>-0.1091062739402625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874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875</v>
      </c>
      <c r="C39" s="51">
        <f>+C25</f>
        <v>11909791</v>
      </c>
      <c r="D39" s="51">
        <f>+D25</f>
        <v>23197082</v>
      </c>
      <c r="E39" s="51">
        <f>+D39-C39</f>
        <v>11287291</v>
      </c>
      <c r="F39" s="70">
        <f>IF(C39=0,0,+E39/C39)</f>
        <v>0.94773208026908284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876</v>
      </c>
      <c r="C40" s="49">
        <f>+C36</f>
        <v>47934677</v>
      </c>
      <c r="D40" s="49">
        <f>+D36</f>
        <v>42704703</v>
      </c>
      <c r="E40" s="49">
        <f>+D40-C40</f>
        <v>-5229974</v>
      </c>
      <c r="F40" s="70">
        <f>IF(C40=0,0,+E40/C40)</f>
        <v>-0.1091062739402625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877</v>
      </c>
      <c r="C41" s="27">
        <f>+C39+C40</f>
        <v>59844468</v>
      </c>
      <c r="D41" s="27">
        <f>+D39+D40</f>
        <v>65901785</v>
      </c>
      <c r="E41" s="27">
        <f>+E39+E40</f>
        <v>6057317</v>
      </c>
      <c r="F41" s="28">
        <f>IF(C41=0,0,+E41/C41)</f>
        <v>0.10121765975093971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878</v>
      </c>
      <c r="C43" s="51">
        <f t="shared" ref="C43:D45" si="0">+C22+C33</f>
        <v>23522741</v>
      </c>
      <c r="D43" s="51">
        <f t="shared" si="0"/>
        <v>23714368</v>
      </c>
      <c r="E43" s="51">
        <f>+D43-C43</f>
        <v>191627</v>
      </c>
      <c r="F43" s="70">
        <f>IF(C43=0,0,+E43/C43)</f>
        <v>8.1464570816810848E-3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879</v>
      </c>
      <c r="C44" s="49">
        <f t="shared" si="0"/>
        <v>16613273</v>
      </c>
      <c r="D44" s="49">
        <f t="shared" si="0"/>
        <v>16485406</v>
      </c>
      <c r="E44" s="49">
        <f>+D44-C44</f>
        <v>-127867</v>
      </c>
      <c r="F44" s="70">
        <f>IF(C44=0,0,+E44/C44)</f>
        <v>-7.6966772291047047E-3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880</v>
      </c>
      <c r="C45" s="49">
        <f t="shared" si="0"/>
        <v>19708454</v>
      </c>
      <c r="D45" s="49">
        <f t="shared" si="0"/>
        <v>25702011</v>
      </c>
      <c r="E45" s="49">
        <f>+D45-C45</f>
        <v>5993557</v>
      </c>
      <c r="F45" s="70">
        <f>IF(C45=0,0,+E45/C45)</f>
        <v>0.30411096679627941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877</v>
      </c>
      <c r="C46" s="27">
        <f>+C43+C44+C45</f>
        <v>59844468</v>
      </c>
      <c r="D46" s="27">
        <f>+D43+D44+D45</f>
        <v>65901785</v>
      </c>
      <c r="E46" s="27">
        <f>+E43+E44+E45</f>
        <v>6057317</v>
      </c>
      <c r="F46" s="28">
        <f>IF(C46=0,0,+E46/C46)</f>
        <v>0.10121765975093971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881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FILING&amp;RSTAMFORD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592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593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882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883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598</v>
      </c>
      <c r="D9" s="35" t="s">
        <v>599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884</v>
      </c>
      <c r="D10" s="35" t="s">
        <v>884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885</v>
      </c>
      <c r="D11" s="605" t="s">
        <v>885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886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520905477</v>
      </c>
      <c r="D15" s="51">
        <v>568718927</v>
      </c>
      <c r="E15" s="51">
        <f>+D15-C15</f>
        <v>47813450</v>
      </c>
      <c r="F15" s="70">
        <f>+E15/C15</f>
        <v>9.1789109754359527E-2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887</v>
      </c>
      <c r="C17" s="51">
        <v>235646501</v>
      </c>
      <c r="D17" s="51">
        <v>238177311</v>
      </c>
      <c r="E17" s="51">
        <f>+D17-C17</f>
        <v>2530810</v>
      </c>
      <c r="F17" s="70">
        <f>+E17/C17</f>
        <v>1.0739858174257381E-2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888</v>
      </c>
      <c r="C19" s="27">
        <f>+C15-C17</f>
        <v>285258976</v>
      </c>
      <c r="D19" s="27">
        <f>+D15-D17</f>
        <v>330541616</v>
      </c>
      <c r="E19" s="27">
        <f>+D19-C19</f>
        <v>45282640</v>
      </c>
      <c r="F19" s="28">
        <f>+E19/C19</f>
        <v>0.1587422090444579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889</v>
      </c>
      <c r="C21" s="628">
        <f>+C17/C15</f>
        <v>0.45237862031540899</v>
      </c>
      <c r="D21" s="628">
        <f>+D17/D15</f>
        <v>0.41879617451170215</v>
      </c>
      <c r="E21" s="628">
        <f>+D21-C21</f>
        <v>-3.358244580370684E-2</v>
      </c>
      <c r="F21" s="28">
        <f>+E21/C21</f>
        <v>-7.4235262887296427E-2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890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FILING&amp;R&amp;12STAMFORD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="75" workbookViewId="0"/>
  </sheetViews>
  <sheetFormatPr defaultRowHeight="12.75" x14ac:dyDescent="0.2"/>
  <cols>
    <col min="1" max="1" width="9.42578125" customWidth="1"/>
    <col min="2" max="2" width="83.5703125" customWidth="1"/>
    <col min="3" max="3" width="18.28515625" customWidth="1"/>
    <col min="4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891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892</v>
      </c>
      <c r="B6" s="632" t="s">
        <v>893</v>
      </c>
      <c r="C6" s="632" t="s">
        <v>894</v>
      </c>
      <c r="D6" s="632" t="s">
        <v>895</v>
      </c>
      <c r="E6" s="632" t="s">
        <v>896</v>
      </c>
    </row>
    <row r="7" spans="1:6" ht="37.5" customHeight="1" x14ac:dyDescent="0.25">
      <c r="A7" s="633" t="s">
        <v>8</v>
      </c>
      <c r="B7" s="634" t="s">
        <v>897</v>
      </c>
      <c r="C7" s="631" t="s">
        <v>898</v>
      </c>
      <c r="D7" s="631" t="s">
        <v>899</v>
      </c>
      <c r="E7" s="631" t="s">
        <v>900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901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902</v>
      </c>
      <c r="C10" s="641">
        <v>474398080</v>
      </c>
      <c r="D10" s="641">
        <v>519029050</v>
      </c>
      <c r="E10" s="641">
        <v>578603475</v>
      </c>
    </row>
    <row r="11" spans="1:6" ht="26.1" customHeight="1" x14ac:dyDescent="0.25">
      <c r="A11" s="639">
        <v>2</v>
      </c>
      <c r="B11" s="640" t="s">
        <v>903</v>
      </c>
      <c r="C11" s="641">
        <v>515571431</v>
      </c>
      <c r="D11" s="641">
        <v>637988263</v>
      </c>
      <c r="E11" s="641">
        <v>710022246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989969511</v>
      </c>
      <c r="D12" s="641">
        <f>+D11+D10</f>
        <v>1157017313</v>
      </c>
      <c r="E12" s="641">
        <f>+E11+E10</f>
        <v>1288625721</v>
      </c>
    </row>
    <row r="13" spans="1:6" ht="26.1" customHeight="1" x14ac:dyDescent="0.25">
      <c r="A13" s="639">
        <v>4</v>
      </c>
      <c r="B13" s="640" t="s">
        <v>484</v>
      </c>
      <c r="C13" s="641">
        <v>381968990</v>
      </c>
      <c r="D13" s="641">
        <v>416937724</v>
      </c>
      <c r="E13" s="641">
        <v>429753819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904</v>
      </c>
      <c r="C16" s="641">
        <v>389133838</v>
      </c>
      <c r="D16" s="641">
        <v>425519879</v>
      </c>
      <c r="E16" s="641">
        <v>431680034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905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76971</v>
      </c>
      <c r="D19" s="644">
        <v>75272</v>
      </c>
      <c r="E19" s="644">
        <v>76225</v>
      </c>
    </row>
    <row r="20" spans="1:5" ht="26.1" customHeight="1" x14ac:dyDescent="0.25">
      <c r="A20" s="639">
        <v>2</v>
      </c>
      <c r="B20" s="640" t="s">
        <v>373</v>
      </c>
      <c r="C20" s="645">
        <v>15856</v>
      </c>
      <c r="D20" s="645">
        <v>14888</v>
      </c>
      <c r="E20" s="645">
        <v>15089</v>
      </c>
    </row>
    <row r="21" spans="1:5" ht="26.1" customHeight="1" x14ac:dyDescent="0.25">
      <c r="A21" s="639">
        <v>3</v>
      </c>
      <c r="B21" s="640" t="s">
        <v>906</v>
      </c>
      <c r="C21" s="646">
        <f>IF(C20=0,0,+C19/C20)</f>
        <v>4.8543768920282542</v>
      </c>
      <c r="D21" s="646">
        <f>IF(D20=0,0,+D19/D20)</f>
        <v>5.0558839333691568</v>
      </c>
      <c r="E21" s="646">
        <f>IF(E20=0,0,+E19/E20)</f>
        <v>5.0516932865000994</v>
      </c>
    </row>
    <row r="22" spans="1:5" ht="26.1" customHeight="1" x14ac:dyDescent="0.25">
      <c r="A22" s="639">
        <v>4</v>
      </c>
      <c r="B22" s="640" t="s">
        <v>907</v>
      </c>
      <c r="C22" s="645">
        <f>IF(C10=0,0,C19*(C12/C10))</f>
        <v>160622.36852050709</v>
      </c>
      <c r="D22" s="645">
        <f>IF(D10=0,0,D19*(D12/D10))</f>
        <v>167796.01678198169</v>
      </c>
      <c r="E22" s="645">
        <f>IF(E10=0,0,E19*(E12/E10))</f>
        <v>169763.05851468488</v>
      </c>
    </row>
    <row r="23" spans="1:5" ht="26.1" customHeight="1" x14ac:dyDescent="0.25">
      <c r="A23" s="639">
        <v>0</v>
      </c>
      <c r="B23" s="640" t="s">
        <v>908</v>
      </c>
      <c r="C23" s="645">
        <f>IF(C10=0,0,C20*(C12/C10))</f>
        <v>33088.153658665738</v>
      </c>
      <c r="D23" s="645">
        <f>IF(D10=0,0,D20*(D12/D10))</f>
        <v>33188.265196223605</v>
      </c>
      <c r="E23" s="645">
        <f>IF(E10=0,0,E20*(E12/E10))</f>
        <v>33605.179270948902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909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1.2026545724016144</v>
      </c>
      <c r="D26" s="647">
        <v>1.2139909692369695</v>
      </c>
      <c r="E26" s="647">
        <v>1.2121896659818412</v>
      </c>
    </row>
    <row r="27" spans="1:5" ht="26.1" customHeight="1" x14ac:dyDescent="0.25">
      <c r="A27" s="639">
        <v>2</v>
      </c>
      <c r="B27" s="640" t="s">
        <v>910</v>
      </c>
      <c r="C27" s="645">
        <f>C19*C26</f>
        <v>92569.525092324664</v>
      </c>
      <c r="D27" s="645">
        <f>D19*D26</f>
        <v>91379.528236405167</v>
      </c>
      <c r="E27" s="645">
        <f>E19*E26</f>
        <v>92399.157289465846</v>
      </c>
    </row>
    <row r="28" spans="1:5" ht="26.1" customHeight="1" x14ac:dyDescent="0.25">
      <c r="A28" s="639">
        <v>3</v>
      </c>
      <c r="B28" s="640" t="s">
        <v>911</v>
      </c>
      <c r="C28" s="645">
        <f>C20*C26</f>
        <v>19069.2909</v>
      </c>
      <c r="D28" s="645">
        <f>D20*D26</f>
        <v>18073.897550000002</v>
      </c>
      <c r="E28" s="645">
        <f>E20*E26</f>
        <v>18290.729870000003</v>
      </c>
    </row>
    <row r="29" spans="1:5" ht="26.1" customHeight="1" x14ac:dyDescent="0.25">
      <c r="A29" s="639">
        <v>4</v>
      </c>
      <c r="B29" s="640" t="s">
        <v>912</v>
      </c>
      <c r="C29" s="645">
        <f>C22*C26</f>
        <v>193173.22593116498</v>
      </c>
      <c r="D29" s="645">
        <f>D22*D26</f>
        <v>203702.84904726074</v>
      </c>
      <c r="E29" s="645">
        <f>E22*E26</f>
        <v>205785.02519697163</v>
      </c>
    </row>
    <row r="30" spans="1:5" ht="26.1" customHeight="1" x14ac:dyDescent="0.25">
      <c r="A30" s="639">
        <v>5</v>
      </c>
      <c r="B30" s="640" t="s">
        <v>913</v>
      </c>
      <c r="C30" s="645">
        <f>C23*C26</f>
        <v>39793.61928992156</v>
      </c>
      <c r="D30" s="645">
        <f>D23*D26</f>
        <v>40290.254232857078</v>
      </c>
      <c r="E30" s="645">
        <f>E23*E26</f>
        <v>40735.851035711443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914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915</v>
      </c>
      <c r="C33" s="641">
        <f>IF(C19=0,0,C12/C19)</f>
        <v>12861.590871886814</v>
      </c>
      <c r="D33" s="641">
        <f>IF(D19=0,0,D12/D19)</f>
        <v>15371.151464023807</v>
      </c>
      <c r="E33" s="641">
        <f>IF(E19=0,0,E12/E19)</f>
        <v>16905.552259757296</v>
      </c>
    </row>
    <row r="34" spans="1:5" ht="26.1" customHeight="1" x14ac:dyDescent="0.25">
      <c r="A34" s="639">
        <v>2</v>
      </c>
      <c r="B34" s="640" t="s">
        <v>916</v>
      </c>
      <c r="C34" s="641">
        <f>IF(C20=0,0,C12/C20)</f>
        <v>62435.009523208879</v>
      </c>
      <c r="D34" s="641">
        <f>IF(D20=0,0,D12/D20)</f>
        <v>77714.757724341747</v>
      </c>
      <c r="E34" s="641">
        <f>IF(E20=0,0,E12/E20)</f>
        <v>85401.664855192517</v>
      </c>
    </row>
    <row r="35" spans="1:5" ht="26.1" customHeight="1" x14ac:dyDescent="0.25">
      <c r="A35" s="639">
        <v>3</v>
      </c>
      <c r="B35" s="640" t="s">
        <v>917</v>
      </c>
      <c r="C35" s="641">
        <f>IF(C22=0,0,C12/C22)</f>
        <v>6163.3352821192393</v>
      </c>
      <c r="D35" s="641">
        <f>IF(D22=0,0,D12/D22)</f>
        <v>6895.3800882134119</v>
      </c>
      <c r="E35" s="641">
        <f>IF(E22=0,0,E12/E22)</f>
        <v>7590.7310593637249</v>
      </c>
    </row>
    <row r="36" spans="1:5" ht="26.1" customHeight="1" x14ac:dyDescent="0.25">
      <c r="A36" s="639">
        <v>4</v>
      </c>
      <c r="B36" s="640" t="s">
        <v>918</v>
      </c>
      <c r="C36" s="641">
        <f>IF(C23=0,0,C12/C23)</f>
        <v>29919.152371342076</v>
      </c>
      <c r="D36" s="641">
        <f>IF(D23=0,0,D12/D23)</f>
        <v>34862.241402471787</v>
      </c>
      <c r="E36" s="641">
        <f>IF(E23=0,0,E12/E23)</f>
        <v>38346.04513221552</v>
      </c>
    </row>
    <row r="37" spans="1:5" ht="26.1" customHeight="1" x14ac:dyDescent="0.25">
      <c r="A37" s="639">
        <v>5</v>
      </c>
      <c r="B37" s="640" t="s">
        <v>919</v>
      </c>
      <c r="C37" s="641">
        <f>IF(C29=0,0,C12/C29)</f>
        <v>5124.7759943335213</v>
      </c>
      <c r="D37" s="641">
        <f>IF(D29=0,0,D12/D29)</f>
        <v>5679.9270035322998</v>
      </c>
      <c r="E37" s="641">
        <f>IF(E29=0,0,E12/E29)</f>
        <v>6261.999481092289</v>
      </c>
    </row>
    <row r="38" spans="1:5" ht="26.1" customHeight="1" x14ac:dyDescent="0.25">
      <c r="A38" s="639">
        <v>6</v>
      </c>
      <c r="B38" s="640" t="s">
        <v>920</v>
      </c>
      <c r="C38" s="641">
        <f>IF(C30=0,0,C12/C30)</f>
        <v>24877.594163713762</v>
      </c>
      <c r="D38" s="641">
        <f>IF(D30=0,0,D12/D30)</f>
        <v>28717.051679868568</v>
      </c>
      <c r="E38" s="641">
        <f>IF(E30=0,0,E12/E30)</f>
        <v>31633.700738701027</v>
      </c>
    </row>
    <row r="39" spans="1:5" ht="26.1" customHeight="1" x14ac:dyDescent="0.25">
      <c r="A39" s="639">
        <v>7</v>
      </c>
      <c r="B39" s="640" t="s">
        <v>921</v>
      </c>
      <c r="C39" s="641">
        <f>IF(C22=0,0,C10/C22)</f>
        <v>2953.4994681605153</v>
      </c>
      <c r="D39" s="641">
        <f>IF(D22=0,0,D10/D22)</f>
        <v>3093.2143679809597</v>
      </c>
      <c r="E39" s="641">
        <f>IF(E22=0,0,E10/E22)</f>
        <v>3408.3002513173356</v>
      </c>
    </row>
    <row r="40" spans="1:5" ht="26.1" customHeight="1" x14ac:dyDescent="0.25">
      <c r="A40" s="639">
        <v>8</v>
      </c>
      <c r="B40" s="640" t="s">
        <v>922</v>
      </c>
      <c r="C40" s="641">
        <f>IF(C23=0,0,C10/C23)</f>
        <v>14337.399568856144</v>
      </c>
      <c r="D40" s="641">
        <f>IF(D23=0,0,D10/D23)</f>
        <v>15638.932825541564</v>
      </c>
      <c r="E40" s="641">
        <f>IF(E23=0,0,E10/E23)</f>
        <v>17217.687497956387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923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924</v>
      </c>
      <c r="C43" s="641">
        <f>IF(C19=0,0,C13/C19)</f>
        <v>4962.5052292421824</v>
      </c>
      <c r="D43" s="641">
        <f>IF(D19=0,0,D13/D19)</f>
        <v>5539.0812519927731</v>
      </c>
      <c r="E43" s="641">
        <f>IF(E19=0,0,E13/E19)</f>
        <v>5637.9641718596258</v>
      </c>
    </row>
    <row r="44" spans="1:5" ht="26.1" customHeight="1" x14ac:dyDescent="0.25">
      <c r="A44" s="639">
        <v>2</v>
      </c>
      <c r="B44" s="640" t="s">
        <v>925</v>
      </c>
      <c r="C44" s="641">
        <f>IF(C20=0,0,C13/C20)</f>
        <v>24089.870711402622</v>
      </c>
      <c r="D44" s="641">
        <f>IF(D20=0,0,D13/D20)</f>
        <v>28004.951907576571</v>
      </c>
      <c r="E44" s="641">
        <f>IF(E20=0,0,E13/E20)</f>
        <v>28481.265756511366</v>
      </c>
    </row>
    <row r="45" spans="1:5" ht="26.1" customHeight="1" x14ac:dyDescent="0.25">
      <c r="A45" s="639">
        <v>3</v>
      </c>
      <c r="B45" s="640" t="s">
        <v>926</v>
      </c>
      <c r="C45" s="641">
        <f>IF(C22=0,0,C13/C22)</f>
        <v>2378.0560174670377</v>
      </c>
      <c r="D45" s="641">
        <f>IF(D22=0,0,D13/D22)</f>
        <v>2484.7891624372082</v>
      </c>
      <c r="E45" s="641">
        <f>IF(E22=0,0,E13/E22)</f>
        <v>2531.4919674519492</v>
      </c>
    </row>
    <row r="46" spans="1:5" ht="26.1" customHeight="1" x14ac:dyDescent="0.25">
      <c r="A46" s="639">
        <v>4</v>
      </c>
      <c r="B46" s="640" t="s">
        <v>927</v>
      </c>
      <c r="C46" s="641">
        <f>IF(C23=0,0,C13/C23)</f>
        <v>11543.980179140726</v>
      </c>
      <c r="D46" s="641">
        <f>IF(D23=0,0,D13/D23)</f>
        <v>12562.805604176085</v>
      </c>
      <c r="E46" s="641">
        <f>IF(E23=0,0,E13/E23)</f>
        <v>12788.320976805941</v>
      </c>
    </row>
    <row r="47" spans="1:5" ht="26.1" customHeight="1" x14ac:dyDescent="0.25">
      <c r="A47" s="639">
        <v>5</v>
      </c>
      <c r="B47" s="640" t="s">
        <v>928</v>
      </c>
      <c r="C47" s="641">
        <f>IF(C29=0,0,C13/C29)</f>
        <v>1977.3391895215861</v>
      </c>
      <c r="D47" s="641">
        <f>IF(D29=0,0,D13/D29)</f>
        <v>2046.7937780451318</v>
      </c>
      <c r="E47" s="641">
        <f>IF(E29=0,0,E13/E29)</f>
        <v>2088.362934031044</v>
      </c>
    </row>
    <row r="48" spans="1:5" ht="26.1" customHeight="1" x14ac:dyDescent="0.25">
      <c r="A48" s="639">
        <v>6</v>
      </c>
      <c r="B48" s="640" t="s">
        <v>929</v>
      </c>
      <c r="C48" s="641">
        <f>IF(C30=0,0,C13/C30)</f>
        <v>9598.7496693154626</v>
      </c>
      <c r="D48" s="641">
        <f>IF(D30=0,0,D13/D30)</f>
        <v>10348.351777338337</v>
      </c>
      <c r="E48" s="641">
        <f>IF(E30=0,0,E13/E30)</f>
        <v>10549.769013620276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930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931</v>
      </c>
      <c r="C51" s="641">
        <f>IF(C19=0,0,C16/C19)</f>
        <v>5055.5902612672307</v>
      </c>
      <c r="D51" s="641">
        <f>IF(D19=0,0,D16/D19)</f>
        <v>5653.0964900627059</v>
      </c>
      <c r="E51" s="641">
        <f>IF(E19=0,0,E16/E19)</f>
        <v>5663.2342932108886</v>
      </c>
    </row>
    <row r="52" spans="1:6" ht="26.1" customHeight="1" x14ac:dyDescent="0.25">
      <c r="A52" s="639">
        <v>2</v>
      </c>
      <c r="B52" s="640" t="s">
        <v>932</v>
      </c>
      <c r="C52" s="641">
        <f>IF(C20=0,0,C16/C20)</f>
        <v>24541.740539858729</v>
      </c>
      <c r="D52" s="641">
        <f>IF(D20=0,0,D16/D20)</f>
        <v>28581.399717893604</v>
      </c>
      <c r="E52" s="641">
        <f>IF(E20=0,0,E16/E20)</f>
        <v>28608.922658890584</v>
      </c>
    </row>
    <row r="53" spans="1:6" ht="26.1" customHeight="1" x14ac:dyDescent="0.25">
      <c r="A53" s="639">
        <v>3</v>
      </c>
      <c r="B53" s="640" t="s">
        <v>933</v>
      </c>
      <c r="C53" s="641">
        <f>IF(C22=0,0,C16/C22)</f>
        <v>2422.6628058365245</v>
      </c>
      <c r="D53" s="641">
        <f>IF(D22=0,0,D16/D22)</f>
        <v>2535.9355195712446</v>
      </c>
      <c r="E53" s="641">
        <f>IF(E22=0,0,E16/E22)</f>
        <v>2542.8384583602369</v>
      </c>
    </row>
    <row r="54" spans="1:6" ht="26.1" customHeight="1" x14ac:dyDescent="0.25">
      <c r="A54" s="639">
        <v>4</v>
      </c>
      <c r="B54" s="640" t="s">
        <v>934</v>
      </c>
      <c r="C54" s="641">
        <f>IF(C23=0,0,C16/C23)</f>
        <v>11760.518341829158</v>
      </c>
      <c r="D54" s="641">
        <f>IF(D23=0,0,D16/D23)</f>
        <v>12821.395649460421</v>
      </c>
      <c r="E54" s="641">
        <f>IF(E23=0,0,E16/E23)</f>
        <v>12845.639968752672</v>
      </c>
    </row>
    <row r="55" spans="1:6" ht="26.1" customHeight="1" x14ac:dyDescent="0.25">
      <c r="A55" s="639">
        <v>5</v>
      </c>
      <c r="B55" s="640" t="s">
        <v>935</v>
      </c>
      <c r="C55" s="641">
        <f>IF(C29=0,0,C16/C29)</f>
        <v>2014.4294641466686</v>
      </c>
      <c r="D55" s="641">
        <f>IF(D29=0,0,D16/D29)</f>
        <v>2088.9245338992578</v>
      </c>
      <c r="E55" s="641">
        <f>IF(E29=0,0,E16/E29)</f>
        <v>2097.7232604112373</v>
      </c>
    </row>
    <row r="56" spans="1:6" ht="26.1" customHeight="1" x14ac:dyDescent="0.25">
      <c r="A56" s="639">
        <v>6</v>
      </c>
      <c r="B56" s="640" t="s">
        <v>936</v>
      </c>
      <c r="C56" s="641">
        <f>IF(C30=0,0,C16/C30)</f>
        <v>9778.7998413744444</v>
      </c>
      <c r="D56" s="641">
        <f>IF(D30=0,0,D16/D30)</f>
        <v>10561.359988961911</v>
      </c>
      <c r="E56" s="641">
        <f>IF(E30=0,0,E16/E30)</f>
        <v>10597.054511554548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937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938</v>
      </c>
      <c r="C59" s="649">
        <v>44863659</v>
      </c>
      <c r="D59" s="649">
        <v>51850186</v>
      </c>
      <c r="E59" s="649">
        <v>53049747</v>
      </c>
    </row>
    <row r="60" spans="1:6" ht="26.1" customHeight="1" x14ac:dyDescent="0.25">
      <c r="A60" s="639">
        <v>2</v>
      </c>
      <c r="B60" s="640" t="s">
        <v>939</v>
      </c>
      <c r="C60" s="649">
        <v>9646656</v>
      </c>
      <c r="D60" s="649">
        <v>11404309</v>
      </c>
      <c r="E60" s="649">
        <v>14424232</v>
      </c>
    </row>
    <row r="61" spans="1:6" ht="26.1" customHeight="1" x14ac:dyDescent="0.25">
      <c r="A61" s="650">
        <v>3</v>
      </c>
      <c r="B61" s="651" t="s">
        <v>940</v>
      </c>
      <c r="C61" s="652">
        <f>C59+C60</f>
        <v>54510315</v>
      </c>
      <c r="D61" s="652">
        <f>D59+D60</f>
        <v>63254495</v>
      </c>
      <c r="E61" s="652">
        <f>E59+E60</f>
        <v>67473979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941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942</v>
      </c>
      <c r="C64" s="641">
        <v>15310689</v>
      </c>
      <c r="D64" s="641">
        <v>17126431</v>
      </c>
      <c r="E64" s="649">
        <v>17289984</v>
      </c>
      <c r="F64" s="653"/>
    </row>
    <row r="65" spans="1:6" ht="26.1" customHeight="1" x14ac:dyDescent="0.25">
      <c r="A65" s="639">
        <v>2</v>
      </c>
      <c r="B65" s="640" t="s">
        <v>943</v>
      </c>
      <c r="C65" s="649">
        <v>3292129</v>
      </c>
      <c r="D65" s="649">
        <v>3766913</v>
      </c>
      <c r="E65" s="649">
        <v>4701148</v>
      </c>
      <c r="F65" s="653"/>
    </row>
    <row r="66" spans="1:6" ht="26.1" customHeight="1" x14ac:dyDescent="0.25">
      <c r="A66" s="650">
        <v>3</v>
      </c>
      <c r="B66" s="651" t="s">
        <v>944</v>
      </c>
      <c r="C66" s="654">
        <f>C64+C65</f>
        <v>18602818</v>
      </c>
      <c r="D66" s="654">
        <f>D64+D65</f>
        <v>20893344</v>
      </c>
      <c r="E66" s="654">
        <f>E64+E65</f>
        <v>21991132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945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946</v>
      </c>
      <c r="C69" s="649">
        <v>80082283</v>
      </c>
      <c r="D69" s="649">
        <v>85526196</v>
      </c>
      <c r="E69" s="649">
        <v>93025542</v>
      </c>
    </row>
    <row r="70" spans="1:6" ht="26.1" customHeight="1" x14ac:dyDescent="0.25">
      <c r="A70" s="639">
        <v>2</v>
      </c>
      <c r="B70" s="640" t="s">
        <v>947</v>
      </c>
      <c r="C70" s="649">
        <v>17219422</v>
      </c>
      <c r="D70" s="649">
        <v>18811257</v>
      </c>
      <c r="E70" s="649">
        <v>25356655</v>
      </c>
    </row>
    <row r="71" spans="1:6" ht="26.1" customHeight="1" x14ac:dyDescent="0.25">
      <c r="A71" s="650">
        <v>3</v>
      </c>
      <c r="B71" s="651" t="s">
        <v>948</v>
      </c>
      <c r="C71" s="652">
        <f>C69+C70</f>
        <v>97301705</v>
      </c>
      <c r="D71" s="652">
        <f>D69+D70</f>
        <v>104337453</v>
      </c>
      <c r="E71" s="652">
        <f>E69+E70</f>
        <v>118382197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949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950</v>
      </c>
      <c r="C75" s="641">
        <f t="shared" ref="C75:E76" si="0">+C59+C64+C69</f>
        <v>140256631</v>
      </c>
      <c r="D75" s="641">
        <f t="shared" si="0"/>
        <v>154502813</v>
      </c>
      <c r="E75" s="641">
        <f t="shared" si="0"/>
        <v>163365273</v>
      </c>
    </row>
    <row r="76" spans="1:6" ht="26.1" customHeight="1" x14ac:dyDescent="0.25">
      <c r="A76" s="639">
        <v>2</v>
      </c>
      <c r="B76" s="640" t="s">
        <v>951</v>
      </c>
      <c r="C76" s="641">
        <f t="shared" si="0"/>
        <v>30158207</v>
      </c>
      <c r="D76" s="641">
        <f t="shared" si="0"/>
        <v>33982479</v>
      </c>
      <c r="E76" s="641">
        <f t="shared" si="0"/>
        <v>44482035</v>
      </c>
    </row>
    <row r="77" spans="1:6" ht="26.1" customHeight="1" x14ac:dyDescent="0.25">
      <c r="A77" s="650">
        <v>3</v>
      </c>
      <c r="B77" s="651" t="s">
        <v>949</v>
      </c>
      <c r="C77" s="654">
        <f>C75+C76</f>
        <v>170414838</v>
      </c>
      <c r="D77" s="654">
        <f>D75+D76</f>
        <v>188485292</v>
      </c>
      <c r="E77" s="654">
        <f>E75+E76</f>
        <v>207847308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952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515.9</v>
      </c>
      <c r="D80" s="646">
        <v>564.6</v>
      </c>
      <c r="E80" s="646">
        <v>600.9</v>
      </c>
    </row>
    <row r="81" spans="1:5" ht="26.1" customHeight="1" x14ac:dyDescent="0.25">
      <c r="A81" s="639">
        <v>2</v>
      </c>
      <c r="B81" s="640" t="s">
        <v>579</v>
      </c>
      <c r="C81" s="646">
        <v>101.2</v>
      </c>
      <c r="D81" s="646">
        <v>104.9</v>
      </c>
      <c r="E81" s="646">
        <v>111.2</v>
      </c>
    </row>
    <row r="82" spans="1:5" ht="26.1" customHeight="1" x14ac:dyDescent="0.25">
      <c r="A82" s="639">
        <v>3</v>
      </c>
      <c r="B82" s="640" t="s">
        <v>953</v>
      </c>
      <c r="C82" s="646">
        <v>1262.2</v>
      </c>
      <c r="D82" s="646">
        <v>1228.9000000000001</v>
      </c>
      <c r="E82" s="646">
        <v>1339.7</v>
      </c>
    </row>
    <row r="83" spans="1:5" ht="26.1" customHeight="1" x14ac:dyDescent="0.25">
      <c r="A83" s="650">
        <v>4</v>
      </c>
      <c r="B83" s="651" t="s">
        <v>952</v>
      </c>
      <c r="C83" s="656">
        <f>C80+C81+C82</f>
        <v>1879.3000000000002</v>
      </c>
      <c r="D83" s="656">
        <f>D80+D81+D82</f>
        <v>1898.4</v>
      </c>
      <c r="E83" s="656">
        <f>E80+E81+E82</f>
        <v>2051.8000000000002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954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955</v>
      </c>
      <c r="C86" s="649">
        <f>IF(C80=0,0,C59/C80)</f>
        <v>86961.928668346576</v>
      </c>
      <c r="D86" s="649">
        <f>IF(D80=0,0,D59/D80)</f>
        <v>91835.256818986891</v>
      </c>
      <c r="E86" s="649">
        <f>IF(E80=0,0,E59/E80)</f>
        <v>88283.819271093365</v>
      </c>
    </row>
    <row r="87" spans="1:5" ht="26.1" customHeight="1" x14ac:dyDescent="0.25">
      <c r="A87" s="639">
        <v>2</v>
      </c>
      <c r="B87" s="640" t="s">
        <v>956</v>
      </c>
      <c r="C87" s="649">
        <f>IF(C80=0,0,C60/C80)</f>
        <v>18698.69354526071</v>
      </c>
      <c r="D87" s="649">
        <f>IF(D80=0,0,D60/D80)</f>
        <v>20198.917817924194</v>
      </c>
      <c r="E87" s="649">
        <f>IF(E80=0,0,E60/E80)</f>
        <v>24004.380096521883</v>
      </c>
    </row>
    <row r="88" spans="1:5" ht="26.1" customHeight="1" x14ac:dyDescent="0.25">
      <c r="A88" s="650">
        <v>3</v>
      </c>
      <c r="B88" s="651" t="s">
        <v>957</v>
      </c>
      <c r="C88" s="652">
        <f>+C86+C87</f>
        <v>105660.62221360729</v>
      </c>
      <c r="D88" s="652">
        <f>+D86+D87</f>
        <v>112034.17463691108</v>
      </c>
      <c r="E88" s="652">
        <f>+E86+E87</f>
        <v>112288.19936761525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958</v>
      </c>
    </row>
    <row r="91" spans="1:5" ht="26.1" customHeight="1" x14ac:dyDescent="0.25">
      <c r="A91" s="639">
        <v>1</v>
      </c>
      <c r="B91" s="640" t="s">
        <v>959</v>
      </c>
      <c r="C91" s="641">
        <f>IF(C81=0,0,C64/C81)</f>
        <v>151291.39328063242</v>
      </c>
      <c r="D91" s="641">
        <f>IF(D81=0,0,D64/D81)</f>
        <v>163264.3565300286</v>
      </c>
      <c r="E91" s="641">
        <f>IF(E81=0,0,E64/E81)</f>
        <v>155485.46762589927</v>
      </c>
    </row>
    <row r="92" spans="1:5" ht="26.1" customHeight="1" x14ac:dyDescent="0.25">
      <c r="A92" s="639">
        <v>2</v>
      </c>
      <c r="B92" s="640" t="s">
        <v>960</v>
      </c>
      <c r="C92" s="641">
        <f>IF(C81=0,0,C65/C81)</f>
        <v>32530.918972332016</v>
      </c>
      <c r="D92" s="641">
        <f>IF(D81=0,0,D65/D81)</f>
        <v>35909.561487130595</v>
      </c>
      <c r="E92" s="641">
        <f>IF(E81=0,0,E65/E81)</f>
        <v>42276.510791366905</v>
      </c>
    </row>
    <row r="93" spans="1:5" ht="26.1" customHeight="1" x14ac:dyDescent="0.25">
      <c r="A93" s="650">
        <v>3</v>
      </c>
      <c r="B93" s="651" t="s">
        <v>961</v>
      </c>
      <c r="C93" s="654">
        <f>+C91+C92</f>
        <v>183822.31225296442</v>
      </c>
      <c r="D93" s="654">
        <f>+D91+D92</f>
        <v>199173.91801715919</v>
      </c>
      <c r="E93" s="654">
        <f>+E91+E92</f>
        <v>197761.97841726616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962</v>
      </c>
      <c r="B95" s="642" t="s">
        <v>963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964</v>
      </c>
      <c r="C96" s="649">
        <f>IF(C82=0,0,C69/C82)</f>
        <v>63446.587704008874</v>
      </c>
      <c r="D96" s="649">
        <f>IF(D82=0,0,D69/D82)</f>
        <v>69595.732769143127</v>
      </c>
      <c r="E96" s="649">
        <f>IF(E82=0,0,E69/E82)</f>
        <v>69437.591998208547</v>
      </c>
    </row>
    <row r="97" spans="1:5" ht="26.1" customHeight="1" x14ac:dyDescent="0.25">
      <c r="A97" s="639">
        <v>2</v>
      </c>
      <c r="B97" s="640" t="s">
        <v>965</v>
      </c>
      <c r="C97" s="649">
        <f>IF(C82=0,0,C70/C82)</f>
        <v>13642.387894153066</v>
      </c>
      <c r="D97" s="649">
        <f>IF(D82=0,0,D70/D82)</f>
        <v>15307.39441777199</v>
      </c>
      <c r="E97" s="649">
        <f>IF(E82=0,0,E70/E82)</f>
        <v>18927.114279316265</v>
      </c>
    </row>
    <row r="98" spans="1:5" ht="26.1" customHeight="1" x14ac:dyDescent="0.25">
      <c r="A98" s="650">
        <v>3</v>
      </c>
      <c r="B98" s="651" t="s">
        <v>966</v>
      </c>
      <c r="C98" s="654">
        <f>+C96+C97</f>
        <v>77088.975598161938</v>
      </c>
      <c r="D98" s="654">
        <f>+D96+D97</f>
        <v>84903.12718691511</v>
      </c>
      <c r="E98" s="654">
        <f>+E96+E97</f>
        <v>88364.70627752482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967</v>
      </c>
      <c r="B100" s="642" t="s">
        <v>968</v>
      </c>
    </row>
    <row r="101" spans="1:5" ht="26.1" customHeight="1" x14ac:dyDescent="0.25">
      <c r="A101" s="639">
        <v>1</v>
      </c>
      <c r="B101" s="640" t="s">
        <v>969</v>
      </c>
      <c r="C101" s="641">
        <f>IF(C83=0,0,C75/C83)</f>
        <v>74632.37960942903</v>
      </c>
      <c r="D101" s="641">
        <f>IF(D83=0,0,D75/D83)</f>
        <v>81385.80541508639</v>
      </c>
      <c r="E101" s="641">
        <f>IF(E83=0,0,E75/E83)</f>
        <v>79620.466419729011</v>
      </c>
    </row>
    <row r="102" spans="1:5" ht="26.1" customHeight="1" x14ac:dyDescent="0.25">
      <c r="A102" s="639">
        <v>2</v>
      </c>
      <c r="B102" s="640" t="s">
        <v>970</v>
      </c>
      <c r="C102" s="658">
        <f>IF(C83=0,0,C76/C83)</f>
        <v>16047.574628851167</v>
      </c>
      <c r="D102" s="658">
        <f>IF(D83=0,0,D76/D83)</f>
        <v>17900.589443742098</v>
      </c>
      <c r="E102" s="658">
        <f>IF(E83=0,0,E76/E83)</f>
        <v>21679.517984208986</v>
      </c>
    </row>
    <row r="103" spans="1:5" ht="26.1" customHeight="1" x14ac:dyDescent="0.25">
      <c r="A103" s="650">
        <v>3</v>
      </c>
      <c r="B103" s="651" t="s">
        <v>968</v>
      </c>
      <c r="C103" s="654">
        <f>+C101+C102</f>
        <v>90679.954238280203</v>
      </c>
      <c r="D103" s="654">
        <f>+D101+D102</f>
        <v>99286.394858828484</v>
      </c>
      <c r="E103" s="654">
        <f>+E101+E102</f>
        <v>101299.984403938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971</v>
      </c>
      <c r="B107" s="634" t="s">
        <v>972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973</v>
      </c>
      <c r="C108" s="641">
        <f>IF(C19=0,0,C77/C19)</f>
        <v>2214.0135635499082</v>
      </c>
      <c r="D108" s="641">
        <f>IF(D19=0,0,D77/D19)</f>
        <v>2504.055850781167</v>
      </c>
      <c r="E108" s="641">
        <f>IF(E19=0,0,E77/E19)</f>
        <v>2726.7603542144966</v>
      </c>
    </row>
    <row r="109" spans="1:5" ht="26.1" customHeight="1" x14ac:dyDescent="0.25">
      <c r="A109" s="639">
        <v>2</v>
      </c>
      <c r="B109" s="640" t="s">
        <v>974</v>
      </c>
      <c r="C109" s="641">
        <f>IF(C20=0,0,C77/C20)</f>
        <v>10747.656281533804</v>
      </c>
      <c r="D109" s="641">
        <f>IF(D20=0,0,D77/D20)</f>
        <v>12660.215744223537</v>
      </c>
      <c r="E109" s="641">
        <f>IF(E20=0,0,E77/E20)</f>
        <v>13774.756975280005</v>
      </c>
    </row>
    <row r="110" spans="1:5" ht="26.1" customHeight="1" x14ac:dyDescent="0.25">
      <c r="A110" s="639">
        <v>3</v>
      </c>
      <c r="B110" s="640" t="s">
        <v>975</v>
      </c>
      <c r="C110" s="641">
        <f>IF(C22=0,0,C77/C22)</f>
        <v>1060.965789321197</v>
      </c>
      <c r="D110" s="641">
        <f>IF(D22=0,0,D77/D22)</f>
        <v>1123.3001570287572</v>
      </c>
      <c r="E110" s="641">
        <f>IF(E22=0,0,E77/E22)</f>
        <v>1224.3376728631497</v>
      </c>
    </row>
    <row r="111" spans="1:5" ht="26.1" customHeight="1" x14ac:dyDescent="0.25">
      <c r="A111" s="639">
        <v>4</v>
      </c>
      <c r="B111" s="640" t="s">
        <v>976</v>
      </c>
      <c r="C111" s="641">
        <f>IF(C23=0,0,C77/C23)</f>
        <v>5150.3278109133362</v>
      </c>
      <c r="D111" s="641">
        <f>IF(D23=0,0,D77/D23)</f>
        <v>5679.2752162727438</v>
      </c>
      <c r="E111" s="641">
        <f>IF(E23=0,0,E77/E23)</f>
        <v>6184.978402411929</v>
      </c>
    </row>
    <row r="112" spans="1:5" ht="26.1" customHeight="1" x14ac:dyDescent="0.25">
      <c r="A112" s="639">
        <v>5</v>
      </c>
      <c r="B112" s="640" t="s">
        <v>977</v>
      </c>
      <c r="C112" s="641">
        <f>IF(C29=0,0,C77/C29)</f>
        <v>882.18663419083418</v>
      </c>
      <c r="D112" s="641">
        <f>IF(D29=0,0,D77/D29)</f>
        <v>925.29531561077897</v>
      </c>
      <c r="E112" s="641">
        <f>IF(E29=0,0,E77/E29)</f>
        <v>1010.021539716286</v>
      </c>
    </row>
    <row r="113" spans="1:7" ht="25.5" customHeight="1" x14ac:dyDescent="0.25">
      <c r="A113" s="639">
        <v>6</v>
      </c>
      <c r="B113" s="640" t="s">
        <v>978</v>
      </c>
      <c r="C113" s="641">
        <f>IF(C30=0,0,C77/C30)</f>
        <v>4282.4664114721672</v>
      </c>
      <c r="D113" s="641">
        <f>IF(D30=0,0,D77/D30)</f>
        <v>4678.1857198182806</v>
      </c>
      <c r="E113" s="641">
        <f>IF(E30=0,0,E77/E30)</f>
        <v>5102.3190314052563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FILING&amp;R&amp;12STAMFORD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1157017320</v>
      </c>
      <c r="D12" s="51">
        <v>1288625775</v>
      </c>
      <c r="E12" s="51">
        <f t="shared" ref="E12:E19" si="0">D12-C12</f>
        <v>131608455</v>
      </c>
      <c r="F12" s="70">
        <f t="shared" ref="F12:F19" si="1">IF(C12=0,0,E12/C12)</f>
        <v>0.11374804225056891</v>
      </c>
    </row>
    <row r="13" spans="1:8" ht="23.1" customHeight="1" x14ac:dyDescent="0.2">
      <c r="A13" s="25">
        <v>2</v>
      </c>
      <c r="B13" s="48" t="s">
        <v>72</v>
      </c>
      <c r="C13" s="51">
        <v>728169805</v>
      </c>
      <c r="D13" s="51">
        <v>835674751</v>
      </c>
      <c r="E13" s="51">
        <f t="shared" si="0"/>
        <v>107504946</v>
      </c>
      <c r="F13" s="70">
        <f t="shared" si="1"/>
        <v>0.14763719294842223</v>
      </c>
    </row>
    <row r="14" spans="1:8" ht="23.1" customHeight="1" x14ac:dyDescent="0.2">
      <c r="A14" s="25">
        <v>3</v>
      </c>
      <c r="B14" s="48" t="s">
        <v>73</v>
      </c>
      <c r="C14" s="51">
        <v>11909791</v>
      </c>
      <c r="D14" s="51">
        <v>23197205</v>
      </c>
      <c r="E14" s="51">
        <f t="shared" si="0"/>
        <v>11287414</v>
      </c>
      <c r="F14" s="70">
        <f t="shared" si="1"/>
        <v>0.94774240790623443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416937724</v>
      </c>
      <c r="D16" s="27">
        <f>D12-D13-D14-D15</f>
        <v>429753819</v>
      </c>
      <c r="E16" s="27">
        <f t="shared" si="0"/>
        <v>12816095</v>
      </c>
      <c r="F16" s="28">
        <f t="shared" si="1"/>
        <v>3.0738631364524836E-2</v>
      </c>
    </row>
    <row r="17" spans="1:7" ht="23.1" customHeight="1" x14ac:dyDescent="0.2">
      <c r="A17" s="25">
        <v>5</v>
      </c>
      <c r="B17" s="48" t="s">
        <v>76</v>
      </c>
      <c r="C17" s="51">
        <v>23523556</v>
      </c>
      <c r="D17" s="51">
        <v>24062351</v>
      </c>
      <c r="E17" s="51">
        <f t="shared" si="0"/>
        <v>538795</v>
      </c>
      <c r="F17" s="70">
        <f t="shared" si="1"/>
        <v>2.2904487739863821E-2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3737986</v>
      </c>
      <c r="D18" s="51">
        <v>3418344</v>
      </c>
      <c r="E18" s="51">
        <f t="shared" si="0"/>
        <v>-319642</v>
      </c>
      <c r="F18" s="70">
        <f t="shared" si="1"/>
        <v>-8.5511823746798415E-2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444199266</v>
      </c>
      <c r="D19" s="27">
        <f>SUM(D16:D18)</f>
        <v>457234514</v>
      </c>
      <c r="E19" s="27">
        <f t="shared" si="0"/>
        <v>13035248</v>
      </c>
      <c r="F19" s="28">
        <f t="shared" si="1"/>
        <v>2.9345496487155384E-2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154502813</v>
      </c>
      <c r="D22" s="51">
        <v>163365273</v>
      </c>
      <c r="E22" s="51">
        <f t="shared" ref="E22:E31" si="2">D22-C22</f>
        <v>8862460</v>
      </c>
      <c r="F22" s="70">
        <f t="shared" ref="F22:F31" si="3">IF(C22=0,0,E22/C22)</f>
        <v>5.7361156265808573E-2</v>
      </c>
    </row>
    <row r="23" spans="1:7" ht="23.1" customHeight="1" x14ac:dyDescent="0.2">
      <c r="A23" s="25">
        <v>2</v>
      </c>
      <c r="B23" s="48" t="s">
        <v>81</v>
      </c>
      <c r="C23" s="51">
        <v>33982479</v>
      </c>
      <c r="D23" s="51">
        <v>44482035</v>
      </c>
      <c r="E23" s="51">
        <f t="shared" si="2"/>
        <v>10499556</v>
      </c>
      <c r="F23" s="70">
        <f t="shared" si="3"/>
        <v>0.3089696899393361</v>
      </c>
    </row>
    <row r="24" spans="1:7" ht="23.1" customHeight="1" x14ac:dyDescent="0.2">
      <c r="A24" s="25">
        <v>3</v>
      </c>
      <c r="B24" s="48" t="s">
        <v>82</v>
      </c>
      <c r="C24" s="51">
        <v>10476221</v>
      </c>
      <c r="D24" s="51">
        <v>8733868</v>
      </c>
      <c r="E24" s="51">
        <f t="shared" si="2"/>
        <v>-1742353</v>
      </c>
      <c r="F24" s="70">
        <f t="shared" si="3"/>
        <v>-0.16631502905484716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40455414</v>
      </c>
      <c r="D25" s="51">
        <v>43199012</v>
      </c>
      <c r="E25" s="51">
        <f t="shared" si="2"/>
        <v>2743598</v>
      </c>
      <c r="F25" s="70">
        <f t="shared" si="3"/>
        <v>6.7817820378750795E-2</v>
      </c>
    </row>
    <row r="26" spans="1:7" ht="23.1" customHeight="1" x14ac:dyDescent="0.2">
      <c r="A26" s="25">
        <v>5</v>
      </c>
      <c r="B26" s="48" t="s">
        <v>84</v>
      </c>
      <c r="C26" s="51">
        <v>26955434</v>
      </c>
      <c r="D26" s="51">
        <v>27391465</v>
      </c>
      <c r="E26" s="51">
        <f t="shared" si="2"/>
        <v>436031</v>
      </c>
      <c r="F26" s="70">
        <f t="shared" si="3"/>
        <v>1.6175996275927147E-2</v>
      </c>
    </row>
    <row r="27" spans="1:7" ht="23.1" customHeight="1" x14ac:dyDescent="0.2">
      <c r="A27" s="25">
        <v>6</v>
      </c>
      <c r="B27" s="48" t="s">
        <v>85</v>
      </c>
      <c r="C27" s="51">
        <v>47934677</v>
      </c>
      <c r="D27" s="51">
        <v>43115286</v>
      </c>
      <c r="E27" s="51">
        <f t="shared" si="2"/>
        <v>-4819391</v>
      </c>
      <c r="F27" s="70">
        <f t="shared" si="3"/>
        <v>-0.10054080472890221</v>
      </c>
    </row>
    <row r="28" spans="1:7" ht="23.1" customHeight="1" x14ac:dyDescent="0.2">
      <c r="A28" s="25">
        <v>7</v>
      </c>
      <c r="B28" s="48" t="s">
        <v>86</v>
      </c>
      <c r="C28" s="51">
        <v>5220009</v>
      </c>
      <c r="D28" s="51">
        <v>4876423</v>
      </c>
      <c r="E28" s="51">
        <f t="shared" si="2"/>
        <v>-343586</v>
      </c>
      <c r="F28" s="70">
        <f t="shared" si="3"/>
        <v>-6.5820959312522256E-2</v>
      </c>
    </row>
    <row r="29" spans="1:7" ht="23.1" customHeight="1" x14ac:dyDescent="0.2">
      <c r="A29" s="25">
        <v>8</v>
      </c>
      <c r="B29" s="48" t="s">
        <v>87</v>
      </c>
      <c r="C29" s="51">
        <v>10211990</v>
      </c>
      <c r="D29" s="51">
        <v>8073693</v>
      </c>
      <c r="E29" s="51">
        <f t="shared" si="2"/>
        <v>-2138297</v>
      </c>
      <c r="F29" s="70">
        <f t="shared" si="3"/>
        <v>-0.20939082392364269</v>
      </c>
    </row>
    <row r="30" spans="1:7" ht="23.1" customHeight="1" x14ac:dyDescent="0.2">
      <c r="A30" s="25">
        <v>9</v>
      </c>
      <c r="B30" s="48" t="s">
        <v>88</v>
      </c>
      <c r="C30" s="51">
        <v>95780842</v>
      </c>
      <c r="D30" s="51">
        <v>88442979</v>
      </c>
      <c r="E30" s="51">
        <f t="shared" si="2"/>
        <v>-7337863</v>
      </c>
      <c r="F30" s="70">
        <f t="shared" si="3"/>
        <v>-7.6610967775789657E-2</v>
      </c>
    </row>
    <row r="31" spans="1:7" ht="23.1" customHeight="1" x14ac:dyDescent="0.25">
      <c r="A31" s="29"/>
      <c r="B31" s="71" t="s">
        <v>89</v>
      </c>
      <c r="C31" s="27">
        <f>SUM(C22:C30)</f>
        <v>425519879</v>
      </c>
      <c r="D31" s="27">
        <f>SUM(D22:D30)</f>
        <v>431680034</v>
      </c>
      <c r="E31" s="27">
        <f t="shared" si="2"/>
        <v>6160155</v>
      </c>
      <c r="F31" s="28">
        <f t="shared" si="3"/>
        <v>1.4476773716134659E-2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18679387</v>
      </c>
      <c r="D33" s="27">
        <f>+D19-D31</f>
        <v>25554480</v>
      </c>
      <c r="E33" s="27">
        <f>D33-C33</f>
        <v>6875093</v>
      </c>
      <c r="F33" s="28">
        <f>IF(C33=0,0,E33/C33)</f>
        <v>0.3680577419376771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-1093436</v>
      </c>
      <c r="D36" s="51">
        <v>1108817</v>
      </c>
      <c r="E36" s="51">
        <f>D36-C36</f>
        <v>2202253</v>
      </c>
      <c r="F36" s="70">
        <f>IF(C36=0,0,E36/C36)</f>
        <v>-2.014066666910546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-1902592</v>
      </c>
      <c r="D38" s="51">
        <v>-1064916</v>
      </c>
      <c r="E38" s="51">
        <f>D38-C38</f>
        <v>837676</v>
      </c>
      <c r="F38" s="70">
        <f>IF(C38=0,0,E38/C38)</f>
        <v>-0.44028146864908502</v>
      </c>
    </row>
    <row r="39" spans="1:6" ht="23.1" customHeight="1" x14ac:dyDescent="0.25">
      <c r="A39" s="20"/>
      <c r="B39" s="71" t="s">
        <v>95</v>
      </c>
      <c r="C39" s="27">
        <f>SUM(C36:C38)</f>
        <v>-2996028</v>
      </c>
      <c r="D39" s="27">
        <f>SUM(D36:D38)</f>
        <v>43901</v>
      </c>
      <c r="E39" s="27">
        <f>D39-C39</f>
        <v>3039929</v>
      </c>
      <c r="F39" s="28">
        <f>IF(C39=0,0,E39/C39)</f>
        <v>-1.0146530673278087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15683359</v>
      </c>
      <c r="D41" s="27">
        <f>D33+D39</f>
        <v>25598381</v>
      </c>
      <c r="E41" s="27">
        <f>D41-C41</f>
        <v>9915022</v>
      </c>
      <c r="F41" s="28">
        <f>IF(C41=0,0,E41/C41)</f>
        <v>0.63220015559166887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2007633</v>
      </c>
      <c r="D44" s="51">
        <v>-211088</v>
      </c>
      <c r="E44" s="51">
        <f>D44-C44</f>
        <v>-2218721</v>
      </c>
      <c r="F44" s="70">
        <f>IF(C44=0,0,E44/C44)</f>
        <v>-1.1051427227984398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2007633</v>
      </c>
      <c r="D46" s="27">
        <f>SUM(D44:D45)</f>
        <v>-211088</v>
      </c>
      <c r="E46" s="27">
        <f>D46-C46</f>
        <v>-2218721</v>
      </c>
      <c r="F46" s="28">
        <f>IF(C46=0,0,E46/C46)</f>
        <v>-1.1051427227984398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17690992</v>
      </c>
      <c r="D48" s="27">
        <f>D41+D46</f>
        <v>25387293</v>
      </c>
      <c r="E48" s="27">
        <f>D48-C48</f>
        <v>7696301</v>
      </c>
      <c r="F48" s="28">
        <f>IF(C48=0,0,E48/C48)</f>
        <v>0.43504066928524981</v>
      </c>
    </row>
    <row r="49" spans="1:6" ht="23.1" customHeight="1" x14ac:dyDescent="0.2">
      <c r="A49" s="44"/>
      <c r="B49" s="48" t="s">
        <v>102</v>
      </c>
      <c r="C49" s="51">
        <v>33476000</v>
      </c>
      <c r="D49" s="51">
        <v>117047000</v>
      </c>
      <c r="E49" s="51">
        <f>D49-C49</f>
        <v>83571000</v>
      </c>
      <c r="F49" s="70">
        <f>IF(C49=0,0,E49/C49)</f>
        <v>2.4964452144820171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FILING&amp;RSTAMFORD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abSelected="1"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216056717</v>
      </c>
      <c r="D14" s="97">
        <v>245190940</v>
      </c>
      <c r="E14" s="97">
        <f t="shared" ref="E14:E25" si="0">D14-C14</f>
        <v>29134223</v>
      </c>
      <c r="F14" s="98">
        <f t="shared" ref="F14:F25" si="1">IF(C14=0,0,E14/C14)</f>
        <v>0.13484525454489804</v>
      </c>
    </row>
    <row r="15" spans="1:6" ht="18" customHeight="1" x14ac:dyDescent="0.25">
      <c r="A15" s="99">
        <v>2</v>
      </c>
      <c r="B15" s="100" t="s">
        <v>113</v>
      </c>
      <c r="C15" s="97">
        <v>29640715</v>
      </c>
      <c r="D15" s="97">
        <v>34882527</v>
      </c>
      <c r="E15" s="97">
        <f t="shared" si="0"/>
        <v>5241812</v>
      </c>
      <c r="F15" s="98">
        <f t="shared" si="1"/>
        <v>0.17684499176217577</v>
      </c>
    </row>
    <row r="16" spans="1:6" ht="18" customHeight="1" x14ac:dyDescent="0.25">
      <c r="A16" s="99">
        <v>3</v>
      </c>
      <c r="B16" s="100" t="s">
        <v>114</v>
      </c>
      <c r="C16" s="97">
        <v>36369364</v>
      </c>
      <c r="D16" s="97">
        <v>42529738</v>
      </c>
      <c r="E16" s="97">
        <f t="shared" si="0"/>
        <v>6160374</v>
      </c>
      <c r="F16" s="98">
        <f t="shared" si="1"/>
        <v>0.16938360538831529</v>
      </c>
    </row>
    <row r="17" spans="1:6" ht="18" customHeight="1" x14ac:dyDescent="0.25">
      <c r="A17" s="99">
        <v>4</v>
      </c>
      <c r="B17" s="100" t="s">
        <v>115</v>
      </c>
      <c r="C17" s="97">
        <v>16718919</v>
      </c>
      <c r="D17" s="97">
        <v>20862974</v>
      </c>
      <c r="E17" s="97">
        <f t="shared" si="0"/>
        <v>4144055</v>
      </c>
      <c r="F17" s="98">
        <f t="shared" si="1"/>
        <v>0.24786620474684995</v>
      </c>
    </row>
    <row r="18" spans="1:6" ht="18" customHeight="1" x14ac:dyDescent="0.25">
      <c r="A18" s="99">
        <v>5</v>
      </c>
      <c r="B18" s="100" t="s">
        <v>116</v>
      </c>
      <c r="C18" s="97">
        <v>235250</v>
      </c>
      <c r="D18" s="97">
        <v>230354</v>
      </c>
      <c r="E18" s="97">
        <f t="shared" si="0"/>
        <v>-4896</v>
      </c>
      <c r="F18" s="98">
        <f t="shared" si="1"/>
        <v>-2.0811902231668438E-2</v>
      </c>
    </row>
    <row r="19" spans="1:6" ht="18" customHeight="1" x14ac:dyDescent="0.25">
      <c r="A19" s="99">
        <v>6</v>
      </c>
      <c r="B19" s="100" t="s">
        <v>117</v>
      </c>
      <c r="C19" s="97">
        <v>41642818</v>
      </c>
      <c r="D19" s="97">
        <v>49350781</v>
      </c>
      <c r="E19" s="97">
        <f t="shared" si="0"/>
        <v>7707963</v>
      </c>
      <c r="F19" s="98">
        <f t="shared" si="1"/>
        <v>0.18509705563153772</v>
      </c>
    </row>
    <row r="20" spans="1:6" ht="18" customHeight="1" x14ac:dyDescent="0.25">
      <c r="A20" s="99">
        <v>7</v>
      </c>
      <c r="B20" s="100" t="s">
        <v>118</v>
      </c>
      <c r="C20" s="97">
        <v>130641867</v>
      </c>
      <c r="D20" s="97">
        <v>140105310</v>
      </c>
      <c r="E20" s="97">
        <f t="shared" si="0"/>
        <v>9463443</v>
      </c>
      <c r="F20" s="98">
        <f t="shared" si="1"/>
        <v>7.243805693621938E-2</v>
      </c>
    </row>
    <row r="21" spans="1:6" ht="18" customHeight="1" x14ac:dyDescent="0.25">
      <c r="A21" s="99">
        <v>8</v>
      </c>
      <c r="B21" s="100" t="s">
        <v>119</v>
      </c>
      <c r="C21" s="97">
        <v>5143937</v>
      </c>
      <c r="D21" s="97">
        <v>6568177</v>
      </c>
      <c r="E21" s="97">
        <f t="shared" si="0"/>
        <v>1424240</v>
      </c>
      <c r="F21" s="98">
        <f t="shared" si="1"/>
        <v>0.27687741898860735</v>
      </c>
    </row>
    <row r="22" spans="1:6" ht="18" customHeight="1" x14ac:dyDescent="0.25">
      <c r="A22" s="99">
        <v>9</v>
      </c>
      <c r="B22" s="100" t="s">
        <v>120</v>
      </c>
      <c r="C22" s="97">
        <v>21486553</v>
      </c>
      <c r="D22" s="97">
        <v>19716942</v>
      </c>
      <c r="E22" s="97">
        <f t="shared" si="0"/>
        <v>-1769611</v>
      </c>
      <c r="F22" s="98">
        <f t="shared" si="1"/>
        <v>-8.235899913773978E-2</v>
      </c>
    </row>
    <row r="23" spans="1:6" ht="18" customHeight="1" x14ac:dyDescent="0.25">
      <c r="A23" s="99">
        <v>10</v>
      </c>
      <c r="B23" s="100" t="s">
        <v>121</v>
      </c>
      <c r="C23" s="97">
        <v>21092910</v>
      </c>
      <c r="D23" s="97">
        <v>19165732</v>
      </c>
      <c r="E23" s="97">
        <f t="shared" si="0"/>
        <v>-1927178</v>
      </c>
      <c r="F23" s="98">
        <f t="shared" si="1"/>
        <v>-9.1366150995761133E-2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519029050</v>
      </c>
      <c r="D25" s="103">
        <f>SUM(D14:D24)</f>
        <v>578603475</v>
      </c>
      <c r="E25" s="103">
        <f t="shared" si="0"/>
        <v>59574425</v>
      </c>
      <c r="F25" s="104">
        <f t="shared" si="1"/>
        <v>0.1147805214370949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153964334</v>
      </c>
      <c r="D27" s="97">
        <v>170983938</v>
      </c>
      <c r="E27" s="97">
        <f t="shared" ref="E27:E38" si="2">D27-C27</f>
        <v>17019604</v>
      </c>
      <c r="F27" s="98">
        <f t="shared" ref="F27:F38" si="3">IF(C27=0,0,E27/C27)</f>
        <v>0.11054251044920572</v>
      </c>
    </row>
    <row r="28" spans="1:6" ht="18" customHeight="1" x14ac:dyDescent="0.25">
      <c r="A28" s="99">
        <v>2</v>
      </c>
      <c r="B28" s="100" t="s">
        <v>113</v>
      </c>
      <c r="C28" s="97">
        <v>24255325</v>
      </c>
      <c r="D28" s="97">
        <v>27290219</v>
      </c>
      <c r="E28" s="97">
        <f t="shared" si="2"/>
        <v>3034894</v>
      </c>
      <c r="F28" s="98">
        <f t="shared" si="3"/>
        <v>0.12512279262388776</v>
      </c>
    </row>
    <row r="29" spans="1:6" ht="18" customHeight="1" x14ac:dyDescent="0.25">
      <c r="A29" s="99">
        <v>3</v>
      </c>
      <c r="B29" s="100" t="s">
        <v>114</v>
      </c>
      <c r="C29" s="97">
        <v>17569966</v>
      </c>
      <c r="D29" s="97">
        <v>20871981</v>
      </c>
      <c r="E29" s="97">
        <f t="shared" si="2"/>
        <v>3302015</v>
      </c>
      <c r="F29" s="98">
        <f t="shared" si="3"/>
        <v>0.18793519577670212</v>
      </c>
    </row>
    <row r="30" spans="1:6" ht="18" customHeight="1" x14ac:dyDescent="0.25">
      <c r="A30" s="99">
        <v>4</v>
      </c>
      <c r="B30" s="100" t="s">
        <v>115</v>
      </c>
      <c r="C30" s="97">
        <v>28297687</v>
      </c>
      <c r="D30" s="97">
        <v>37764279</v>
      </c>
      <c r="E30" s="97">
        <f t="shared" si="2"/>
        <v>9466592</v>
      </c>
      <c r="F30" s="98">
        <f t="shared" si="3"/>
        <v>0.33453589333997508</v>
      </c>
    </row>
    <row r="31" spans="1:6" ht="18" customHeight="1" x14ac:dyDescent="0.25">
      <c r="A31" s="99">
        <v>5</v>
      </c>
      <c r="B31" s="100" t="s">
        <v>116</v>
      </c>
      <c r="C31" s="97">
        <v>341637</v>
      </c>
      <c r="D31" s="97">
        <v>445996</v>
      </c>
      <c r="E31" s="97">
        <f t="shared" si="2"/>
        <v>104359</v>
      </c>
      <c r="F31" s="98">
        <f t="shared" si="3"/>
        <v>0.30546749912919269</v>
      </c>
    </row>
    <row r="32" spans="1:6" ht="18" customHeight="1" x14ac:dyDescent="0.25">
      <c r="A32" s="99">
        <v>6</v>
      </c>
      <c r="B32" s="100" t="s">
        <v>117</v>
      </c>
      <c r="C32" s="97">
        <v>94782946</v>
      </c>
      <c r="D32" s="97">
        <v>110088975</v>
      </c>
      <c r="E32" s="97">
        <f t="shared" si="2"/>
        <v>15306029</v>
      </c>
      <c r="F32" s="98">
        <f t="shared" si="3"/>
        <v>0.1614850523848457</v>
      </c>
    </row>
    <row r="33" spans="1:6" ht="18" customHeight="1" x14ac:dyDescent="0.25">
      <c r="A33" s="99">
        <v>7</v>
      </c>
      <c r="B33" s="100" t="s">
        <v>118</v>
      </c>
      <c r="C33" s="97">
        <v>261111452</v>
      </c>
      <c r="D33" s="97">
        <v>278554974</v>
      </c>
      <c r="E33" s="97">
        <f t="shared" si="2"/>
        <v>17443522</v>
      </c>
      <c r="F33" s="98">
        <f t="shared" si="3"/>
        <v>6.6804890656423602E-2</v>
      </c>
    </row>
    <row r="34" spans="1:6" ht="18" customHeight="1" x14ac:dyDescent="0.25">
      <c r="A34" s="99">
        <v>8</v>
      </c>
      <c r="B34" s="100" t="s">
        <v>119</v>
      </c>
      <c r="C34" s="97">
        <v>7325470</v>
      </c>
      <c r="D34" s="97">
        <v>7317073</v>
      </c>
      <c r="E34" s="97">
        <f t="shared" si="2"/>
        <v>-8397</v>
      </c>
      <c r="F34" s="98">
        <f t="shared" si="3"/>
        <v>-1.146274573508594E-3</v>
      </c>
    </row>
    <row r="35" spans="1:6" ht="18" customHeight="1" x14ac:dyDescent="0.25">
      <c r="A35" s="99">
        <v>9</v>
      </c>
      <c r="B35" s="100" t="s">
        <v>120</v>
      </c>
      <c r="C35" s="97">
        <v>38147950</v>
      </c>
      <c r="D35" s="97">
        <v>43856299</v>
      </c>
      <c r="E35" s="97">
        <f t="shared" si="2"/>
        <v>5708349</v>
      </c>
      <c r="F35" s="98">
        <f t="shared" si="3"/>
        <v>0.14963711025100956</v>
      </c>
    </row>
    <row r="36" spans="1:6" ht="18" customHeight="1" x14ac:dyDescent="0.25">
      <c r="A36" s="99">
        <v>10</v>
      </c>
      <c r="B36" s="100" t="s">
        <v>121</v>
      </c>
      <c r="C36" s="97">
        <v>12191496</v>
      </c>
      <c r="D36" s="97">
        <v>12848512</v>
      </c>
      <c r="E36" s="97">
        <f t="shared" si="2"/>
        <v>657016</v>
      </c>
      <c r="F36" s="98">
        <f t="shared" si="3"/>
        <v>5.3891335402972695E-2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637988263</v>
      </c>
      <c r="D38" s="103">
        <f>SUM(D27:D37)</f>
        <v>710022246</v>
      </c>
      <c r="E38" s="103">
        <f t="shared" si="2"/>
        <v>72033983</v>
      </c>
      <c r="F38" s="104">
        <f t="shared" si="3"/>
        <v>0.11290800658506785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370021051</v>
      </c>
      <c r="D41" s="103">
        <f t="shared" si="4"/>
        <v>416174878</v>
      </c>
      <c r="E41" s="107">
        <f t="shared" ref="E41:E52" si="5">D41-C41</f>
        <v>46153827</v>
      </c>
      <c r="F41" s="108">
        <f t="shared" ref="F41:F52" si="6">IF(C41=0,0,E41/C41)</f>
        <v>0.12473297634085148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53896040</v>
      </c>
      <c r="D42" s="103">
        <f t="shared" si="4"/>
        <v>62172746</v>
      </c>
      <c r="E42" s="107">
        <f t="shared" si="5"/>
        <v>8276706</v>
      </c>
      <c r="F42" s="108">
        <f t="shared" si="6"/>
        <v>0.15356798013360537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53939330</v>
      </c>
      <c r="D43" s="103">
        <f t="shared" si="4"/>
        <v>63401719</v>
      </c>
      <c r="E43" s="107">
        <f t="shared" si="5"/>
        <v>9462389</v>
      </c>
      <c r="F43" s="108">
        <f t="shared" si="6"/>
        <v>0.17542652087076349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45016606</v>
      </c>
      <c r="D44" s="103">
        <f t="shared" si="4"/>
        <v>58627253</v>
      </c>
      <c r="E44" s="107">
        <f t="shared" si="5"/>
        <v>13610647</v>
      </c>
      <c r="F44" s="108">
        <f t="shared" si="6"/>
        <v>0.30234724936837754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576887</v>
      </c>
      <c r="D45" s="103">
        <f t="shared" si="4"/>
        <v>676350</v>
      </c>
      <c r="E45" s="107">
        <f t="shared" si="5"/>
        <v>99463</v>
      </c>
      <c r="F45" s="108">
        <f t="shared" si="6"/>
        <v>0.17241331491262588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136425764</v>
      </c>
      <c r="D46" s="103">
        <f t="shared" si="4"/>
        <v>159439756</v>
      </c>
      <c r="E46" s="107">
        <f t="shared" si="5"/>
        <v>23013992</v>
      </c>
      <c r="F46" s="108">
        <f t="shared" si="6"/>
        <v>0.16869241795120166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391753319</v>
      </c>
      <c r="D47" s="103">
        <f t="shared" si="4"/>
        <v>418660284</v>
      </c>
      <c r="E47" s="107">
        <f t="shared" si="5"/>
        <v>26906965</v>
      </c>
      <c r="F47" s="108">
        <f t="shared" si="6"/>
        <v>6.8683438518615331E-2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12469407</v>
      </c>
      <c r="D48" s="103">
        <f t="shared" si="4"/>
        <v>13885250</v>
      </c>
      <c r="E48" s="107">
        <f t="shared" si="5"/>
        <v>1415843</v>
      </c>
      <c r="F48" s="108">
        <f t="shared" si="6"/>
        <v>0.11354533539566075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59634503</v>
      </c>
      <c r="D49" s="103">
        <f t="shared" si="4"/>
        <v>63573241</v>
      </c>
      <c r="E49" s="107">
        <f t="shared" si="5"/>
        <v>3938738</v>
      </c>
      <c r="F49" s="108">
        <f t="shared" si="6"/>
        <v>6.604797226196385E-2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33284406</v>
      </c>
      <c r="D50" s="103">
        <f t="shared" si="4"/>
        <v>32014244</v>
      </c>
      <c r="E50" s="107">
        <f t="shared" si="5"/>
        <v>-1270162</v>
      </c>
      <c r="F50" s="108">
        <f t="shared" si="6"/>
        <v>-3.8160873293036988E-2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1157017313</v>
      </c>
      <c r="D52" s="112">
        <f>SUM(D41:D51)</f>
        <v>1288625721</v>
      </c>
      <c r="E52" s="111">
        <f t="shared" si="5"/>
        <v>131608408</v>
      </c>
      <c r="F52" s="113">
        <f t="shared" si="6"/>
        <v>0.11374800231705781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62259652</v>
      </c>
      <c r="D57" s="97">
        <v>67306294</v>
      </c>
      <c r="E57" s="97">
        <f t="shared" ref="E57:E68" si="7">D57-C57</f>
        <v>5046642</v>
      </c>
      <c r="F57" s="98">
        <f t="shared" ref="F57:F68" si="8">IF(C57=0,0,E57/C57)</f>
        <v>8.1057985997094878E-2</v>
      </c>
    </row>
    <row r="58" spans="1:6" ht="18" customHeight="1" x14ac:dyDescent="0.25">
      <c r="A58" s="99">
        <v>2</v>
      </c>
      <c r="B58" s="100" t="s">
        <v>113</v>
      </c>
      <c r="C58" s="97">
        <v>7580994</v>
      </c>
      <c r="D58" s="97">
        <v>9172775</v>
      </c>
      <c r="E58" s="97">
        <f t="shared" si="7"/>
        <v>1591781</v>
      </c>
      <c r="F58" s="98">
        <f t="shared" si="8"/>
        <v>0.2099699590845211</v>
      </c>
    </row>
    <row r="59" spans="1:6" ht="18" customHeight="1" x14ac:dyDescent="0.25">
      <c r="A59" s="99">
        <v>3</v>
      </c>
      <c r="B59" s="100" t="s">
        <v>114</v>
      </c>
      <c r="C59" s="97">
        <v>9251605</v>
      </c>
      <c r="D59" s="97">
        <v>7374370</v>
      </c>
      <c r="E59" s="97">
        <f t="shared" si="7"/>
        <v>-1877235</v>
      </c>
      <c r="F59" s="98">
        <f t="shared" si="8"/>
        <v>-0.20290911685053567</v>
      </c>
    </row>
    <row r="60" spans="1:6" ht="18" customHeight="1" x14ac:dyDescent="0.25">
      <c r="A60" s="99">
        <v>4</v>
      </c>
      <c r="B60" s="100" t="s">
        <v>115</v>
      </c>
      <c r="C60" s="97">
        <v>4621868</v>
      </c>
      <c r="D60" s="97">
        <v>4340568</v>
      </c>
      <c r="E60" s="97">
        <f t="shared" si="7"/>
        <v>-281300</v>
      </c>
      <c r="F60" s="98">
        <f t="shared" si="8"/>
        <v>-6.0862837277049019E-2</v>
      </c>
    </row>
    <row r="61" spans="1:6" ht="18" customHeight="1" x14ac:dyDescent="0.25">
      <c r="A61" s="99">
        <v>5</v>
      </c>
      <c r="B61" s="100" t="s">
        <v>116</v>
      </c>
      <c r="C61" s="97">
        <v>53861</v>
      </c>
      <c r="D61" s="97">
        <v>59886</v>
      </c>
      <c r="E61" s="97">
        <f t="shared" si="7"/>
        <v>6025</v>
      </c>
      <c r="F61" s="98">
        <f t="shared" si="8"/>
        <v>0.11186201518724123</v>
      </c>
    </row>
    <row r="62" spans="1:6" ht="18" customHeight="1" x14ac:dyDescent="0.25">
      <c r="A62" s="99">
        <v>6</v>
      </c>
      <c r="B62" s="100" t="s">
        <v>117</v>
      </c>
      <c r="C62" s="97">
        <v>21126598</v>
      </c>
      <c r="D62" s="97">
        <v>22100605</v>
      </c>
      <c r="E62" s="97">
        <f t="shared" si="7"/>
        <v>974007</v>
      </c>
      <c r="F62" s="98">
        <f t="shared" si="8"/>
        <v>4.6103352749931624E-2</v>
      </c>
    </row>
    <row r="63" spans="1:6" ht="18" customHeight="1" x14ac:dyDescent="0.25">
      <c r="A63" s="99">
        <v>7</v>
      </c>
      <c r="B63" s="100" t="s">
        <v>118</v>
      </c>
      <c r="C63" s="97">
        <v>50937545</v>
      </c>
      <c r="D63" s="97">
        <v>53547197</v>
      </c>
      <c r="E63" s="97">
        <f t="shared" si="7"/>
        <v>2609652</v>
      </c>
      <c r="F63" s="98">
        <f t="shared" si="8"/>
        <v>5.1232386641327142E-2</v>
      </c>
    </row>
    <row r="64" spans="1:6" ht="18" customHeight="1" x14ac:dyDescent="0.25">
      <c r="A64" s="99">
        <v>8</v>
      </c>
      <c r="B64" s="100" t="s">
        <v>119</v>
      </c>
      <c r="C64" s="97">
        <v>3261402</v>
      </c>
      <c r="D64" s="97">
        <v>3131492</v>
      </c>
      <c r="E64" s="97">
        <f t="shared" si="7"/>
        <v>-129910</v>
      </c>
      <c r="F64" s="98">
        <f t="shared" si="8"/>
        <v>-3.9832562805811732E-2</v>
      </c>
    </row>
    <row r="65" spans="1:6" ht="18" customHeight="1" x14ac:dyDescent="0.25">
      <c r="A65" s="99">
        <v>9</v>
      </c>
      <c r="B65" s="100" t="s">
        <v>120</v>
      </c>
      <c r="C65" s="97">
        <v>473462</v>
      </c>
      <c r="D65" s="97">
        <v>577992</v>
      </c>
      <c r="E65" s="97">
        <f t="shared" si="7"/>
        <v>104530</v>
      </c>
      <c r="F65" s="98">
        <f t="shared" si="8"/>
        <v>0.22077801386383702</v>
      </c>
    </row>
    <row r="66" spans="1:6" ht="18" customHeight="1" x14ac:dyDescent="0.25">
      <c r="A66" s="99">
        <v>10</v>
      </c>
      <c r="B66" s="100" t="s">
        <v>121</v>
      </c>
      <c r="C66" s="97">
        <v>2167500</v>
      </c>
      <c r="D66" s="97">
        <v>1142274</v>
      </c>
      <c r="E66" s="97">
        <f t="shared" si="7"/>
        <v>-1025226</v>
      </c>
      <c r="F66" s="98">
        <f t="shared" si="8"/>
        <v>-0.4729993079584775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161734487</v>
      </c>
      <c r="D68" s="103">
        <f>SUM(D57:D67)</f>
        <v>168753453</v>
      </c>
      <c r="E68" s="103">
        <f t="shared" si="7"/>
        <v>7018966</v>
      </c>
      <c r="F68" s="104">
        <f t="shared" si="8"/>
        <v>4.3398078728873697E-2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22676376</v>
      </c>
      <c r="D70" s="97">
        <v>22351254</v>
      </c>
      <c r="E70" s="97">
        <f t="shared" ref="E70:E81" si="9">D70-C70</f>
        <v>-325122</v>
      </c>
      <c r="F70" s="98">
        <f t="shared" ref="F70:F81" si="10">IF(C70=0,0,E70/C70)</f>
        <v>-1.4337476146982216E-2</v>
      </c>
    </row>
    <row r="71" spans="1:6" ht="18" customHeight="1" x14ac:dyDescent="0.25">
      <c r="A71" s="99">
        <v>2</v>
      </c>
      <c r="B71" s="100" t="s">
        <v>113</v>
      </c>
      <c r="C71" s="97">
        <v>3516547</v>
      </c>
      <c r="D71" s="97">
        <v>3654965</v>
      </c>
      <c r="E71" s="97">
        <f t="shared" si="9"/>
        <v>138418</v>
      </c>
      <c r="F71" s="98">
        <f t="shared" si="10"/>
        <v>3.9361908144552031E-2</v>
      </c>
    </row>
    <row r="72" spans="1:6" ht="18" customHeight="1" x14ac:dyDescent="0.25">
      <c r="A72" s="99">
        <v>3</v>
      </c>
      <c r="B72" s="100" t="s">
        <v>114</v>
      </c>
      <c r="C72" s="97">
        <v>2984227</v>
      </c>
      <c r="D72" s="97">
        <v>3075188</v>
      </c>
      <c r="E72" s="97">
        <f t="shared" si="9"/>
        <v>90961</v>
      </c>
      <c r="F72" s="98">
        <f t="shared" si="10"/>
        <v>3.0480590115966381E-2</v>
      </c>
    </row>
    <row r="73" spans="1:6" ht="18" customHeight="1" x14ac:dyDescent="0.25">
      <c r="A73" s="99">
        <v>4</v>
      </c>
      <c r="B73" s="100" t="s">
        <v>115</v>
      </c>
      <c r="C73" s="97">
        <v>5003005</v>
      </c>
      <c r="D73" s="97">
        <v>6710106</v>
      </c>
      <c r="E73" s="97">
        <f t="shared" si="9"/>
        <v>1707101</v>
      </c>
      <c r="F73" s="98">
        <f t="shared" si="10"/>
        <v>0.34121512970704604</v>
      </c>
    </row>
    <row r="74" spans="1:6" ht="18" customHeight="1" x14ac:dyDescent="0.25">
      <c r="A74" s="99">
        <v>5</v>
      </c>
      <c r="B74" s="100" t="s">
        <v>116</v>
      </c>
      <c r="C74" s="97">
        <v>126599</v>
      </c>
      <c r="D74" s="97">
        <v>50252</v>
      </c>
      <c r="E74" s="97">
        <f t="shared" si="9"/>
        <v>-76347</v>
      </c>
      <c r="F74" s="98">
        <f t="shared" si="10"/>
        <v>-0.60306163555794279</v>
      </c>
    </row>
    <row r="75" spans="1:6" ht="18" customHeight="1" x14ac:dyDescent="0.25">
      <c r="A75" s="99">
        <v>6</v>
      </c>
      <c r="B75" s="100" t="s">
        <v>117</v>
      </c>
      <c r="C75" s="97">
        <v>58993535</v>
      </c>
      <c r="D75" s="97">
        <v>56391375</v>
      </c>
      <c r="E75" s="97">
        <f t="shared" si="9"/>
        <v>-2602160</v>
      </c>
      <c r="F75" s="98">
        <f t="shared" si="10"/>
        <v>-4.4109240105716666E-2</v>
      </c>
    </row>
    <row r="76" spans="1:6" ht="18" customHeight="1" x14ac:dyDescent="0.25">
      <c r="A76" s="99">
        <v>7</v>
      </c>
      <c r="B76" s="100" t="s">
        <v>118</v>
      </c>
      <c r="C76" s="97">
        <v>118143235</v>
      </c>
      <c r="D76" s="97">
        <v>126633750</v>
      </c>
      <c r="E76" s="97">
        <f t="shared" si="9"/>
        <v>8490515</v>
      </c>
      <c r="F76" s="98">
        <f t="shared" si="10"/>
        <v>7.1866281636862234E-2</v>
      </c>
    </row>
    <row r="77" spans="1:6" ht="18" customHeight="1" x14ac:dyDescent="0.25">
      <c r="A77" s="99">
        <v>8</v>
      </c>
      <c r="B77" s="100" t="s">
        <v>119</v>
      </c>
      <c r="C77" s="97">
        <v>5020545</v>
      </c>
      <c r="D77" s="97">
        <v>4920568</v>
      </c>
      <c r="E77" s="97">
        <f t="shared" si="9"/>
        <v>-99977</v>
      </c>
      <c r="F77" s="98">
        <f t="shared" si="10"/>
        <v>-1.9913575119832608E-2</v>
      </c>
    </row>
    <row r="78" spans="1:6" ht="18" customHeight="1" x14ac:dyDescent="0.25">
      <c r="A78" s="99">
        <v>9</v>
      </c>
      <c r="B78" s="100" t="s">
        <v>120</v>
      </c>
      <c r="C78" s="97">
        <v>1764297</v>
      </c>
      <c r="D78" s="97">
        <v>1586852</v>
      </c>
      <c r="E78" s="97">
        <f t="shared" si="9"/>
        <v>-177445</v>
      </c>
      <c r="F78" s="98">
        <f t="shared" si="10"/>
        <v>-0.10057547000306638</v>
      </c>
    </row>
    <row r="79" spans="1:6" ht="18" customHeight="1" x14ac:dyDescent="0.25">
      <c r="A79" s="99">
        <v>10</v>
      </c>
      <c r="B79" s="100" t="s">
        <v>121</v>
      </c>
      <c r="C79" s="97">
        <v>1493424</v>
      </c>
      <c r="D79" s="97">
        <v>859141</v>
      </c>
      <c r="E79" s="97">
        <f t="shared" si="9"/>
        <v>-634283</v>
      </c>
      <c r="F79" s="98">
        <f t="shared" si="10"/>
        <v>-0.42471729395001018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219721790</v>
      </c>
      <c r="D81" s="103">
        <f>SUM(D70:D80)</f>
        <v>226233451</v>
      </c>
      <c r="E81" s="103">
        <f t="shared" si="9"/>
        <v>6511661</v>
      </c>
      <c r="F81" s="104">
        <f t="shared" si="10"/>
        <v>2.9635936426696687E-2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84936028</v>
      </c>
      <c r="D84" s="103">
        <f t="shared" si="11"/>
        <v>89657548</v>
      </c>
      <c r="E84" s="103">
        <f t="shared" ref="E84:E95" si="12">D84-C84</f>
        <v>4721520</v>
      </c>
      <c r="F84" s="104">
        <f t="shared" ref="F84:F95" si="13">IF(C84=0,0,E84/C84)</f>
        <v>5.558913115174164E-2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11097541</v>
      </c>
      <c r="D85" s="103">
        <f t="shared" si="11"/>
        <v>12827740</v>
      </c>
      <c r="E85" s="103">
        <f t="shared" si="12"/>
        <v>1730199</v>
      </c>
      <c r="F85" s="104">
        <f t="shared" si="13"/>
        <v>0.15590832239322205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12235832</v>
      </c>
      <c r="D86" s="103">
        <f t="shared" si="11"/>
        <v>10449558</v>
      </c>
      <c r="E86" s="103">
        <f t="shared" si="12"/>
        <v>-1786274</v>
      </c>
      <c r="F86" s="104">
        <f t="shared" si="13"/>
        <v>-0.14598713025808135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9624873</v>
      </c>
      <c r="D87" s="103">
        <f t="shared" si="11"/>
        <v>11050674</v>
      </c>
      <c r="E87" s="103">
        <f t="shared" si="12"/>
        <v>1425801</v>
      </c>
      <c r="F87" s="104">
        <f t="shared" si="13"/>
        <v>0.14813712347165517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180460</v>
      </c>
      <c r="D88" s="103">
        <f t="shared" si="11"/>
        <v>110138</v>
      </c>
      <c r="E88" s="103">
        <f t="shared" si="12"/>
        <v>-70322</v>
      </c>
      <c r="F88" s="104">
        <f t="shared" si="13"/>
        <v>-0.38968192397207135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80120133</v>
      </c>
      <c r="D89" s="103">
        <f t="shared" si="11"/>
        <v>78491980</v>
      </c>
      <c r="E89" s="103">
        <f t="shared" si="12"/>
        <v>-1628153</v>
      </c>
      <c r="F89" s="104">
        <f t="shared" si="13"/>
        <v>-2.0321396620746997E-2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169080780</v>
      </c>
      <c r="D90" s="103">
        <f t="shared" si="11"/>
        <v>180180947</v>
      </c>
      <c r="E90" s="103">
        <f t="shared" si="12"/>
        <v>11100167</v>
      </c>
      <c r="F90" s="104">
        <f t="shared" si="13"/>
        <v>6.5650081576392072E-2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8281947</v>
      </c>
      <c r="D91" s="103">
        <f t="shared" si="11"/>
        <v>8052060</v>
      </c>
      <c r="E91" s="103">
        <f t="shared" si="12"/>
        <v>-229887</v>
      </c>
      <c r="F91" s="104">
        <f t="shared" si="13"/>
        <v>-2.775760337514838E-2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2237759</v>
      </c>
      <c r="D92" s="103">
        <f t="shared" si="11"/>
        <v>2164844</v>
      </c>
      <c r="E92" s="103">
        <f t="shared" si="12"/>
        <v>-72915</v>
      </c>
      <c r="F92" s="104">
        <f t="shared" si="13"/>
        <v>-3.2583937769884962E-2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3660924</v>
      </c>
      <c r="D93" s="103">
        <f t="shared" si="11"/>
        <v>2001415</v>
      </c>
      <c r="E93" s="103">
        <f t="shared" si="12"/>
        <v>-1659509</v>
      </c>
      <c r="F93" s="104">
        <f t="shared" si="13"/>
        <v>-0.45330331905278559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381456277</v>
      </c>
      <c r="D95" s="112">
        <f>SUM(D84:D94)</f>
        <v>394986904</v>
      </c>
      <c r="E95" s="112">
        <f t="shared" si="12"/>
        <v>13530627</v>
      </c>
      <c r="F95" s="113">
        <f t="shared" si="13"/>
        <v>3.5470977450975334E-2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4487</v>
      </c>
      <c r="D100" s="117">
        <v>4696</v>
      </c>
      <c r="E100" s="117">
        <f t="shared" ref="E100:E111" si="14">D100-C100</f>
        <v>209</v>
      </c>
      <c r="F100" s="98">
        <f t="shared" ref="F100:F111" si="15">IF(C100=0,0,E100/C100)</f>
        <v>4.6579006017383552E-2</v>
      </c>
    </row>
    <row r="101" spans="1:6" ht="18" customHeight="1" x14ac:dyDescent="0.25">
      <c r="A101" s="99">
        <v>2</v>
      </c>
      <c r="B101" s="100" t="s">
        <v>113</v>
      </c>
      <c r="C101" s="117">
        <v>606</v>
      </c>
      <c r="D101" s="117">
        <v>686</v>
      </c>
      <c r="E101" s="117">
        <f t="shared" si="14"/>
        <v>80</v>
      </c>
      <c r="F101" s="98">
        <f t="shared" si="15"/>
        <v>0.132013201320132</v>
      </c>
    </row>
    <row r="102" spans="1:6" ht="18" customHeight="1" x14ac:dyDescent="0.25">
      <c r="A102" s="99">
        <v>3</v>
      </c>
      <c r="B102" s="100" t="s">
        <v>114</v>
      </c>
      <c r="C102" s="117">
        <v>1363</v>
      </c>
      <c r="D102" s="117">
        <v>1434</v>
      </c>
      <c r="E102" s="117">
        <f t="shared" si="14"/>
        <v>71</v>
      </c>
      <c r="F102" s="98">
        <f t="shared" si="15"/>
        <v>5.2090975788701394E-2</v>
      </c>
    </row>
    <row r="103" spans="1:6" ht="18" customHeight="1" x14ac:dyDescent="0.25">
      <c r="A103" s="99">
        <v>4</v>
      </c>
      <c r="B103" s="100" t="s">
        <v>115</v>
      </c>
      <c r="C103" s="117">
        <v>922</v>
      </c>
      <c r="D103" s="117">
        <v>1023</v>
      </c>
      <c r="E103" s="117">
        <f t="shared" si="14"/>
        <v>101</v>
      </c>
      <c r="F103" s="98">
        <f t="shared" si="15"/>
        <v>0.10954446854663774</v>
      </c>
    </row>
    <row r="104" spans="1:6" ht="18" customHeight="1" x14ac:dyDescent="0.25">
      <c r="A104" s="99">
        <v>5</v>
      </c>
      <c r="B104" s="100" t="s">
        <v>116</v>
      </c>
      <c r="C104" s="117">
        <v>11</v>
      </c>
      <c r="D104" s="117">
        <v>13</v>
      </c>
      <c r="E104" s="117">
        <f t="shared" si="14"/>
        <v>2</v>
      </c>
      <c r="F104" s="98">
        <f t="shared" si="15"/>
        <v>0.18181818181818182</v>
      </c>
    </row>
    <row r="105" spans="1:6" ht="18" customHeight="1" x14ac:dyDescent="0.25">
      <c r="A105" s="99">
        <v>6</v>
      </c>
      <c r="B105" s="100" t="s">
        <v>117</v>
      </c>
      <c r="C105" s="117">
        <v>1522</v>
      </c>
      <c r="D105" s="117">
        <v>1504</v>
      </c>
      <c r="E105" s="117">
        <f t="shared" si="14"/>
        <v>-18</v>
      </c>
      <c r="F105" s="98">
        <f t="shared" si="15"/>
        <v>-1.1826544021024968E-2</v>
      </c>
    </row>
    <row r="106" spans="1:6" ht="18" customHeight="1" x14ac:dyDescent="0.25">
      <c r="A106" s="99">
        <v>7</v>
      </c>
      <c r="B106" s="100" t="s">
        <v>118</v>
      </c>
      <c r="C106" s="117">
        <v>4833</v>
      </c>
      <c r="D106" s="117">
        <v>4703</v>
      </c>
      <c r="E106" s="117">
        <f t="shared" si="14"/>
        <v>-130</v>
      </c>
      <c r="F106" s="98">
        <f t="shared" si="15"/>
        <v>-2.6898406786674944E-2</v>
      </c>
    </row>
    <row r="107" spans="1:6" ht="18" customHeight="1" x14ac:dyDescent="0.25">
      <c r="A107" s="99">
        <v>8</v>
      </c>
      <c r="B107" s="100" t="s">
        <v>119</v>
      </c>
      <c r="C107" s="117">
        <v>83</v>
      </c>
      <c r="D107" s="117">
        <v>90</v>
      </c>
      <c r="E107" s="117">
        <f t="shared" si="14"/>
        <v>7</v>
      </c>
      <c r="F107" s="98">
        <f t="shared" si="15"/>
        <v>8.4337349397590355E-2</v>
      </c>
    </row>
    <row r="108" spans="1:6" ht="18" customHeight="1" x14ac:dyDescent="0.25">
      <c r="A108" s="99">
        <v>9</v>
      </c>
      <c r="B108" s="100" t="s">
        <v>120</v>
      </c>
      <c r="C108" s="117">
        <v>590</v>
      </c>
      <c r="D108" s="117">
        <v>490</v>
      </c>
      <c r="E108" s="117">
        <f t="shared" si="14"/>
        <v>-100</v>
      </c>
      <c r="F108" s="98">
        <f t="shared" si="15"/>
        <v>-0.16949152542372881</v>
      </c>
    </row>
    <row r="109" spans="1:6" ht="18" customHeight="1" x14ac:dyDescent="0.25">
      <c r="A109" s="99">
        <v>10</v>
      </c>
      <c r="B109" s="100" t="s">
        <v>121</v>
      </c>
      <c r="C109" s="117">
        <v>471</v>
      </c>
      <c r="D109" s="117">
        <v>450</v>
      </c>
      <c r="E109" s="117">
        <f t="shared" si="14"/>
        <v>-21</v>
      </c>
      <c r="F109" s="98">
        <f t="shared" si="15"/>
        <v>-4.4585987261146494E-2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14888</v>
      </c>
      <c r="D111" s="118">
        <f>SUM(D100:D110)</f>
        <v>15089</v>
      </c>
      <c r="E111" s="118">
        <f t="shared" si="14"/>
        <v>201</v>
      </c>
      <c r="F111" s="104">
        <f t="shared" si="15"/>
        <v>1.3500806018269747E-2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30298</v>
      </c>
      <c r="D113" s="117">
        <v>31568</v>
      </c>
      <c r="E113" s="117">
        <f t="shared" ref="E113:E124" si="16">D113-C113</f>
        <v>1270</v>
      </c>
      <c r="F113" s="98">
        <f t="shared" ref="F113:F124" si="17">IF(C113=0,0,E113/C113)</f>
        <v>4.19169582150637E-2</v>
      </c>
    </row>
    <row r="114" spans="1:6" ht="18" customHeight="1" x14ac:dyDescent="0.25">
      <c r="A114" s="99">
        <v>2</v>
      </c>
      <c r="B114" s="100" t="s">
        <v>113</v>
      </c>
      <c r="C114" s="117">
        <v>3722</v>
      </c>
      <c r="D114" s="117">
        <v>4324</v>
      </c>
      <c r="E114" s="117">
        <f t="shared" si="16"/>
        <v>602</v>
      </c>
      <c r="F114" s="98">
        <f t="shared" si="17"/>
        <v>0.16174099946265449</v>
      </c>
    </row>
    <row r="115" spans="1:6" ht="18" customHeight="1" x14ac:dyDescent="0.25">
      <c r="A115" s="99">
        <v>3</v>
      </c>
      <c r="B115" s="100" t="s">
        <v>114</v>
      </c>
      <c r="C115" s="117">
        <v>6979</v>
      </c>
      <c r="D115" s="117">
        <v>7438</v>
      </c>
      <c r="E115" s="117">
        <f t="shared" si="16"/>
        <v>459</v>
      </c>
      <c r="F115" s="98">
        <f t="shared" si="17"/>
        <v>6.5768734775755844E-2</v>
      </c>
    </row>
    <row r="116" spans="1:6" ht="18" customHeight="1" x14ac:dyDescent="0.25">
      <c r="A116" s="99">
        <v>4</v>
      </c>
      <c r="B116" s="100" t="s">
        <v>115</v>
      </c>
      <c r="C116" s="117">
        <v>3165</v>
      </c>
      <c r="D116" s="117">
        <v>3536</v>
      </c>
      <c r="E116" s="117">
        <f t="shared" si="16"/>
        <v>371</v>
      </c>
      <c r="F116" s="98">
        <f t="shared" si="17"/>
        <v>0.11721958925750395</v>
      </c>
    </row>
    <row r="117" spans="1:6" ht="18" customHeight="1" x14ac:dyDescent="0.25">
      <c r="A117" s="99">
        <v>5</v>
      </c>
      <c r="B117" s="100" t="s">
        <v>116</v>
      </c>
      <c r="C117" s="117">
        <v>34</v>
      </c>
      <c r="D117" s="117">
        <v>51</v>
      </c>
      <c r="E117" s="117">
        <f t="shared" si="16"/>
        <v>17</v>
      </c>
      <c r="F117" s="98">
        <f t="shared" si="17"/>
        <v>0.5</v>
      </c>
    </row>
    <row r="118" spans="1:6" ht="18" customHeight="1" x14ac:dyDescent="0.25">
      <c r="A118" s="99">
        <v>6</v>
      </c>
      <c r="B118" s="100" t="s">
        <v>117</v>
      </c>
      <c r="C118" s="117">
        <v>5662</v>
      </c>
      <c r="D118" s="117">
        <v>5428</v>
      </c>
      <c r="E118" s="117">
        <f t="shared" si="16"/>
        <v>-234</v>
      </c>
      <c r="F118" s="98">
        <f t="shared" si="17"/>
        <v>-4.1328152596255739E-2</v>
      </c>
    </row>
    <row r="119" spans="1:6" ht="18" customHeight="1" x14ac:dyDescent="0.25">
      <c r="A119" s="99">
        <v>7</v>
      </c>
      <c r="B119" s="100" t="s">
        <v>118</v>
      </c>
      <c r="C119" s="117">
        <v>18917</v>
      </c>
      <c r="D119" s="117">
        <v>18310</v>
      </c>
      <c r="E119" s="117">
        <f t="shared" si="16"/>
        <v>-607</v>
      </c>
      <c r="F119" s="98">
        <f t="shared" si="17"/>
        <v>-3.2087540307659777E-2</v>
      </c>
    </row>
    <row r="120" spans="1:6" ht="18" customHeight="1" x14ac:dyDescent="0.25">
      <c r="A120" s="99">
        <v>8</v>
      </c>
      <c r="B120" s="100" t="s">
        <v>119</v>
      </c>
      <c r="C120" s="117">
        <v>415</v>
      </c>
      <c r="D120" s="117">
        <v>392</v>
      </c>
      <c r="E120" s="117">
        <f t="shared" si="16"/>
        <v>-23</v>
      </c>
      <c r="F120" s="98">
        <f t="shared" si="17"/>
        <v>-5.5421686746987948E-2</v>
      </c>
    </row>
    <row r="121" spans="1:6" ht="18" customHeight="1" x14ac:dyDescent="0.25">
      <c r="A121" s="99">
        <v>9</v>
      </c>
      <c r="B121" s="100" t="s">
        <v>120</v>
      </c>
      <c r="C121" s="117">
        <v>2636</v>
      </c>
      <c r="D121" s="117">
        <v>1826</v>
      </c>
      <c r="E121" s="117">
        <f t="shared" si="16"/>
        <v>-810</v>
      </c>
      <c r="F121" s="98">
        <f t="shared" si="17"/>
        <v>-0.30728376327769347</v>
      </c>
    </row>
    <row r="122" spans="1:6" ht="18" customHeight="1" x14ac:dyDescent="0.25">
      <c r="A122" s="99">
        <v>10</v>
      </c>
      <c r="B122" s="100" t="s">
        <v>121</v>
      </c>
      <c r="C122" s="117">
        <v>3444</v>
      </c>
      <c r="D122" s="117">
        <v>3352</v>
      </c>
      <c r="E122" s="117">
        <f t="shared" si="16"/>
        <v>-92</v>
      </c>
      <c r="F122" s="98">
        <f t="shared" si="17"/>
        <v>-2.6713124274099883E-2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75272</v>
      </c>
      <c r="D124" s="118">
        <f>SUM(D113:D123)</f>
        <v>76225</v>
      </c>
      <c r="E124" s="118">
        <f t="shared" si="16"/>
        <v>953</v>
      </c>
      <c r="F124" s="104">
        <f t="shared" si="17"/>
        <v>1.2660750345413965E-2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53834</v>
      </c>
      <c r="D126" s="117">
        <v>56805</v>
      </c>
      <c r="E126" s="117">
        <f t="shared" ref="E126:E137" si="18">D126-C126</f>
        <v>2971</v>
      </c>
      <c r="F126" s="98">
        <f t="shared" ref="F126:F137" si="19">IF(C126=0,0,E126/C126)</f>
        <v>5.518817104432143E-2</v>
      </c>
    </row>
    <row r="127" spans="1:6" ht="18" customHeight="1" x14ac:dyDescent="0.25">
      <c r="A127" s="99">
        <v>2</v>
      </c>
      <c r="B127" s="100" t="s">
        <v>113</v>
      </c>
      <c r="C127" s="117">
        <v>8295</v>
      </c>
      <c r="D127" s="117">
        <v>9967</v>
      </c>
      <c r="E127" s="117">
        <f t="shared" si="18"/>
        <v>1672</v>
      </c>
      <c r="F127" s="98">
        <f t="shared" si="19"/>
        <v>0.20156720916214588</v>
      </c>
    </row>
    <row r="128" spans="1:6" ht="18" customHeight="1" x14ac:dyDescent="0.25">
      <c r="A128" s="99">
        <v>3</v>
      </c>
      <c r="B128" s="100" t="s">
        <v>114</v>
      </c>
      <c r="C128" s="117">
        <v>8826</v>
      </c>
      <c r="D128" s="117">
        <v>8600</v>
      </c>
      <c r="E128" s="117">
        <f t="shared" si="18"/>
        <v>-226</v>
      </c>
      <c r="F128" s="98">
        <f t="shared" si="19"/>
        <v>-2.5606163607523227E-2</v>
      </c>
    </row>
    <row r="129" spans="1:6" ht="18" customHeight="1" x14ac:dyDescent="0.25">
      <c r="A129" s="99">
        <v>4</v>
      </c>
      <c r="B129" s="100" t="s">
        <v>115</v>
      </c>
      <c r="C129" s="117">
        <v>20914</v>
      </c>
      <c r="D129" s="117">
        <v>25453</v>
      </c>
      <c r="E129" s="117">
        <f t="shared" si="18"/>
        <v>4539</v>
      </c>
      <c r="F129" s="98">
        <f t="shared" si="19"/>
        <v>0.21703165343788849</v>
      </c>
    </row>
    <row r="130" spans="1:6" ht="18" customHeight="1" x14ac:dyDescent="0.25">
      <c r="A130" s="99">
        <v>5</v>
      </c>
      <c r="B130" s="100" t="s">
        <v>116</v>
      </c>
      <c r="C130" s="117">
        <v>178</v>
      </c>
      <c r="D130" s="117">
        <v>193</v>
      </c>
      <c r="E130" s="117">
        <f t="shared" si="18"/>
        <v>15</v>
      </c>
      <c r="F130" s="98">
        <f t="shared" si="19"/>
        <v>8.4269662921348312E-2</v>
      </c>
    </row>
    <row r="131" spans="1:6" ht="18" customHeight="1" x14ac:dyDescent="0.25">
      <c r="A131" s="99">
        <v>6</v>
      </c>
      <c r="B131" s="100" t="s">
        <v>117</v>
      </c>
      <c r="C131" s="117">
        <v>44700</v>
      </c>
      <c r="D131" s="117">
        <v>50910</v>
      </c>
      <c r="E131" s="117">
        <f t="shared" si="18"/>
        <v>6210</v>
      </c>
      <c r="F131" s="98">
        <f t="shared" si="19"/>
        <v>0.13892617449664429</v>
      </c>
    </row>
    <row r="132" spans="1:6" ht="18" customHeight="1" x14ac:dyDescent="0.25">
      <c r="A132" s="99">
        <v>7</v>
      </c>
      <c r="B132" s="100" t="s">
        <v>118</v>
      </c>
      <c r="C132" s="117">
        <v>113264</v>
      </c>
      <c r="D132" s="117">
        <v>116835</v>
      </c>
      <c r="E132" s="117">
        <f t="shared" si="18"/>
        <v>3571</v>
      </c>
      <c r="F132" s="98">
        <f t="shared" si="19"/>
        <v>3.1528111315157509E-2</v>
      </c>
    </row>
    <row r="133" spans="1:6" ht="18" customHeight="1" x14ac:dyDescent="0.25">
      <c r="A133" s="99">
        <v>8</v>
      </c>
      <c r="B133" s="100" t="s">
        <v>119</v>
      </c>
      <c r="C133" s="117">
        <v>2041</v>
      </c>
      <c r="D133" s="117">
        <v>2133</v>
      </c>
      <c r="E133" s="117">
        <f t="shared" si="18"/>
        <v>92</v>
      </c>
      <c r="F133" s="98">
        <f t="shared" si="19"/>
        <v>4.5075943165115137E-2</v>
      </c>
    </row>
    <row r="134" spans="1:6" ht="18" customHeight="1" x14ac:dyDescent="0.25">
      <c r="A134" s="99">
        <v>9</v>
      </c>
      <c r="B134" s="100" t="s">
        <v>120</v>
      </c>
      <c r="C134" s="117">
        <v>25136</v>
      </c>
      <c r="D134" s="117">
        <v>21820</v>
      </c>
      <c r="E134" s="117">
        <f t="shared" si="18"/>
        <v>-3316</v>
      </c>
      <c r="F134" s="98">
        <f t="shared" si="19"/>
        <v>-0.13192234245703374</v>
      </c>
    </row>
    <row r="135" spans="1:6" ht="18" customHeight="1" x14ac:dyDescent="0.25">
      <c r="A135" s="99">
        <v>10</v>
      </c>
      <c r="B135" s="100" t="s">
        <v>121</v>
      </c>
      <c r="C135" s="117">
        <v>4973</v>
      </c>
      <c r="D135" s="117">
        <v>5229</v>
      </c>
      <c r="E135" s="117">
        <f t="shared" si="18"/>
        <v>256</v>
      </c>
      <c r="F135" s="98">
        <f t="shared" si="19"/>
        <v>5.1477981097928817E-2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282161</v>
      </c>
      <c r="D137" s="118">
        <f>SUM(D126:D136)</f>
        <v>297945</v>
      </c>
      <c r="E137" s="118">
        <f t="shared" si="18"/>
        <v>15784</v>
      </c>
      <c r="F137" s="104">
        <f t="shared" si="19"/>
        <v>5.5939694004486798E-2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32819293</v>
      </c>
      <c r="D142" s="97">
        <v>32349676</v>
      </c>
      <c r="E142" s="97">
        <f t="shared" ref="E142:E153" si="20">D142-C142</f>
        <v>-469617</v>
      </c>
      <c r="F142" s="98">
        <f t="shared" ref="F142:F153" si="21">IF(C142=0,0,E142/C142)</f>
        <v>-1.4309174789353323E-2</v>
      </c>
    </row>
    <row r="143" spans="1:6" ht="18" customHeight="1" x14ac:dyDescent="0.25">
      <c r="A143" s="99">
        <v>2</v>
      </c>
      <c r="B143" s="100" t="s">
        <v>113</v>
      </c>
      <c r="C143" s="97">
        <v>4717660</v>
      </c>
      <c r="D143" s="97">
        <v>5170727</v>
      </c>
      <c r="E143" s="97">
        <f t="shared" si="20"/>
        <v>453067</v>
      </c>
      <c r="F143" s="98">
        <f t="shared" si="21"/>
        <v>9.6036382443838678E-2</v>
      </c>
    </row>
    <row r="144" spans="1:6" ht="18" customHeight="1" x14ac:dyDescent="0.25">
      <c r="A144" s="99">
        <v>3</v>
      </c>
      <c r="B144" s="100" t="s">
        <v>114</v>
      </c>
      <c r="C144" s="97">
        <v>7267414</v>
      </c>
      <c r="D144" s="97">
        <v>8397299</v>
      </c>
      <c r="E144" s="97">
        <f t="shared" si="20"/>
        <v>1129885</v>
      </c>
      <c r="F144" s="98">
        <f t="shared" si="21"/>
        <v>0.15547277202041881</v>
      </c>
    </row>
    <row r="145" spans="1:6" ht="18" customHeight="1" x14ac:dyDescent="0.25">
      <c r="A145" s="99">
        <v>4</v>
      </c>
      <c r="B145" s="100" t="s">
        <v>115</v>
      </c>
      <c r="C145" s="97">
        <v>13553180</v>
      </c>
      <c r="D145" s="97">
        <v>17878524</v>
      </c>
      <c r="E145" s="97">
        <f t="shared" si="20"/>
        <v>4325344</v>
      </c>
      <c r="F145" s="98">
        <f t="shared" si="21"/>
        <v>0.31913868184440847</v>
      </c>
    </row>
    <row r="146" spans="1:6" ht="18" customHeight="1" x14ac:dyDescent="0.25">
      <c r="A146" s="99">
        <v>5</v>
      </c>
      <c r="B146" s="100" t="s">
        <v>116</v>
      </c>
      <c r="C146" s="97">
        <v>139162</v>
      </c>
      <c r="D146" s="97">
        <v>112774</v>
      </c>
      <c r="E146" s="97">
        <f t="shared" si="20"/>
        <v>-26388</v>
      </c>
      <c r="F146" s="98">
        <f t="shared" si="21"/>
        <v>-0.18962072979692732</v>
      </c>
    </row>
    <row r="147" spans="1:6" ht="18" customHeight="1" x14ac:dyDescent="0.25">
      <c r="A147" s="99">
        <v>6</v>
      </c>
      <c r="B147" s="100" t="s">
        <v>117</v>
      </c>
      <c r="C147" s="97">
        <v>19646513</v>
      </c>
      <c r="D147" s="97">
        <v>21134791</v>
      </c>
      <c r="E147" s="97">
        <f t="shared" si="20"/>
        <v>1488278</v>
      </c>
      <c r="F147" s="98">
        <f t="shared" si="21"/>
        <v>7.5752781167833697E-2</v>
      </c>
    </row>
    <row r="148" spans="1:6" ht="18" customHeight="1" x14ac:dyDescent="0.25">
      <c r="A148" s="99">
        <v>7</v>
      </c>
      <c r="B148" s="100" t="s">
        <v>118</v>
      </c>
      <c r="C148" s="97">
        <v>40295856</v>
      </c>
      <c r="D148" s="97">
        <v>38373558</v>
      </c>
      <c r="E148" s="97">
        <f t="shared" si="20"/>
        <v>-1922298</v>
      </c>
      <c r="F148" s="98">
        <f t="shared" si="21"/>
        <v>-4.7704607640051126E-2</v>
      </c>
    </row>
    <row r="149" spans="1:6" ht="18" customHeight="1" x14ac:dyDescent="0.25">
      <c r="A149" s="99">
        <v>8</v>
      </c>
      <c r="B149" s="100" t="s">
        <v>119</v>
      </c>
      <c r="C149" s="97">
        <v>2104493</v>
      </c>
      <c r="D149" s="97">
        <v>2410876</v>
      </c>
      <c r="E149" s="97">
        <f t="shared" si="20"/>
        <v>306383</v>
      </c>
      <c r="F149" s="98">
        <f t="shared" si="21"/>
        <v>0.14558518369982698</v>
      </c>
    </row>
    <row r="150" spans="1:6" ht="18" customHeight="1" x14ac:dyDescent="0.25">
      <c r="A150" s="99">
        <v>9</v>
      </c>
      <c r="B150" s="100" t="s">
        <v>120</v>
      </c>
      <c r="C150" s="97">
        <v>21973122</v>
      </c>
      <c r="D150" s="97">
        <v>22655991</v>
      </c>
      <c r="E150" s="97">
        <f t="shared" si="20"/>
        <v>682869</v>
      </c>
      <c r="F150" s="98">
        <f t="shared" si="21"/>
        <v>3.1077468190455593E-2</v>
      </c>
    </row>
    <row r="151" spans="1:6" ht="18" customHeight="1" x14ac:dyDescent="0.25">
      <c r="A151" s="99">
        <v>10</v>
      </c>
      <c r="B151" s="100" t="s">
        <v>121</v>
      </c>
      <c r="C151" s="97">
        <v>5841780</v>
      </c>
      <c r="D151" s="97">
        <v>5784650</v>
      </c>
      <c r="E151" s="97">
        <f t="shared" si="20"/>
        <v>-57130</v>
      </c>
      <c r="F151" s="98">
        <f t="shared" si="21"/>
        <v>-9.7795534922574968E-3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148358473</v>
      </c>
      <c r="D153" s="103">
        <f>SUM(D142:D152)</f>
        <v>154268866</v>
      </c>
      <c r="E153" s="103">
        <f t="shared" si="20"/>
        <v>5910393</v>
      </c>
      <c r="F153" s="104">
        <f t="shared" si="21"/>
        <v>3.9838594186663003E-2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4265870</v>
      </c>
      <c r="D155" s="97">
        <v>3089835</v>
      </c>
      <c r="E155" s="97">
        <f t="shared" ref="E155:E166" si="22">D155-C155</f>
        <v>-1176035</v>
      </c>
      <c r="F155" s="98">
        <f t="shared" ref="F155:F166" si="23">IF(C155=0,0,E155/C155)</f>
        <v>-0.27568467862358675</v>
      </c>
    </row>
    <row r="156" spans="1:6" ht="18" customHeight="1" x14ac:dyDescent="0.25">
      <c r="A156" s="99">
        <v>2</v>
      </c>
      <c r="B156" s="100" t="s">
        <v>113</v>
      </c>
      <c r="C156" s="97">
        <v>723988</v>
      </c>
      <c r="D156" s="97">
        <v>570842</v>
      </c>
      <c r="E156" s="97">
        <f t="shared" si="22"/>
        <v>-153146</v>
      </c>
      <c r="F156" s="98">
        <f t="shared" si="23"/>
        <v>-0.2115311303502268</v>
      </c>
    </row>
    <row r="157" spans="1:6" ht="18" customHeight="1" x14ac:dyDescent="0.25">
      <c r="A157" s="99">
        <v>3</v>
      </c>
      <c r="B157" s="100" t="s">
        <v>114</v>
      </c>
      <c r="C157" s="97">
        <v>1187722</v>
      </c>
      <c r="D157" s="97">
        <v>985938</v>
      </c>
      <c r="E157" s="97">
        <f t="shared" si="22"/>
        <v>-201784</v>
      </c>
      <c r="F157" s="98">
        <f t="shared" si="23"/>
        <v>-0.16989160763208899</v>
      </c>
    </row>
    <row r="158" spans="1:6" ht="18" customHeight="1" x14ac:dyDescent="0.25">
      <c r="A158" s="99">
        <v>4</v>
      </c>
      <c r="B158" s="100" t="s">
        <v>115</v>
      </c>
      <c r="C158" s="97">
        <v>2085644</v>
      </c>
      <c r="D158" s="97">
        <v>2512239</v>
      </c>
      <c r="E158" s="97">
        <f t="shared" si="22"/>
        <v>426595</v>
      </c>
      <c r="F158" s="98">
        <f t="shared" si="23"/>
        <v>0.20453874199048352</v>
      </c>
    </row>
    <row r="159" spans="1:6" ht="18" customHeight="1" x14ac:dyDescent="0.25">
      <c r="A159" s="99">
        <v>5</v>
      </c>
      <c r="B159" s="100" t="s">
        <v>116</v>
      </c>
      <c r="C159" s="97">
        <v>61494</v>
      </c>
      <c r="D159" s="97">
        <v>18972</v>
      </c>
      <c r="E159" s="97">
        <f t="shared" si="22"/>
        <v>-42522</v>
      </c>
      <c r="F159" s="98">
        <f t="shared" si="23"/>
        <v>-0.69148209581422582</v>
      </c>
    </row>
    <row r="160" spans="1:6" ht="18" customHeight="1" x14ac:dyDescent="0.25">
      <c r="A160" s="99">
        <v>6</v>
      </c>
      <c r="B160" s="100" t="s">
        <v>117</v>
      </c>
      <c r="C160" s="97">
        <v>14204712</v>
      </c>
      <c r="D160" s="97">
        <v>12338704</v>
      </c>
      <c r="E160" s="97">
        <f t="shared" si="22"/>
        <v>-1866008</v>
      </c>
      <c r="F160" s="98">
        <f t="shared" si="23"/>
        <v>-0.13136542296668879</v>
      </c>
    </row>
    <row r="161" spans="1:6" ht="18" customHeight="1" x14ac:dyDescent="0.25">
      <c r="A161" s="99">
        <v>7</v>
      </c>
      <c r="B161" s="100" t="s">
        <v>118</v>
      </c>
      <c r="C161" s="97">
        <v>19453320</v>
      </c>
      <c r="D161" s="97">
        <v>18432466</v>
      </c>
      <c r="E161" s="97">
        <f t="shared" si="22"/>
        <v>-1020854</v>
      </c>
      <c r="F161" s="98">
        <f t="shared" si="23"/>
        <v>-5.2477109305763749E-2</v>
      </c>
    </row>
    <row r="162" spans="1:6" ht="18" customHeight="1" x14ac:dyDescent="0.25">
      <c r="A162" s="99">
        <v>8</v>
      </c>
      <c r="B162" s="100" t="s">
        <v>119</v>
      </c>
      <c r="C162" s="97">
        <v>1737225</v>
      </c>
      <c r="D162" s="97">
        <v>1804853</v>
      </c>
      <c r="E162" s="97">
        <f t="shared" si="22"/>
        <v>67628</v>
      </c>
      <c r="F162" s="98">
        <f t="shared" si="23"/>
        <v>3.8928751313157477E-2</v>
      </c>
    </row>
    <row r="163" spans="1:6" ht="18" customHeight="1" x14ac:dyDescent="0.25">
      <c r="A163" s="99">
        <v>9</v>
      </c>
      <c r="B163" s="100" t="s">
        <v>120</v>
      </c>
      <c r="C163" s="97">
        <v>432348</v>
      </c>
      <c r="D163" s="97">
        <v>330799</v>
      </c>
      <c r="E163" s="97">
        <f t="shared" si="22"/>
        <v>-101549</v>
      </c>
      <c r="F163" s="98">
        <f t="shared" si="23"/>
        <v>-0.2348779224143514</v>
      </c>
    </row>
    <row r="164" spans="1:6" ht="18" customHeight="1" x14ac:dyDescent="0.25">
      <c r="A164" s="99">
        <v>10</v>
      </c>
      <c r="B164" s="100" t="s">
        <v>121</v>
      </c>
      <c r="C164" s="97">
        <v>936037</v>
      </c>
      <c r="D164" s="97">
        <v>117310</v>
      </c>
      <c r="E164" s="97">
        <f t="shared" si="22"/>
        <v>-818727</v>
      </c>
      <c r="F164" s="98">
        <f t="shared" si="23"/>
        <v>-0.87467375755445564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45088360</v>
      </c>
      <c r="D166" s="103">
        <f>SUM(D155:D165)</f>
        <v>40201958</v>
      </c>
      <c r="E166" s="103">
        <f t="shared" si="22"/>
        <v>-4886402</v>
      </c>
      <c r="F166" s="104">
        <f t="shared" si="23"/>
        <v>-0.10837391291233481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5717</v>
      </c>
      <c r="D168" s="117">
        <v>5336</v>
      </c>
      <c r="E168" s="117">
        <f t="shared" ref="E168:E179" si="24">D168-C168</f>
        <v>-381</v>
      </c>
      <c r="F168" s="98">
        <f t="shared" ref="F168:F179" si="25">IF(C168=0,0,E168/C168)</f>
        <v>-6.6643344411404584E-2</v>
      </c>
    </row>
    <row r="169" spans="1:6" ht="18" customHeight="1" x14ac:dyDescent="0.25">
      <c r="A169" s="99">
        <v>2</v>
      </c>
      <c r="B169" s="100" t="s">
        <v>113</v>
      </c>
      <c r="C169" s="117">
        <v>709</v>
      </c>
      <c r="D169" s="117">
        <v>765</v>
      </c>
      <c r="E169" s="117">
        <f t="shared" si="24"/>
        <v>56</v>
      </c>
      <c r="F169" s="98">
        <f t="shared" si="25"/>
        <v>7.8984485190409029E-2</v>
      </c>
    </row>
    <row r="170" spans="1:6" ht="18" customHeight="1" x14ac:dyDescent="0.25">
      <c r="A170" s="99">
        <v>3</v>
      </c>
      <c r="B170" s="100" t="s">
        <v>114</v>
      </c>
      <c r="C170" s="117">
        <v>2226</v>
      </c>
      <c r="D170" s="117">
        <v>2116</v>
      </c>
      <c r="E170" s="117">
        <f t="shared" si="24"/>
        <v>-110</v>
      </c>
      <c r="F170" s="98">
        <f t="shared" si="25"/>
        <v>-4.9415992812219228E-2</v>
      </c>
    </row>
    <row r="171" spans="1:6" ht="18" customHeight="1" x14ac:dyDescent="0.25">
      <c r="A171" s="99">
        <v>4</v>
      </c>
      <c r="B171" s="100" t="s">
        <v>115</v>
      </c>
      <c r="C171" s="117">
        <v>6696</v>
      </c>
      <c r="D171" s="117">
        <v>7890</v>
      </c>
      <c r="E171" s="117">
        <f t="shared" si="24"/>
        <v>1194</v>
      </c>
      <c r="F171" s="98">
        <f t="shared" si="25"/>
        <v>0.17831541218637992</v>
      </c>
    </row>
    <row r="172" spans="1:6" ht="18" customHeight="1" x14ac:dyDescent="0.25">
      <c r="A172" s="99">
        <v>5</v>
      </c>
      <c r="B172" s="100" t="s">
        <v>116</v>
      </c>
      <c r="C172" s="117">
        <v>51</v>
      </c>
      <c r="D172" s="117">
        <v>46</v>
      </c>
      <c r="E172" s="117">
        <f t="shared" si="24"/>
        <v>-5</v>
      </c>
      <c r="F172" s="98">
        <f t="shared" si="25"/>
        <v>-9.8039215686274508E-2</v>
      </c>
    </row>
    <row r="173" spans="1:6" ht="18" customHeight="1" x14ac:dyDescent="0.25">
      <c r="A173" s="99">
        <v>6</v>
      </c>
      <c r="B173" s="100" t="s">
        <v>117</v>
      </c>
      <c r="C173" s="117">
        <v>4672</v>
      </c>
      <c r="D173" s="117">
        <v>4877</v>
      </c>
      <c r="E173" s="117">
        <f t="shared" si="24"/>
        <v>205</v>
      </c>
      <c r="F173" s="98">
        <f t="shared" si="25"/>
        <v>4.3878424657534248E-2</v>
      </c>
    </row>
    <row r="174" spans="1:6" ht="18" customHeight="1" x14ac:dyDescent="0.25">
      <c r="A174" s="99">
        <v>7</v>
      </c>
      <c r="B174" s="100" t="s">
        <v>118</v>
      </c>
      <c r="C174" s="117">
        <v>10012</v>
      </c>
      <c r="D174" s="117">
        <v>9551</v>
      </c>
      <c r="E174" s="117">
        <f t="shared" si="24"/>
        <v>-461</v>
      </c>
      <c r="F174" s="98">
        <f t="shared" si="25"/>
        <v>-4.6044746304434676E-2</v>
      </c>
    </row>
    <row r="175" spans="1:6" ht="18" customHeight="1" x14ac:dyDescent="0.25">
      <c r="A175" s="99">
        <v>8</v>
      </c>
      <c r="B175" s="100" t="s">
        <v>119</v>
      </c>
      <c r="C175" s="117">
        <v>823</v>
      </c>
      <c r="D175" s="117">
        <v>934</v>
      </c>
      <c r="E175" s="117">
        <f t="shared" si="24"/>
        <v>111</v>
      </c>
      <c r="F175" s="98">
        <f t="shared" si="25"/>
        <v>0.13487241798298907</v>
      </c>
    </row>
    <row r="176" spans="1:6" ht="18" customHeight="1" x14ac:dyDescent="0.25">
      <c r="A176" s="99">
        <v>9</v>
      </c>
      <c r="B176" s="100" t="s">
        <v>120</v>
      </c>
      <c r="C176" s="117">
        <v>6691</v>
      </c>
      <c r="D176" s="117">
        <v>6574</v>
      </c>
      <c r="E176" s="117">
        <f t="shared" si="24"/>
        <v>-117</v>
      </c>
      <c r="F176" s="98">
        <f t="shared" si="25"/>
        <v>-1.748617545957256E-2</v>
      </c>
    </row>
    <row r="177" spans="1:6" ht="18" customHeight="1" x14ac:dyDescent="0.25">
      <c r="A177" s="99">
        <v>10</v>
      </c>
      <c r="B177" s="100" t="s">
        <v>121</v>
      </c>
      <c r="C177" s="117">
        <v>1489</v>
      </c>
      <c r="D177" s="117">
        <v>1553</v>
      </c>
      <c r="E177" s="117">
        <f t="shared" si="24"/>
        <v>64</v>
      </c>
      <c r="F177" s="98">
        <f t="shared" si="25"/>
        <v>4.2981867024848894E-2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39086</v>
      </c>
      <c r="D179" s="118">
        <f>SUM(D168:D178)</f>
        <v>39642</v>
      </c>
      <c r="E179" s="118">
        <f t="shared" si="24"/>
        <v>556</v>
      </c>
      <c r="F179" s="104">
        <f t="shared" si="25"/>
        <v>1.4225042214603694E-2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FILING&amp;RSTAMFORD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51850186</v>
      </c>
      <c r="D15" s="146">
        <v>53049747</v>
      </c>
      <c r="E15" s="146">
        <f>+D15-C15</f>
        <v>1199561</v>
      </c>
      <c r="F15" s="150">
        <f>IF(C15=0,0,E15/C15)</f>
        <v>2.313513398004011E-2</v>
      </c>
    </row>
    <row r="16" spans="1:7" ht="15" customHeight="1" x14ac:dyDescent="0.2">
      <c r="A16" s="141">
        <v>2</v>
      </c>
      <c r="B16" s="149" t="s">
        <v>158</v>
      </c>
      <c r="C16" s="146">
        <v>17126431</v>
      </c>
      <c r="D16" s="146">
        <v>17289984</v>
      </c>
      <c r="E16" s="146">
        <f>+D16-C16</f>
        <v>163553</v>
      </c>
      <c r="F16" s="150">
        <f>IF(C16=0,0,E16/C16)</f>
        <v>9.5497421500136247E-3</v>
      </c>
    </row>
    <row r="17" spans="1:7" ht="15" customHeight="1" x14ac:dyDescent="0.2">
      <c r="A17" s="141">
        <v>3</v>
      </c>
      <c r="B17" s="149" t="s">
        <v>159</v>
      </c>
      <c r="C17" s="146">
        <v>85526196</v>
      </c>
      <c r="D17" s="146">
        <v>93025542</v>
      </c>
      <c r="E17" s="146">
        <f>+D17-C17</f>
        <v>7499346</v>
      </c>
      <c r="F17" s="150">
        <f>IF(C17=0,0,E17/C17)</f>
        <v>8.7684783735734018E-2</v>
      </c>
    </row>
    <row r="18" spans="1:7" ht="15.75" customHeight="1" x14ac:dyDescent="0.25">
      <c r="A18" s="141"/>
      <c r="B18" s="151" t="s">
        <v>160</v>
      </c>
      <c r="C18" s="147">
        <f>SUM(C15:C17)</f>
        <v>154502813</v>
      </c>
      <c r="D18" s="147">
        <f>SUM(D15:D17)</f>
        <v>163365273</v>
      </c>
      <c r="E18" s="147">
        <f>+D18-C18</f>
        <v>8862460</v>
      </c>
      <c r="F18" s="148">
        <f>IF(C18=0,0,E18/C18)</f>
        <v>5.7361156265808573E-2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11404309</v>
      </c>
      <c r="D21" s="146">
        <v>14424232</v>
      </c>
      <c r="E21" s="146">
        <f>+D21-C21</f>
        <v>3019923</v>
      </c>
      <c r="F21" s="150">
        <f>IF(C21=0,0,E21/C21)</f>
        <v>0.26480543450725513</v>
      </c>
    </row>
    <row r="22" spans="1:7" ht="15" customHeight="1" x14ac:dyDescent="0.2">
      <c r="A22" s="141">
        <v>2</v>
      </c>
      <c r="B22" s="149" t="s">
        <v>163</v>
      </c>
      <c r="C22" s="146">
        <v>3766913</v>
      </c>
      <c r="D22" s="146">
        <v>4701148</v>
      </c>
      <c r="E22" s="146">
        <f>+D22-C22</f>
        <v>934235</v>
      </c>
      <c r="F22" s="150">
        <f>IF(C22=0,0,E22/C22)</f>
        <v>0.24801077168493141</v>
      </c>
    </row>
    <row r="23" spans="1:7" ht="15" customHeight="1" x14ac:dyDescent="0.2">
      <c r="A23" s="141">
        <v>3</v>
      </c>
      <c r="B23" s="149" t="s">
        <v>164</v>
      </c>
      <c r="C23" s="146">
        <v>18811257</v>
      </c>
      <c r="D23" s="146">
        <v>25356655</v>
      </c>
      <c r="E23" s="146">
        <f>+D23-C23</f>
        <v>6545398</v>
      </c>
      <c r="F23" s="150">
        <f>IF(C23=0,0,E23/C23)</f>
        <v>0.34795112309613335</v>
      </c>
    </row>
    <row r="24" spans="1:7" ht="15.75" customHeight="1" x14ac:dyDescent="0.25">
      <c r="A24" s="141"/>
      <c r="B24" s="151" t="s">
        <v>165</v>
      </c>
      <c r="C24" s="147">
        <f>SUM(C21:C23)</f>
        <v>33982479</v>
      </c>
      <c r="D24" s="147">
        <f>SUM(D21:D23)</f>
        <v>44482035</v>
      </c>
      <c r="E24" s="147">
        <f>+D24-C24</f>
        <v>10499556</v>
      </c>
      <c r="F24" s="148">
        <f>IF(C24=0,0,E24/C24)</f>
        <v>0.3089696899393361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2317222</v>
      </c>
      <c r="D27" s="146">
        <v>1289166</v>
      </c>
      <c r="E27" s="146">
        <f>+D27-C27</f>
        <v>-1028056</v>
      </c>
      <c r="F27" s="150">
        <f>IF(C27=0,0,E27/C27)</f>
        <v>-0.44365882940866264</v>
      </c>
    </row>
    <row r="28" spans="1:7" ht="15" customHeight="1" x14ac:dyDescent="0.2">
      <c r="A28" s="141">
        <v>2</v>
      </c>
      <c r="B28" s="149" t="s">
        <v>168</v>
      </c>
      <c r="C28" s="146">
        <v>10476221</v>
      </c>
      <c r="D28" s="146">
        <v>8733868</v>
      </c>
      <c r="E28" s="146">
        <f>+D28-C28</f>
        <v>-1742353</v>
      </c>
      <c r="F28" s="150">
        <f>IF(C28=0,0,E28/C28)</f>
        <v>-0.16631502905484716</v>
      </c>
    </row>
    <row r="29" spans="1:7" ht="15" customHeight="1" x14ac:dyDescent="0.2">
      <c r="A29" s="141">
        <v>3</v>
      </c>
      <c r="B29" s="149" t="s">
        <v>169</v>
      </c>
      <c r="C29" s="146">
        <v>31209286</v>
      </c>
      <c r="D29" s="146">
        <v>25341543</v>
      </c>
      <c r="E29" s="146">
        <f>+D29-C29</f>
        <v>-5867743</v>
      </c>
      <c r="F29" s="150">
        <f>IF(C29=0,0,E29/C29)</f>
        <v>-0.18801272800665803</v>
      </c>
    </row>
    <row r="30" spans="1:7" ht="15.75" customHeight="1" x14ac:dyDescent="0.25">
      <c r="A30" s="141"/>
      <c r="B30" s="151" t="s">
        <v>170</v>
      </c>
      <c r="C30" s="147">
        <f>SUM(C27:C29)</f>
        <v>44002729</v>
      </c>
      <c r="D30" s="147">
        <f>SUM(D27:D29)</f>
        <v>35364577</v>
      </c>
      <c r="E30" s="147">
        <f>+D30-C30</f>
        <v>-8638152</v>
      </c>
      <c r="F30" s="148">
        <f>IF(C30=0,0,E30/C30)</f>
        <v>-0.19630946071549335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32689058</v>
      </c>
      <c r="D33" s="146">
        <v>35079176</v>
      </c>
      <c r="E33" s="146">
        <f>+D33-C33</f>
        <v>2390118</v>
      </c>
      <c r="F33" s="150">
        <f>IF(C33=0,0,E33/C33)</f>
        <v>7.3116759742663739E-2</v>
      </c>
    </row>
    <row r="34" spans="1:7" ht="15" customHeight="1" x14ac:dyDescent="0.2">
      <c r="A34" s="141">
        <v>2</v>
      </c>
      <c r="B34" s="149" t="s">
        <v>174</v>
      </c>
      <c r="C34" s="146">
        <v>7766356</v>
      </c>
      <c r="D34" s="146">
        <v>8119836</v>
      </c>
      <c r="E34" s="146">
        <f>+D34-C34</f>
        <v>353480</v>
      </c>
      <c r="F34" s="150">
        <f>IF(C34=0,0,E34/C34)</f>
        <v>4.5514266922608237E-2</v>
      </c>
    </row>
    <row r="35" spans="1:7" ht="15.75" customHeight="1" x14ac:dyDescent="0.25">
      <c r="A35" s="141"/>
      <c r="B35" s="151" t="s">
        <v>175</v>
      </c>
      <c r="C35" s="147">
        <f>SUM(C33:C34)</f>
        <v>40455414</v>
      </c>
      <c r="D35" s="147">
        <f>SUM(D33:D34)</f>
        <v>43199012</v>
      </c>
      <c r="E35" s="147">
        <f>+D35-C35</f>
        <v>2743598</v>
      </c>
      <c r="F35" s="148">
        <f>IF(C35=0,0,E35/C35)</f>
        <v>6.7817820378750795E-2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21697427</v>
      </c>
      <c r="D38" s="146">
        <v>22159932</v>
      </c>
      <c r="E38" s="146">
        <f>+D38-C38</f>
        <v>462505</v>
      </c>
      <c r="F38" s="150">
        <f>IF(C38=0,0,E38/C38)</f>
        <v>2.1316121953077662E-2</v>
      </c>
    </row>
    <row r="39" spans="1:7" ht="15" customHeight="1" x14ac:dyDescent="0.2">
      <c r="A39" s="141">
        <v>2</v>
      </c>
      <c r="B39" s="149" t="s">
        <v>179</v>
      </c>
      <c r="C39" s="146">
        <v>5258007</v>
      </c>
      <c r="D39" s="146">
        <v>5231533</v>
      </c>
      <c r="E39" s="146">
        <f>+D39-C39</f>
        <v>-26474</v>
      </c>
      <c r="F39" s="150">
        <f>IF(C39=0,0,E39/C39)</f>
        <v>-5.0349875913059837E-3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26955434</v>
      </c>
      <c r="D41" s="147">
        <f>SUM(D38:D40)</f>
        <v>27391465</v>
      </c>
      <c r="E41" s="147">
        <f>+D41-C41</f>
        <v>436031</v>
      </c>
      <c r="F41" s="148">
        <f>IF(C41=0,0,E41/C41)</f>
        <v>1.6175996275927147E-2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47934677</v>
      </c>
      <c r="D44" s="146">
        <v>43115286</v>
      </c>
      <c r="E44" s="146">
        <f>+D44-C44</f>
        <v>-4819391</v>
      </c>
      <c r="F44" s="150">
        <f>IF(C44=0,0,E44/C44)</f>
        <v>-0.10054080472890221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5220009</v>
      </c>
      <c r="D47" s="146">
        <v>4876423</v>
      </c>
      <c r="E47" s="146">
        <f>+D47-C47</f>
        <v>-343586</v>
      </c>
      <c r="F47" s="150">
        <f>IF(C47=0,0,E47/C47)</f>
        <v>-6.5820959312522256E-2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10211990</v>
      </c>
      <c r="D50" s="146">
        <v>8073693</v>
      </c>
      <c r="E50" s="146">
        <f>+D50-C50</f>
        <v>-2138297</v>
      </c>
      <c r="F50" s="150">
        <f>IF(C50=0,0,E50/C50)</f>
        <v>-0.20939082392364269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138005</v>
      </c>
      <c r="D53" s="146">
        <v>135555</v>
      </c>
      <c r="E53" s="146">
        <f t="shared" ref="E53:E59" si="0">+D53-C53</f>
        <v>-2450</v>
      </c>
      <c r="F53" s="150">
        <f t="shared" ref="F53:F59" si="1">IF(C53=0,0,E53/C53)</f>
        <v>-1.7752979964494039E-2</v>
      </c>
    </row>
    <row r="54" spans="1:7" ht="15" customHeight="1" x14ac:dyDescent="0.2">
      <c r="A54" s="141">
        <v>2</v>
      </c>
      <c r="B54" s="149" t="s">
        <v>193</v>
      </c>
      <c r="C54" s="146">
        <v>2249485</v>
      </c>
      <c r="D54" s="146">
        <v>1646484</v>
      </c>
      <c r="E54" s="146">
        <f t="shared" si="0"/>
        <v>-603001</v>
      </c>
      <c r="F54" s="150">
        <f t="shared" si="1"/>
        <v>-0.26806180081218589</v>
      </c>
    </row>
    <row r="55" spans="1:7" ht="15" customHeight="1" x14ac:dyDescent="0.2">
      <c r="A55" s="141">
        <v>3</v>
      </c>
      <c r="B55" s="149" t="s">
        <v>194</v>
      </c>
      <c r="C55" s="146">
        <v>1396</v>
      </c>
      <c r="D55" s="146">
        <v>755</v>
      </c>
      <c r="E55" s="146">
        <f t="shared" si="0"/>
        <v>-641</v>
      </c>
      <c r="F55" s="150">
        <f t="shared" si="1"/>
        <v>-0.45916905444126077</v>
      </c>
    </row>
    <row r="56" spans="1:7" ht="15" customHeight="1" x14ac:dyDescent="0.2">
      <c r="A56" s="141">
        <v>4</v>
      </c>
      <c r="B56" s="149" t="s">
        <v>195</v>
      </c>
      <c r="C56" s="146">
        <v>2990896</v>
      </c>
      <c r="D56" s="146">
        <v>2804502</v>
      </c>
      <c r="E56" s="146">
        <f t="shared" si="0"/>
        <v>-186394</v>
      </c>
      <c r="F56" s="150">
        <f t="shared" si="1"/>
        <v>-6.2320455141201832E-2</v>
      </c>
    </row>
    <row r="57" spans="1:7" ht="15" customHeight="1" x14ac:dyDescent="0.2">
      <c r="A57" s="141">
        <v>5</v>
      </c>
      <c r="B57" s="149" t="s">
        <v>196</v>
      </c>
      <c r="C57" s="146">
        <v>730536</v>
      </c>
      <c r="D57" s="146">
        <v>958812</v>
      </c>
      <c r="E57" s="146">
        <f t="shared" si="0"/>
        <v>228276</v>
      </c>
      <c r="F57" s="150">
        <f t="shared" si="1"/>
        <v>0.31247741384408162</v>
      </c>
    </row>
    <row r="58" spans="1:7" ht="15" customHeight="1" x14ac:dyDescent="0.2">
      <c r="A58" s="141">
        <v>6</v>
      </c>
      <c r="B58" s="149" t="s">
        <v>197</v>
      </c>
      <c r="C58" s="146">
        <v>264523</v>
      </c>
      <c r="D58" s="146">
        <v>290802</v>
      </c>
      <c r="E58" s="146">
        <f t="shared" si="0"/>
        <v>26279</v>
      </c>
      <c r="F58" s="150">
        <f t="shared" si="1"/>
        <v>9.9344858481115059E-2</v>
      </c>
    </row>
    <row r="59" spans="1:7" ht="15.75" customHeight="1" x14ac:dyDescent="0.25">
      <c r="A59" s="141"/>
      <c r="B59" s="151" t="s">
        <v>198</v>
      </c>
      <c r="C59" s="147">
        <f>SUM(C53:C58)</f>
        <v>6374841</v>
      </c>
      <c r="D59" s="147">
        <f>SUM(D53:D58)</f>
        <v>5836910</v>
      </c>
      <c r="E59" s="147">
        <f t="shared" si="0"/>
        <v>-537931</v>
      </c>
      <c r="F59" s="148">
        <f t="shared" si="1"/>
        <v>-8.4383437955550575E-2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392830</v>
      </c>
      <c r="D62" s="146">
        <v>586701</v>
      </c>
      <c r="E62" s="146">
        <f t="shared" ref="E62:E78" si="2">+D62-C62</f>
        <v>193871</v>
      </c>
      <c r="F62" s="150">
        <f t="shared" ref="F62:F78" si="3">IF(C62=0,0,E62/C62)</f>
        <v>0.49352391619784641</v>
      </c>
    </row>
    <row r="63" spans="1:7" ht="15" customHeight="1" x14ac:dyDescent="0.2">
      <c r="A63" s="141">
        <v>2</v>
      </c>
      <c r="B63" s="149" t="s">
        <v>202</v>
      </c>
      <c r="C63" s="146">
        <v>2222089</v>
      </c>
      <c r="D63" s="146">
        <v>2774424</v>
      </c>
      <c r="E63" s="146">
        <f t="shared" si="2"/>
        <v>552335</v>
      </c>
      <c r="F63" s="150">
        <f t="shared" si="3"/>
        <v>0.24856565151080806</v>
      </c>
    </row>
    <row r="64" spans="1:7" ht="15" customHeight="1" x14ac:dyDescent="0.2">
      <c r="A64" s="141">
        <v>3</v>
      </c>
      <c r="B64" s="149" t="s">
        <v>203</v>
      </c>
      <c r="C64" s="146">
        <v>5295027</v>
      </c>
      <c r="D64" s="146">
        <v>6687949</v>
      </c>
      <c r="E64" s="146">
        <f t="shared" si="2"/>
        <v>1392922</v>
      </c>
      <c r="F64" s="150">
        <f t="shared" si="3"/>
        <v>0.26306230355388177</v>
      </c>
    </row>
    <row r="65" spans="1:7" ht="15" customHeight="1" x14ac:dyDescent="0.2">
      <c r="A65" s="141">
        <v>4</v>
      </c>
      <c r="B65" s="149" t="s">
        <v>204</v>
      </c>
      <c r="C65" s="146">
        <v>1301023</v>
      </c>
      <c r="D65" s="146">
        <v>1281234</v>
      </c>
      <c r="E65" s="146">
        <f t="shared" si="2"/>
        <v>-19789</v>
      </c>
      <c r="F65" s="150">
        <f t="shared" si="3"/>
        <v>-1.5210338326071099E-2</v>
      </c>
    </row>
    <row r="66" spans="1:7" ht="15" customHeight="1" x14ac:dyDescent="0.2">
      <c r="A66" s="141">
        <v>5</v>
      </c>
      <c r="B66" s="149" t="s">
        <v>205</v>
      </c>
      <c r="C66" s="146">
        <v>1808951</v>
      </c>
      <c r="D66" s="146">
        <v>1951647</v>
      </c>
      <c r="E66" s="146">
        <f t="shared" si="2"/>
        <v>142696</v>
      </c>
      <c r="F66" s="150">
        <f t="shared" si="3"/>
        <v>7.8883286501403305E-2</v>
      </c>
    </row>
    <row r="67" spans="1:7" ht="15" customHeight="1" x14ac:dyDescent="0.2">
      <c r="A67" s="141">
        <v>6</v>
      </c>
      <c r="B67" s="149" t="s">
        <v>206</v>
      </c>
      <c r="C67" s="146">
        <v>6391291</v>
      </c>
      <c r="D67" s="146">
        <v>6408573</v>
      </c>
      <c r="E67" s="146">
        <f t="shared" si="2"/>
        <v>17282</v>
      </c>
      <c r="F67" s="150">
        <f t="shared" si="3"/>
        <v>2.7039920416704545E-3</v>
      </c>
    </row>
    <row r="68" spans="1:7" ht="15" customHeight="1" x14ac:dyDescent="0.2">
      <c r="A68" s="141">
        <v>7</v>
      </c>
      <c r="B68" s="149" t="s">
        <v>207</v>
      </c>
      <c r="C68" s="146">
        <v>10333577</v>
      </c>
      <c r="D68" s="146">
        <v>11206015</v>
      </c>
      <c r="E68" s="146">
        <f t="shared" si="2"/>
        <v>872438</v>
      </c>
      <c r="F68" s="150">
        <f t="shared" si="3"/>
        <v>8.4427493016213065E-2</v>
      </c>
    </row>
    <row r="69" spans="1:7" ht="15" customHeight="1" x14ac:dyDescent="0.2">
      <c r="A69" s="141">
        <v>8</v>
      </c>
      <c r="B69" s="149" t="s">
        <v>208</v>
      </c>
      <c r="C69" s="146">
        <v>852811</v>
      </c>
      <c r="D69" s="146">
        <v>828609</v>
      </c>
      <c r="E69" s="146">
        <f t="shared" si="2"/>
        <v>-24202</v>
      </c>
      <c r="F69" s="150">
        <f t="shared" si="3"/>
        <v>-2.8379089856955409E-2</v>
      </c>
    </row>
    <row r="70" spans="1:7" ht="15" customHeight="1" x14ac:dyDescent="0.2">
      <c r="A70" s="141">
        <v>9</v>
      </c>
      <c r="B70" s="149" t="s">
        <v>209</v>
      </c>
      <c r="C70" s="146">
        <v>646371</v>
      </c>
      <c r="D70" s="146">
        <v>678539</v>
      </c>
      <c r="E70" s="146">
        <f t="shared" si="2"/>
        <v>32168</v>
      </c>
      <c r="F70" s="150">
        <f t="shared" si="3"/>
        <v>4.9767084228716944E-2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7" ht="15" customHeight="1" x14ac:dyDescent="0.2">
      <c r="A73" s="141">
        <v>12</v>
      </c>
      <c r="B73" s="149" t="s">
        <v>212</v>
      </c>
      <c r="C73" s="146">
        <v>10466066</v>
      </c>
      <c r="D73" s="146">
        <v>8226957</v>
      </c>
      <c r="E73" s="146">
        <f t="shared" si="2"/>
        <v>-2239109</v>
      </c>
      <c r="F73" s="150">
        <f t="shared" si="3"/>
        <v>-0.21393988916179202</v>
      </c>
    </row>
    <row r="74" spans="1:7" ht="15" customHeight="1" x14ac:dyDescent="0.2">
      <c r="A74" s="141">
        <v>13</v>
      </c>
      <c r="B74" s="149" t="s">
        <v>213</v>
      </c>
      <c r="C74" s="146">
        <v>74036</v>
      </c>
      <c r="D74" s="146">
        <v>155593</v>
      </c>
      <c r="E74" s="146">
        <f t="shared" si="2"/>
        <v>81557</v>
      </c>
      <c r="F74" s="150">
        <f t="shared" si="3"/>
        <v>1.1015857150575397</v>
      </c>
    </row>
    <row r="75" spans="1:7" ht="15" customHeight="1" x14ac:dyDescent="0.2">
      <c r="A75" s="141">
        <v>14</v>
      </c>
      <c r="B75" s="149" t="s">
        <v>214</v>
      </c>
      <c r="C75" s="146">
        <v>396344</v>
      </c>
      <c r="D75" s="146">
        <v>468966</v>
      </c>
      <c r="E75" s="146">
        <f t="shared" si="2"/>
        <v>72622</v>
      </c>
      <c r="F75" s="150">
        <f t="shared" si="3"/>
        <v>0.18322971963748663</v>
      </c>
    </row>
    <row r="76" spans="1:7" ht="15" customHeight="1" x14ac:dyDescent="0.2">
      <c r="A76" s="141">
        <v>15</v>
      </c>
      <c r="B76" s="149" t="s">
        <v>215</v>
      </c>
      <c r="C76" s="146">
        <v>2101579</v>
      </c>
      <c r="D76" s="146">
        <v>1648108</v>
      </c>
      <c r="E76" s="146">
        <f t="shared" si="2"/>
        <v>-453471</v>
      </c>
      <c r="F76" s="150">
        <f t="shared" si="3"/>
        <v>-0.21577632817990663</v>
      </c>
    </row>
    <row r="77" spans="1:7" ht="15" customHeight="1" x14ac:dyDescent="0.2">
      <c r="A77" s="141">
        <v>16</v>
      </c>
      <c r="B77" s="149" t="s">
        <v>216</v>
      </c>
      <c r="C77" s="146">
        <v>12916936</v>
      </c>
      <c r="D77" s="146">
        <v>12278460</v>
      </c>
      <c r="E77" s="146">
        <f t="shared" si="2"/>
        <v>-638476</v>
      </c>
      <c r="F77" s="150">
        <f t="shared" si="3"/>
        <v>-4.942936931792493E-2</v>
      </c>
    </row>
    <row r="78" spans="1:7" ht="15.75" customHeight="1" x14ac:dyDescent="0.25">
      <c r="A78" s="141"/>
      <c r="B78" s="151" t="s">
        <v>217</v>
      </c>
      <c r="C78" s="147">
        <f>SUM(C62:C77)</f>
        <v>55198931</v>
      </c>
      <c r="D78" s="147">
        <f>SUM(D62:D77)</f>
        <v>55181775</v>
      </c>
      <c r="E78" s="147">
        <f t="shared" si="2"/>
        <v>-17156</v>
      </c>
      <c r="F78" s="148">
        <f t="shared" si="3"/>
        <v>-3.1080312044448833E-4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680562</v>
      </c>
      <c r="D81" s="146">
        <v>793585</v>
      </c>
      <c r="E81" s="146">
        <f>+D81-C81</f>
        <v>113023</v>
      </c>
      <c r="F81" s="150">
        <f>IF(C81=0,0,E81/C81)</f>
        <v>0.16607303963488998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425519879</v>
      </c>
      <c r="D83" s="147">
        <f>+D81+D78+D59+D50+D47+D44+D41+D35+D30+D24+D18</f>
        <v>431680034</v>
      </c>
      <c r="E83" s="147">
        <f>+D83-C83</f>
        <v>6160155</v>
      </c>
      <c r="F83" s="148">
        <f>IF(C83=0,0,E83/C83)</f>
        <v>1.4476773716134659E-2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106374739</v>
      </c>
      <c r="D91" s="146">
        <v>100104970</v>
      </c>
      <c r="E91" s="146">
        <f t="shared" ref="E91:E109" si="4">D91-C91</f>
        <v>-6269769</v>
      </c>
      <c r="F91" s="150">
        <f t="shared" ref="F91:F109" si="5">IF(C91=0,0,E91/C91)</f>
        <v>-5.8940393733892031E-2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3585914</v>
      </c>
      <c r="D92" s="146">
        <v>3961184</v>
      </c>
      <c r="E92" s="146">
        <f t="shared" si="4"/>
        <v>375270</v>
      </c>
      <c r="F92" s="150">
        <f t="shared" si="5"/>
        <v>0.10465114333472582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9054279</v>
      </c>
      <c r="D93" s="146">
        <v>8508793</v>
      </c>
      <c r="E93" s="146">
        <f t="shared" si="4"/>
        <v>-545486</v>
      </c>
      <c r="F93" s="150">
        <f t="shared" si="5"/>
        <v>-6.0246210659070702E-2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3227615</v>
      </c>
      <c r="D94" s="146">
        <v>3245755</v>
      </c>
      <c r="E94" s="146">
        <f t="shared" si="4"/>
        <v>18140</v>
      </c>
      <c r="F94" s="150">
        <f t="shared" si="5"/>
        <v>5.6202490073940046E-3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11903548</v>
      </c>
      <c r="D95" s="146">
        <v>13880712</v>
      </c>
      <c r="E95" s="146">
        <f t="shared" si="4"/>
        <v>1977164</v>
      </c>
      <c r="F95" s="150">
        <f t="shared" si="5"/>
        <v>0.16609871275354204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242</v>
      </c>
      <c r="D96" s="146">
        <v>415</v>
      </c>
      <c r="E96" s="146">
        <f t="shared" si="4"/>
        <v>173</v>
      </c>
      <c r="F96" s="150">
        <f t="shared" si="5"/>
        <v>0.71487603305785119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4874092</v>
      </c>
      <c r="D97" s="146">
        <v>6395054</v>
      </c>
      <c r="E97" s="146">
        <f t="shared" si="4"/>
        <v>1520962</v>
      </c>
      <c r="F97" s="150">
        <f t="shared" si="5"/>
        <v>0.31205032650183873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1200943</v>
      </c>
      <c r="D98" s="146">
        <v>1066747</v>
      </c>
      <c r="E98" s="146">
        <f t="shared" si="4"/>
        <v>-134196</v>
      </c>
      <c r="F98" s="150">
        <f t="shared" si="5"/>
        <v>-0.11174218926293754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6433526</v>
      </c>
      <c r="D99" s="146">
        <v>3458782</v>
      </c>
      <c r="E99" s="146">
        <f t="shared" si="4"/>
        <v>-2974744</v>
      </c>
      <c r="F99" s="150">
        <f t="shared" si="5"/>
        <v>-0.46238159292431552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5621162</v>
      </c>
      <c r="D100" s="146">
        <v>5342834</v>
      </c>
      <c r="E100" s="146">
        <f t="shared" si="4"/>
        <v>-278328</v>
      </c>
      <c r="F100" s="150">
        <f t="shared" si="5"/>
        <v>-4.9514317502324254E-2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4651470</v>
      </c>
      <c r="D101" s="146">
        <v>4885698</v>
      </c>
      <c r="E101" s="146">
        <f t="shared" si="4"/>
        <v>234228</v>
      </c>
      <c r="F101" s="150">
        <f t="shared" si="5"/>
        <v>5.0355694006410878E-2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2112227</v>
      </c>
      <c r="D102" s="146">
        <v>1325251</v>
      </c>
      <c r="E102" s="146">
        <f t="shared" si="4"/>
        <v>-786976</v>
      </c>
      <c r="F102" s="150">
        <f t="shared" si="5"/>
        <v>-0.37258116670225311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1029482</v>
      </c>
      <c r="D103" s="146">
        <v>912676</v>
      </c>
      <c r="E103" s="146">
        <f t="shared" si="4"/>
        <v>-116806</v>
      </c>
      <c r="F103" s="150">
        <f t="shared" si="5"/>
        <v>-0.1134609444361339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1535974</v>
      </c>
      <c r="D104" s="146">
        <v>1729562</v>
      </c>
      <c r="E104" s="146">
        <f t="shared" si="4"/>
        <v>193588</v>
      </c>
      <c r="F104" s="150">
        <f t="shared" si="5"/>
        <v>0.12603598758833157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13378768</v>
      </c>
      <c r="D105" s="146">
        <v>13132421</v>
      </c>
      <c r="E105" s="146">
        <f t="shared" si="4"/>
        <v>-246347</v>
      </c>
      <c r="F105" s="150">
        <f t="shared" si="5"/>
        <v>-1.8413279907387586E-2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1938081</v>
      </c>
      <c r="D106" s="146">
        <v>1817958</v>
      </c>
      <c r="E106" s="146">
        <f t="shared" si="4"/>
        <v>-120123</v>
      </c>
      <c r="F106" s="150">
        <f t="shared" si="5"/>
        <v>-6.1980381624916606E-2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11269195</v>
      </c>
      <c r="D107" s="146">
        <v>11815910</v>
      </c>
      <c r="E107" s="146">
        <f t="shared" si="4"/>
        <v>546715</v>
      </c>
      <c r="F107" s="150">
        <f t="shared" si="5"/>
        <v>4.8514113031143752E-2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9527483</v>
      </c>
      <c r="D108" s="146">
        <v>9527500</v>
      </c>
      <c r="E108" s="146">
        <f t="shared" si="4"/>
        <v>17</v>
      </c>
      <c r="F108" s="150">
        <f t="shared" si="5"/>
        <v>1.7843117641878763E-6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197718740</v>
      </c>
      <c r="D109" s="147">
        <f>SUM(D91:D108)</f>
        <v>191112222</v>
      </c>
      <c r="E109" s="147">
        <f t="shared" si="4"/>
        <v>-6606518</v>
      </c>
      <c r="F109" s="148">
        <f t="shared" si="5"/>
        <v>-3.3413716878835056E-2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2850549</v>
      </c>
      <c r="D112" s="146">
        <v>3336787</v>
      </c>
      <c r="E112" s="146">
        <f t="shared" ref="E112:E118" si="6">D112-C112</f>
        <v>486238</v>
      </c>
      <c r="F112" s="150">
        <f t="shared" ref="F112:F118" si="7">IF(C112=0,0,E112/C112)</f>
        <v>0.17057696605110104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4984663</v>
      </c>
      <c r="D113" s="146">
        <v>5391309</v>
      </c>
      <c r="E113" s="146">
        <f t="shared" si="6"/>
        <v>406646</v>
      </c>
      <c r="F113" s="150">
        <f t="shared" si="7"/>
        <v>8.1579436764330909E-2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5018165</v>
      </c>
      <c r="D114" s="146">
        <v>4994952</v>
      </c>
      <c r="E114" s="146">
        <f t="shared" si="6"/>
        <v>-23213</v>
      </c>
      <c r="F114" s="150">
        <f t="shared" si="7"/>
        <v>-4.6257944886228331E-3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2878991</v>
      </c>
      <c r="D115" s="146">
        <v>2766790</v>
      </c>
      <c r="E115" s="146">
        <f t="shared" si="6"/>
        <v>-112201</v>
      </c>
      <c r="F115" s="150">
        <f t="shared" si="7"/>
        <v>-3.8972334404657742E-2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761839</v>
      </c>
      <c r="D116" s="146">
        <v>817926</v>
      </c>
      <c r="E116" s="146">
        <f t="shared" si="6"/>
        <v>56087</v>
      </c>
      <c r="F116" s="150">
        <f t="shared" si="7"/>
        <v>7.3620541873020418E-2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3550451</v>
      </c>
      <c r="D117" s="146">
        <v>3293321</v>
      </c>
      <c r="E117" s="146">
        <f t="shared" si="6"/>
        <v>-257130</v>
      </c>
      <c r="F117" s="150">
        <f t="shared" si="7"/>
        <v>-7.2421785288685855E-2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20044658</v>
      </c>
      <c r="D118" s="147">
        <f>SUM(D112:D117)</f>
        <v>20601085</v>
      </c>
      <c r="E118" s="147">
        <f t="shared" si="6"/>
        <v>556427</v>
      </c>
      <c r="F118" s="148">
        <f t="shared" si="7"/>
        <v>2.7759366111409833E-2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41923041</v>
      </c>
      <c r="D121" s="146">
        <v>42372862</v>
      </c>
      <c r="E121" s="146">
        <f t="shared" ref="E121:E155" si="8">D121-C121</f>
        <v>449821</v>
      </c>
      <c r="F121" s="150">
        <f t="shared" ref="F121:F155" si="9">IF(C121=0,0,E121/C121)</f>
        <v>1.0729684423417662E-2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4746152</v>
      </c>
      <c r="D122" s="146">
        <v>5027775</v>
      </c>
      <c r="E122" s="146">
        <f t="shared" si="8"/>
        <v>281623</v>
      </c>
      <c r="F122" s="150">
        <f t="shared" si="9"/>
        <v>5.9337121946368344E-2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477301</v>
      </c>
      <c r="D123" s="146">
        <v>473606</v>
      </c>
      <c r="E123" s="146">
        <f t="shared" si="8"/>
        <v>-3695</v>
      </c>
      <c r="F123" s="150">
        <f t="shared" si="9"/>
        <v>-7.7414461733790628E-3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6145370</v>
      </c>
      <c r="D124" s="146">
        <v>6384904</v>
      </c>
      <c r="E124" s="146">
        <f t="shared" si="8"/>
        <v>239534</v>
      </c>
      <c r="F124" s="150">
        <f t="shared" si="9"/>
        <v>3.8977962270782721E-2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9247540</v>
      </c>
      <c r="D125" s="146">
        <v>10056422</v>
      </c>
      <c r="E125" s="146">
        <f t="shared" si="8"/>
        <v>808882</v>
      </c>
      <c r="F125" s="150">
        <f t="shared" si="9"/>
        <v>8.7469964985282575E-2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1913546</v>
      </c>
      <c r="D126" s="146">
        <v>2229889</v>
      </c>
      <c r="E126" s="146">
        <f t="shared" si="8"/>
        <v>316343</v>
      </c>
      <c r="F126" s="150">
        <f t="shared" si="9"/>
        <v>0.16531768768558477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3687445</v>
      </c>
      <c r="D127" s="146">
        <v>4608703</v>
      </c>
      <c r="E127" s="146">
        <f t="shared" si="8"/>
        <v>921258</v>
      </c>
      <c r="F127" s="150">
        <f t="shared" si="9"/>
        <v>0.24983640433959015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1169845</v>
      </c>
      <c r="D128" s="146">
        <v>1185474</v>
      </c>
      <c r="E128" s="146">
        <f t="shared" si="8"/>
        <v>15629</v>
      </c>
      <c r="F128" s="150">
        <f t="shared" si="9"/>
        <v>1.3359889558018369E-2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1668588</v>
      </c>
      <c r="D129" s="146">
        <v>1790654</v>
      </c>
      <c r="E129" s="146">
        <f t="shared" si="8"/>
        <v>122066</v>
      </c>
      <c r="F129" s="150">
        <f t="shared" si="9"/>
        <v>7.3155266608653541E-2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15438972</v>
      </c>
      <c r="D130" s="146">
        <v>17108475</v>
      </c>
      <c r="E130" s="146">
        <f t="shared" si="8"/>
        <v>1669503</v>
      </c>
      <c r="F130" s="150">
        <f t="shared" si="9"/>
        <v>0.10813563234650597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7993591</v>
      </c>
      <c r="D132" s="146">
        <v>8068354</v>
      </c>
      <c r="E132" s="146">
        <f t="shared" si="8"/>
        <v>74763</v>
      </c>
      <c r="F132" s="150">
        <f t="shared" si="9"/>
        <v>9.352867816229276E-3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3929385</v>
      </c>
      <c r="D133" s="146">
        <v>4968514</v>
      </c>
      <c r="E133" s="146">
        <f t="shared" si="8"/>
        <v>1039129</v>
      </c>
      <c r="F133" s="150">
        <f t="shared" si="9"/>
        <v>0.26445079828013801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351319</v>
      </c>
      <c r="D134" s="146">
        <v>339602</v>
      </c>
      <c r="E134" s="146">
        <f t="shared" si="8"/>
        <v>-11717</v>
      </c>
      <c r="F134" s="150">
        <f t="shared" si="9"/>
        <v>-3.3351455514788554E-2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206727</v>
      </c>
      <c r="D135" s="146">
        <v>191878</v>
      </c>
      <c r="E135" s="146">
        <f t="shared" si="8"/>
        <v>-14849</v>
      </c>
      <c r="F135" s="150">
        <f t="shared" si="9"/>
        <v>-7.1829030557208295E-2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34970</v>
      </c>
      <c r="D136" s="146">
        <v>33731</v>
      </c>
      <c r="E136" s="146">
        <f t="shared" si="8"/>
        <v>-1239</v>
      </c>
      <c r="F136" s="150">
        <f t="shared" si="9"/>
        <v>-3.5430368887617955E-2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3363984</v>
      </c>
      <c r="D138" s="146">
        <v>3501776</v>
      </c>
      <c r="E138" s="146">
        <f t="shared" si="8"/>
        <v>137792</v>
      </c>
      <c r="F138" s="150">
        <f t="shared" si="9"/>
        <v>4.0960955819052645E-2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982155</v>
      </c>
      <c r="D139" s="146">
        <v>1037130</v>
      </c>
      <c r="E139" s="146">
        <f t="shared" si="8"/>
        <v>54975</v>
      </c>
      <c r="F139" s="150">
        <f t="shared" si="9"/>
        <v>5.5973853414175968E-2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753337</v>
      </c>
      <c r="D140" s="146">
        <v>826405</v>
      </c>
      <c r="E140" s="146">
        <f t="shared" si="8"/>
        <v>73068</v>
      </c>
      <c r="F140" s="150">
        <f t="shared" si="9"/>
        <v>9.6992448266844722E-2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494722</v>
      </c>
      <c r="D143" s="146">
        <v>431515</v>
      </c>
      <c r="E143" s="146">
        <f t="shared" si="8"/>
        <v>-63207</v>
      </c>
      <c r="F143" s="150">
        <f t="shared" si="9"/>
        <v>-0.12776266266711406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7767195</v>
      </c>
      <c r="D144" s="146">
        <v>7939960</v>
      </c>
      <c r="E144" s="146">
        <f t="shared" si="8"/>
        <v>172765</v>
      </c>
      <c r="F144" s="150">
        <f t="shared" si="9"/>
        <v>2.224290751036893E-2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1959146</v>
      </c>
      <c r="D145" s="146">
        <v>1926353</v>
      </c>
      <c r="E145" s="146">
        <f t="shared" si="8"/>
        <v>-32793</v>
      </c>
      <c r="F145" s="150">
        <f t="shared" si="9"/>
        <v>-1.6738415615783611E-2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315518</v>
      </c>
      <c r="D147" s="146">
        <v>336750</v>
      </c>
      <c r="E147" s="146">
        <f t="shared" si="8"/>
        <v>21232</v>
      </c>
      <c r="F147" s="150">
        <f t="shared" si="9"/>
        <v>6.7292515799415559E-2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3666007</v>
      </c>
      <c r="D152" s="146">
        <v>4197538</v>
      </c>
      <c r="E152" s="146">
        <f t="shared" si="8"/>
        <v>531531</v>
      </c>
      <c r="F152" s="150">
        <f t="shared" si="9"/>
        <v>0.14498908485444789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118235856</v>
      </c>
      <c r="D155" s="147">
        <f>SUM(D121:D154)</f>
        <v>125038270</v>
      </c>
      <c r="E155" s="147">
        <f t="shared" si="8"/>
        <v>6802414</v>
      </c>
      <c r="F155" s="148">
        <f t="shared" si="9"/>
        <v>5.753258131780261E-2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34923222</v>
      </c>
      <c r="D158" s="146">
        <v>39827569</v>
      </c>
      <c r="E158" s="146">
        <f t="shared" ref="E158:E171" si="10">D158-C158</f>
        <v>4904347</v>
      </c>
      <c r="F158" s="150">
        <f t="shared" ref="F158:F171" si="11">IF(C158=0,0,E158/C158)</f>
        <v>0.14043226023074273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7407067</v>
      </c>
      <c r="D159" s="146">
        <v>7927171</v>
      </c>
      <c r="E159" s="146">
        <f t="shared" si="10"/>
        <v>520104</v>
      </c>
      <c r="F159" s="150">
        <f t="shared" si="11"/>
        <v>7.0217266834497374E-2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3731737</v>
      </c>
      <c r="D161" s="146">
        <v>3725398</v>
      </c>
      <c r="E161" s="146">
        <f t="shared" si="10"/>
        <v>-6339</v>
      </c>
      <c r="F161" s="150">
        <f t="shared" si="11"/>
        <v>-1.6986727628447557E-3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4649542</v>
      </c>
      <c r="D162" s="146">
        <v>4807570</v>
      </c>
      <c r="E162" s="146">
        <f t="shared" si="10"/>
        <v>158028</v>
      </c>
      <c r="F162" s="150">
        <f t="shared" si="11"/>
        <v>3.3987863750881267E-2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5629735</v>
      </c>
      <c r="D163" s="146">
        <v>5544039</v>
      </c>
      <c r="E163" s="146">
        <f t="shared" si="10"/>
        <v>-85696</v>
      </c>
      <c r="F163" s="150">
        <f t="shared" si="11"/>
        <v>-1.5222030877119439E-2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1963580</v>
      </c>
      <c r="D164" s="146">
        <v>2230725</v>
      </c>
      <c r="E164" s="146">
        <f t="shared" si="10"/>
        <v>267145</v>
      </c>
      <c r="F164" s="150">
        <f t="shared" si="11"/>
        <v>0.13604996995284124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2451418</v>
      </c>
      <c r="D166" s="146">
        <v>2373075</v>
      </c>
      <c r="E166" s="146">
        <f t="shared" si="10"/>
        <v>-78343</v>
      </c>
      <c r="F166" s="150">
        <f t="shared" si="11"/>
        <v>-3.1958238048345897E-2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2977292</v>
      </c>
      <c r="D167" s="146">
        <v>3320334</v>
      </c>
      <c r="E167" s="146">
        <f t="shared" si="10"/>
        <v>343042</v>
      </c>
      <c r="F167" s="150">
        <f t="shared" si="11"/>
        <v>0.11521946789229945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7272195</v>
      </c>
      <c r="D169" s="146">
        <v>7186991</v>
      </c>
      <c r="E169" s="146">
        <f t="shared" si="10"/>
        <v>-85204</v>
      </c>
      <c r="F169" s="150">
        <f t="shared" si="11"/>
        <v>-1.1716407494573509E-2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71005788</v>
      </c>
      <c r="D171" s="147">
        <f>SUM(D158:D170)</f>
        <v>76942872</v>
      </c>
      <c r="E171" s="147">
        <f t="shared" si="10"/>
        <v>5937084</v>
      </c>
      <c r="F171" s="148">
        <f t="shared" si="11"/>
        <v>8.3614085094020782E-2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18514837</v>
      </c>
      <c r="D174" s="146">
        <v>17985585</v>
      </c>
      <c r="E174" s="146">
        <f>D174-C174</f>
        <v>-529252</v>
      </c>
      <c r="F174" s="150">
        <f>IF(C174=0,0,E174/C174)</f>
        <v>-2.8585290812984204E-2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425519879</v>
      </c>
      <c r="D176" s="147">
        <f>+D174+D171+D155+D118+D109</f>
        <v>431680034</v>
      </c>
      <c r="E176" s="147">
        <f>D176-C176</f>
        <v>6160155</v>
      </c>
      <c r="F176" s="148">
        <f>IF(C176=0,0,E176/C176)</f>
        <v>1.4476773716134659E-2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FILING&amp;RSTAMFORD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381968990</v>
      </c>
      <c r="D11" s="164">
        <v>416937724</v>
      </c>
      <c r="E11" s="51">
        <v>429753819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23149832</v>
      </c>
      <c r="D12" s="49">
        <v>27261542</v>
      </c>
      <c r="E12" s="49">
        <v>27480695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405118822</v>
      </c>
      <c r="D13" s="51">
        <f>+D11+D12</f>
        <v>444199266</v>
      </c>
      <c r="E13" s="51">
        <f>+E11+E12</f>
        <v>457234514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389133838</v>
      </c>
      <c r="D14" s="49">
        <v>425519879</v>
      </c>
      <c r="E14" s="49">
        <v>431680034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15984984</v>
      </c>
      <c r="D15" s="51">
        <f>+D13-D14</f>
        <v>18679387</v>
      </c>
      <c r="E15" s="51">
        <f>+E13-E14</f>
        <v>25554480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-4206071</v>
      </c>
      <c r="D16" s="49">
        <v>-988395</v>
      </c>
      <c r="E16" s="49">
        <v>-167187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11778913</v>
      </c>
      <c r="D17" s="51">
        <f>D15+D16</f>
        <v>17690992</v>
      </c>
      <c r="E17" s="51">
        <f>E15+E16</f>
        <v>25387293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3.9871478171069695E-2</v>
      </c>
      <c r="D20" s="169">
        <f>IF(+D27=0,0,+D24/+D27)</f>
        <v>4.2145597552366895E-2</v>
      </c>
      <c r="E20" s="169">
        <f>IF(+E27=0,0,+E24/+E27)</f>
        <v>5.5909662516743404E-2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-1.0491237780561387E-2</v>
      </c>
      <c r="D21" s="169">
        <f>IF(D27=0,0,+D26/D27)</f>
        <v>-2.230078422422089E-3</v>
      </c>
      <c r="E21" s="169">
        <f>IF(E27=0,0,+E26/E27)</f>
        <v>-3.6578199780182492E-4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2.9380240390508308E-2</v>
      </c>
      <c r="D22" s="169">
        <f>IF(D27=0,0,+D28/D27)</f>
        <v>3.9915519129944808E-2</v>
      </c>
      <c r="E22" s="169">
        <f>IF(E27=0,0,+E28/E27)</f>
        <v>5.5543880518941581E-2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15984984</v>
      </c>
      <c r="D24" s="51">
        <f>+D15</f>
        <v>18679387</v>
      </c>
      <c r="E24" s="51">
        <f>+E15</f>
        <v>25554480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405118822</v>
      </c>
      <c r="D25" s="51">
        <f>+D13</f>
        <v>444199266</v>
      </c>
      <c r="E25" s="51">
        <f>+E13</f>
        <v>457234514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-4206071</v>
      </c>
      <c r="D26" s="51">
        <f>+D16</f>
        <v>-988395</v>
      </c>
      <c r="E26" s="51">
        <f>+E16</f>
        <v>-167187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400912751</v>
      </c>
      <c r="D27" s="51">
        <f>+D25+D26</f>
        <v>443210871</v>
      </c>
      <c r="E27" s="51">
        <f>+E25+E26</f>
        <v>457067327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11778913</v>
      </c>
      <c r="D28" s="51">
        <f>+D17</f>
        <v>17690992</v>
      </c>
      <c r="E28" s="51">
        <f>+E17</f>
        <v>25387293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111130289</v>
      </c>
      <c r="D31" s="51">
        <v>42615000</v>
      </c>
      <c r="E31" s="51">
        <v>82055000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141187158</v>
      </c>
      <c r="D32" s="51">
        <v>70813000</v>
      </c>
      <c r="E32" s="51">
        <v>109583000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-1590256</v>
      </c>
      <c r="D33" s="51">
        <f>+D32-C32</f>
        <v>-70374158</v>
      </c>
      <c r="E33" s="51">
        <f>+E32-D32</f>
        <v>38770000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0.98880000000000001</v>
      </c>
      <c r="D34" s="171">
        <f>IF(C32=0,0,+D33/C32)</f>
        <v>-0.49844588556701452</v>
      </c>
      <c r="E34" s="171">
        <f>IF(D32=0,0,+E33/D32)</f>
        <v>0.54749834070015391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0.38409476700712841</v>
      </c>
      <c r="D38" s="172">
        <f>IF((D40+D41)=0,0,+D39/(D40+D41))</f>
        <v>0.36044485216377548</v>
      </c>
      <c r="E38" s="172">
        <f>IF((E40+E41)=0,0,+E39/(E40+E41))</f>
        <v>0.3288519513568034</v>
      </c>
      <c r="F38" s="5"/>
    </row>
    <row r="39" spans="1:6" ht="24" customHeight="1" x14ac:dyDescent="0.2">
      <c r="A39" s="21">
        <v>2</v>
      </c>
      <c r="B39" s="48" t="s">
        <v>324</v>
      </c>
      <c r="C39" s="51">
        <v>389133838</v>
      </c>
      <c r="D39" s="51">
        <v>425519879</v>
      </c>
      <c r="E39" s="23">
        <v>431680034</v>
      </c>
      <c r="F39" s="5"/>
    </row>
    <row r="40" spans="1:6" ht="24" customHeight="1" x14ac:dyDescent="0.2">
      <c r="A40" s="21">
        <v>3</v>
      </c>
      <c r="B40" s="48" t="s">
        <v>325</v>
      </c>
      <c r="C40" s="51">
        <v>989969511</v>
      </c>
      <c r="D40" s="51">
        <v>1157017313</v>
      </c>
      <c r="E40" s="23">
        <v>1288625721</v>
      </c>
      <c r="F40" s="5"/>
    </row>
    <row r="41" spans="1:6" ht="24" customHeight="1" x14ac:dyDescent="0.2">
      <c r="A41" s="21">
        <v>4</v>
      </c>
      <c r="B41" s="48" t="s">
        <v>326</v>
      </c>
      <c r="C41" s="51">
        <v>23149832</v>
      </c>
      <c r="D41" s="51">
        <v>23523556</v>
      </c>
      <c r="E41" s="23">
        <v>24062351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1.277726213179045</v>
      </c>
      <c r="D43" s="173">
        <f>IF(D38=0,0,IF((D46-D47)=0,0,((+D44-D45)/(D46-D47)/D38)))</f>
        <v>1.3212789093356772</v>
      </c>
      <c r="E43" s="173">
        <f>IF(E38=0,0,IF((E46-E47)=0,0,((+E44-E45)/(E46-E47)/E38)))</f>
        <v>1.3701003085879513</v>
      </c>
      <c r="F43" s="5"/>
    </row>
    <row r="44" spans="1:6" ht="24" customHeight="1" x14ac:dyDescent="0.2">
      <c r="A44" s="21">
        <v>6</v>
      </c>
      <c r="B44" s="48" t="s">
        <v>328</v>
      </c>
      <c r="C44" s="51">
        <v>231886476</v>
      </c>
      <c r="D44" s="51">
        <v>259720619</v>
      </c>
      <c r="E44" s="23">
        <v>268889831</v>
      </c>
      <c r="F44" s="5"/>
    </row>
    <row r="45" spans="1:6" ht="24" customHeight="1" x14ac:dyDescent="0.2">
      <c r="A45" s="21">
        <v>7</v>
      </c>
      <c r="B45" s="48" t="s">
        <v>329</v>
      </c>
      <c r="C45" s="51">
        <v>2697781</v>
      </c>
      <c r="D45" s="51">
        <v>2237759</v>
      </c>
      <c r="E45" s="23">
        <v>2164844</v>
      </c>
      <c r="F45" s="5"/>
    </row>
    <row r="46" spans="1:6" ht="24" customHeight="1" x14ac:dyDescent="0.2">
      <c r="A46" s="21">
        <v>8</v>
      </c>
      <c r="B46" s="48" t="s">
        <v>330</v>
      </c>
      <c r="C46" s="51">
        <v>519385427</v>
      </c>
      <c r="D46" s="51">
        <v>600282993</v>
      </c>
      <c r="E46" s="23">
        <v>655558531</v>
      </c>
      <c r="F46" s="5"/>
    </row>
    <row r="47" spans="1:6" ht="24" customHeight="1" x14ac:dyDescent="0.2">
      <c r="A47" s="21">
        <v>9</v>
      </c>
      <c r="B47" s="48" t="s">
        <v>331</v>
      </c>
      <c r="C47" s="51">
        <v>52385302</v>
      </c>
      <c r="D47" s="51">
        <v>59634503</v>
      </c>
      <c r="E47" s="174">
        <v>63573241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0.64038898171174075</v>
      </c>
      <c r="D49" s="175">
        <f>IF(D38=0,0,IF(D51=0,0,(D50/D51)/D38))</f>
        <v>0.62849715434042186</v>
      </c>
      <c r="E49" s="175">
        <f>IF(E38=0,0,IF(E51=0,0,(E50/E51)/E38))</f>
        <v>0.65150459264847416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92011949</v>
      </c>
      <c r="D50" s="176">
        <v>96033569</v>
      </c>
      <c r="E50" s="176">
        <v>102485288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374077846</v>
      </c>
      <c r="D51" s="176">
        <v>423917091</v>
      </c>
      <c r="E51" s="176">
        <v>478347624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0.58617255558047221</v>
      </c>
      <c r="D53" s="175">
        <f>IF(D38=0,0,IF(D55=0,0,(D54/D55)/D38))</f>
        <v>0.6128913405125036</v>
      </c>
      <c r="E53" s="175">
        <f>IF(E38=0,0,IF(E55=0,0,(E54/E55)/E38))</f>
        <v>0.53577170036238786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16419447</v>
      </c>
      <c r="D54" s="176">
        <v>21860705</v>
      </c>
      <c r="E54" s="176">
        <v>21500232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72928059</v>
      </c>
      <c r="D55" s="176">
        <v>98955936</v>
      </c>
      <c r="E55" s="176">
        <v>122028972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23253122.928960942</v>
      </c>
      <c r="D57" s="53">
        <f>+D60*D38</f>
        <v>21570630.421079792</v>
      </c>
      <c r="E57" s="53">
        <f>+E60*E38</f>
        <v>21671930.595146514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15715201</v>
      </c>
      <c r="D58" s="51">
        <v>11909791</v>
      </c>
      <c r="E58" s="52">
        <v>23197082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44824866</v>
      </c>
      <c r="D59" s="51">
        <v>47934677</v>
      </c>
      <c r="E59" s="52">
        <v>42704703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60540067</v>
      </c>
      <c r="D60" s="51">
        <v>59844468</v>
      </c>
      <c r="E60" s="52">
        <v>65901785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5.9756106147111632E-2</v>
      </c>
      <c r="D62" s="178">
        <f>IF(D63=0,0,+D57/D63)</f>
        <v>5.0692415291553966E-2</v>
      </c>
      <c r="E62" s="178">
        <f>IF(E63=0,0,+E57/E63)</f>
        <v>5.0203689974566937E-2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389133838</v>
      </c>
      <c r="D63" s="176">
        <v>425519879</v>
      </c>
      <c r="E63" s="176">
        <v>431680034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1.1534823128923561</v>
      </c>
      <c r="D67" s="179">
        <f>IF(D69=0,0,D68/D69)</f>
        <v>1.1820937499999999</v>
      </c>
      <c r="E67" s="179">
        <f>IF(E69=0,0,E68/E69)</f>
        <v>1.7177357032457496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66693691</v>
      </c>
      <c r="D68" s="180">
        <v>75654000</v>
      </c>
      <c r="E68" s="180">
        <v>115583000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57819431</v>
      </c>
      <c r="D69" s="180">
        <v>64000000</v>
      </c>
      <c r="E69" s="180">
        <v>67288000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6.9056323152735644</v>
      </c>
      <c r="D71" s="181">
        <f>IF((D77/365)=0,0,+D74/(D77/365))</f>
        <v>9.0058459680215588</v>
      </c>
      <c r="E71" s="181">
        <f>IF((E77/365)=0,0,+E74/(E77/365))</f>
        <v>44.637250181565236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6765949</v>
      </c>
      <c r="D72" s="182">
        <v>9668000</v>
      </c>
      <c r="E72" s="182">
        <v>49254000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165786</v>
      </c>
      <c r="D73" s="184">
        <v>166000</v>
      </c>
      <c r="E73" s="184">
        <v>188000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6931735</v>
      </c>
      <c r="D74" s="180">
        <f>+D72+D73</f>
        <v>9834000</v>
      </c>
      <c r="E74" s="180">
        <f>+E72+E73</f>
        <v>49442000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389133838</v>
      </c>
      <c r="D75" s="180">
        <f>+D14</f>
        <v>425519879</v>
      </c>
      <c r="E75" s="180">
        <f>+E14</f>
        <v>431680034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22754170</v>
      </c>
      <c r="D76" s="180">
        <v>26955434</v>
      </c>
      <c r="E76" s="180">
        <v>27391465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366379668</v>
      </c>
      <c r="D77" s="180">
        <f>+D75-D76</f>
        <v>398564445</v>
      </c>
      <c r="E77" s="180">
        <f>+E75-E76</f>
        <v>404288569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43.460031467475929</v>
      </c>
      <c r="D79" s="179">
        <f>IF((D84/365)=0,0,+D83/(D84/365))</f>
        <v>43.132460712525976</v>
      </c>
      <c r="E79" s="179">
        <f>IF((E84/365)=0,0,+E83/(E84/365))</f>
        <v>44.011092313294832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48238736</v>
      </c>
      <c r="D80" s="189">
        <v>50590000</v>
      </c>
      <c r="E80" s="189">
        <v>50691000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2899000</v>
      </c>
      <c r="E81" s="190">
        <v>3941000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2758231</v>
      </c>
      <c r="D82" s="190">
        <v>4219000</v>
      </c>
      <c r="E82" s="190">
        <v>2813000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45480505</v>
      </c>
      <c r="D83" s="191">
        <f>+D80+D81-D82</f>
        <v>49270000</v>
      </c>
      <c r="E83" s="191">
        <f>+E80+E81-E82</f>
        <v>51819000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381968990</v>
      </c>
      <c r="D84" s="191">
        <f>+D11</f>
        <v>416937724</v>
      </c>
      <c r="E84" s="191">
        <f>+E11</f>
        <v>429753819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57.601701617896545</v>
      </c>
      <c r="D86" s="179">
        <f>IF((D90/365)=0,0,+D87/(D90/365))</f>
        <v>58.610345937907233</v>
      </c>
      <c r="E86" s="179">
        <f>IF((E90/365)=0,0,+E87/(E90/365))</f>
        <v>60.748984471040039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57819431</v>
      </c>
      <c r="D87" s="51">
        <f>+D69</f>
        <v>64000000</v>
      </c>
      <c r="E87" s="51">
        <f>+E69</f>
        <v>67288000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389133838</v>
      </c>
      <c r="D88" s="51">
        <f t="shared" si="0"/>
        <v>425519879</v>
      </c>
      <c r="E88" s="51">
        <f t="shared" si="0"/>
        <v>431680034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22754170</v>
      </c>
      <c r="D89" s="52">
        <f t="shared" si="0"/>
        <v>26955434</v>
      </c>
      <c r="E89" s="52">
        <f t="shared" si="0"/>
        <v>27391465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366379668</v>
      </c>
      <c r="D90" s="51">
        <f>+D88-D89</f>
        <v>398564445</v>
      </c>
      <c r="E90" s="51">
        <f>+E88-E89</f>
        <v>404288569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38.361354595035593</v>
      </c>
      <c r="D94" s="192">
        <f>IF(D96=0,0,(D95/D96)*100)</f>
        <v>20.278172321367208</v>
      </c>
      <c r="E94" s="192">
        <f>IF(E96=0,0,(E95/E96)*100)</f>
        <v>25.545430598196155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141187158</v>
      </c>
      <c r="D95" s="51">
        <f>+D32</f>
        <v>70813000</v>
      </c>
      <c r="E95" s="51">
        <f>+E32</f>
        <v>109583000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368045288</v>
      </c>
      <c r="D96" s="51">
        <v>349208000</v>
      </c>
      <c r="E96" s="51">
        <v>428973000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20.455242339692159</v>
      </c>
      <c r="D98" s="192">
        <f>IF(D104=0,0,(D101/D104)*100)</f>
        <v>25.600748874681038</v>
      </c>
      <c r="E98" s="192">
        <f>IF(E104=0,0,(E101/E104)*100)</f>
        <v>26.736688584715452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11778913</v>
      </c>
      <c r="D99" s="51">
        <f>+D28</f>
        <v>17690992</v>
      </c>
      <c r="E99" s="51">
        <f>+E28</f>
        <v>25387293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22754170</v>
      </c>
      <c r="D100" s="52">
        <f>+D76</f>
        <v>26955434</v>
      </c>
      <c r="E100" s="52">
        <f>+E76</f>
        <v>27391465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34533083</v>
      </c>
      <c r="D101" s="51">
        <f>+D99+D100</f>
        <v>44646426</v>
      </c>
      <c r="E101" s="51">
        <f>+E99+E100</f>
        <v>52778758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57819431</v>
      </c>
      <c r="D102" s="180">
        <f>+D69</f>
        <v>64000000</v>
      </c>
      <c r="E102" s="180">
        <f>+E69</f>
        <v>67288000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111003223</v>
      </c>
      <c r="D103" s="194">
        <v>110395000</v>
      </c>
      <c r="E103" s="194">
        <v>130114000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168822654</v>
      </c>
      <c r="D104" s="180">
        <f>+D102+D103</f>
        <v>174395000</v>
      </c>
      <c r="E104" s="180">
        <f>+E102+E103</f>
        <v>197402000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44.015645069349411</v>
      </c>
      <c r="D106" s="197">
        <f>IF(D109=0,0,(D107/D109)*100)</f>
        <v>60.921703236060218</v>
      </c>
      <c r="E106" s="197">
        <f>IF(E109=0,0,(E107/E109)*100)</f>
        <v>54.28269857361586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111003223</v>
      </c>
      <c r="D107" s="180">
        <f>+D103</f>
        <v>110395000</v>
      </c>
      <c r="E107" s="180">
        <f>+E103</f>
        <v>130114000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141187158</v>
      </c>
      <c r="D108" s="180">
        <f>+D32</f>
        <v>70813000</v>
      </c>
      <c r="E108" s="180">
        <f>+E32</f>
        <v>109583000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252190381</v>
      </c>
      <c r="D109" s="180">
        <f>+D107+D108</f>
        <v>181208000</v>
      </c>
      <c r="E109" s="180">
        <f>+E107+E108</f>
        <v>239697000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9.1791829600172434</v>
      </c>
      <c r="D111" s="197">
        <f>IF((+D113+D115)=0,0,((+D112+D113+D114)/(+D113+D115)))</f>
        <v>1.2886712683987642</v>
      </c>
      <c r="E111" s="197">
        <f>IF((+E113+E115)=0,0,((+E112+E113+E114)/(+E113+E115)))</f>
        <v>0.47288026846162284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11778913</v>
      </c>
      <c r="D112" s="180">
        <f>+D17</f>
        <v>17690992</v>
      </c>
      <c r="E112" s="180">
        <f>+E17</f>
        <v>25387293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4222070</v>
      </c>
      <c r="D113" s="180">
        <v>5220009</v>
      </c>
      <c r="E113" s="180">
        <v>4876423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22754170</v>
      </c>
      <c r="D114" s="180">
        <v>26955434</v>
      </c>
      <c r="E114" s="180">
        <v>27391465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33476000</v>
      </c>
      <c r="E115" s="180">
        <v>117047000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10.373383164492486</v>
      </c>
      <c r="D119" s="197">
        <f>IF(+D121=0,0,(+D120)/(+D121))</f>
        <v>9.7565856294504485</v>
      </c>
      <c r="E119" s="197">
        <f>IF(+E121=0,0,(+E120)/(+E121))</f>
        <v>10.416821444198037</v>
      </c>
    </row>
    <row r="120" spans="1:8" ht="24" customHeight="1" x14ac:dyDescent="0.25">
      <c r="A120" s="17">
        <v>21</v>
      </c>
      <c r="B120" s="48" t="s">
        <v>369</v>
      </c>
      <c r="C120" s="180">
        <v>236037724</v>
      </c>
      <c r="D120" s="180">
        <v>262993000</v>
      </c>
      <c r="E120" s="180">
        <v>285332000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22754170</v>
      </c>
      <c r="D121" s="180">
        <v>26955434</v>
      </c>
      <c r="E121" s="180">
        <v>27391465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76971</v>
      </c>
      <c r="D124" s="198">
        <v>75272</v>
      </c>
      <c r="E124" s="198">
        <v>76225</v>
      </c>
    </row>
    <row r="125" spans="1:8" ht="24" customHeight="1" x14ac:dyDescent="0.2">
      <c r="A125" s="44">
        <v>2</v>
      </c>
      <c r="B125" s="48" t="s">
        <v>373</v>
      </c>
      <c r="C125" s="198">
        <v>15856</v>
      </c>
      <c r="D125" s="198">
        <v>14888</v>
      </c>
      <c r="E125" s="198">
        <v>15089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4.8543768920282542</v>
      </c>
      <c r="D126" s="199">
        <f>IF(D125=0,0,D124/D125)</f>
        <v>5.0558839333691568</v>
      </c>
      <c r="E126" s="199">
        <f>IF(E125=0,0,E124/E125)</f>
        <v>5.0516932865000994</v>
      </c>
    </row>
    <row r="127" spans="1:8" ht="24" customHeight="1" x14ac:dyDescent="0.2">
      <c r="A127" s="44">
        <v>4</v>
      </c>
      <c r="B127" s="48" t="s">
        <v>375</v>
      </c>
      <c r="C127" s="198">
        <v>319</v>
      </c>
      <c r="D127" s="198">
        <v>321</v>
      </c>
      <c r="E127" s="198">
        <v>269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330</v>
      </c>
      <c r="E128" s="198">
        <v>322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330</v>
      </c>
      <c r="D129" s="198">
        <v>330</v>
      </c>
      <c r="E129" s="198">
        <v>330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0.66100000000000003</v>
      </c>
      <c r="D130" s="171">
        <v>0.64239999999999997</v>
      </c>
      <c r="E130" s="171">
        <v>0.77629999999999999</v>
      </c>
    </row>
    <row r="131" spans="1:8" ht="24" customHeight="1" x14ac:dyDescent="0.2">
      <c r="A131" s="44">
        <v>7</v>
      </c>
      <c r="B131" s="48" t="s">
        <v>379</v>
      </c>
      <c r="C131" s="171">
        <v>0.63900000000000001</v>
      </c>
      <c r="D131" s="171">
        <v>0.62490000000000001</v>
      </c>
      <c r="E131" s="171">
        <v>0.64849999999999997</v>
      </c>
    </row>
    <row r="132" spans="1:8" ht="24" customHeight="1" x14ac:dyDescent="0.2">
      <c r="A132" s="44">
        <v>8</v>
      </c>
      <c r="B132" s="48" t="s">
        <v>380</v>
      </c>
      <c r="C132" s="199">
        <v>1879.3</v>
      </c>
      <c r="D132" s="199">
        <v>1898.4</v>
      </c>
      <c r="E132" s="199">
        <v>2051.8000000000002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0.47173182589054502</v>
      </c>
      <c r="D135" s="203">
        <f>IF(D149=0,0,D143/D149)</f>
        <v>0.46727778739815623</v>
      </c>
      <c r="E135" s="203">
        <f>IF(E149=0,0,E143/E149)</f>
        <v>0.45939273161535787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0.377868047291812</v>
      </c>
      <c r="D136" s="203">
        <f>IF(D149=0,0,D144/D149)</f>
        <v>0.36638785456099737</v>
      </c>
      <c r="E136" s="203">
        <f>IF(E149=0,0,E144/E149)</f>
        <v>0.37120757113926955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7.3666974780196029E-2</v>
      </c>
      <c r="D137" s="203">
        <f>IF(D149=0,0,D145/D149)</f>
        <v>8.5526754775535493E-2</v>
      </c>
      <c r="E137" s="203">
        <f>IF(E149=0,0,E145/E149)</f>
        <v>9.4696986108039977E-2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2.329858722285438E-2</v>
      </c>
      <c r="D138" s="203">
        <f>IF(D149=0,0,D146/D149)</f>
        <v>2.8767422601220834E-2</v>
      </c>
      <c r="E138" s="203">
        <f>IF(E149=0,0,E146/E149)</f>
        <v>2.4843710224219558E-2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5.2916076119439201E-2</v>
      </c>
      <c r="D139" s="203">
        <f>IF(D149=0,0,D147/D149)</f>
        <v>5.1541582247697962E-2</v>
      </c>
      <c r="E139" s="203">
        <f>IF(E149=0,0,E147/E149)</f>
        <v>4.9334139435511085E-2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5.1848869515336011E-4</v>
      </c>
      <c r="D140" s="203">
        <f>IF(D149=0,0,D148/D149)</f>
        <v>4.9859841639206314E-4</v>
      </c>
      <c r="E140" s="203">
        <f>IF(E149=0,0,E148/E149)</f>
        <v>5.2486147760199794E-4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467000125</v>
      </c>
      <c r="D143" s="205">
        <f>+D46-D147</f>
        <v>540648490</v>
      </c>
      <c r="E143" s="205">
        <f>+E46-E147</f>
        <v>591985290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374077846</v>
      </c>
      <c r="D144" s="205">
        <f>+D51</f>
        <v>423917091</v>
      </c>
      <c r="E144" s="205">
        <f>+E51</f>
        <v>478347624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72928059</v>
      </c>
      <c r="D145" s="205">
        <f>+D55</f>
        <v>98955936</v>
      </c>
      <c r="E145" s="205">
        <f>+E55</f>
        <v>122028972</v>
      </c>
    </row>
    <row r="146" spans="1:7" ht="20.100000000000001" customHeight="1" x14ac:dyDescent="0.2">
      <c r="A146" s="202">
        <v>11</v>
      </c>
      <c r="B146" s="201" t="s">
        <v>392</v>
      </c>
      <c r="C146" s="204">
        <v>23064891</v>
      </c>
      <c r="D146" s="205">
        <v>33284406</v>
      </c>
      <c r="E146" s="205">
        <v>32014244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52385302</v>
      </c>
      <c r="D147" s="205">
        <f>+D47</f>
        <v>59634503</v>
      </c>
      <c r="E147" s="205">
        <f>+E47</f>
        <v>63573241</v>
      </c>
    </row>
    <row r="148" spans="1:7" ht="20.100000000000001" customHeight="1" x14ac:dyDescent="0.2">
      <c r="A148" s="202">
        <v>13</v>
      </c>
      <c r="B148" s="201" t="s">
        <v>394</v>
      </c>
      <c r="C148" s="206">
        <v>513288</v>
      </c>
      <c r="D148" s="205">
        <v>576887</v>
      </c>
      <c r="E148" s="205">
        <v>676350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989969511</v>
      </c>
      <c r="D149" s="205">
        <f>SUM(D143:D148)</f>
        <v>1157017313</v>
      </c>
      <c r="E149" s="205">
        <f>SUM(E143:E148)</f>
        <v>1288625721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0.6649287004316824</v>
      </c>
      <c r="D152" s="203">
        <f>IF(D166=0,0,D160/D166)</f>
        <v>0.67499966713091997</v>
      </c>
      <c r="E152" s="203">
        <f>IF(E166=0,0,E160/E166)</f>
        <v>0.67527552002078528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0.26694765931956743</v>
      </c>
      <c r="D153" s="203">
        <f>IF(D166=0,0,D161/D166)</f>
        <v>0.2517551153051284</v>
      </c>
      <c r="E153" s="203">
        <f>IF(E166=0,0,E161/E166)</f>
        <v>0.25946502773165359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4.7636562333569235E-2</v>
      </c>
      <c r="D154" s="203">
        <f>IF(D166=0,0,D162/D166)</f>
        <v>5.7308547055315594E-2</v>
      </c>
      <c r="E154" s="203">
        <f>IF(E166=0,0,E162/E166)</f>
        <v>5.4432771776149823E-2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1.2190345751257225E-2</v>
      </c>
      <c r="D155" s="203">
        <f>IF(D166=0,0,D163/D166)</f>
        <v>9.5972309822548816E-3</v>
      </c>
      <c r="E155" s="203">
        <f>IF(E166=0,0,E163/E166)</f>
        <v>5.0670414125932638E-3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7.8268782602007696E-3</v>
      </c>
      <c r="D156" s="203">
        <f>IF(D166=0,0,D164/D166)</f>
        <v>5.8663577844335745E-3</v>
      </c>
      <c r="E156" s="203">
        <f>IF(E166=0,0,E164/E166)</f>
        <v>5.4807994343022571E-3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4.6985390372291692E-4</v>
      </c>
      <c r="D157" s="203">
        <f>IF(D166=0,0,D165/D166)</f>
        <v>4.730817419475837E-4</v>
      </c>
      <c r="E157" s="203">
        <f>IF(E166=0,0,E165/E166)</f>
        <v>2.7883962451575358E-4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229188695</v>
      </c>
      <c r="D160" s="208">
        <f>+D44-D164</f>
        <v>257482860</v>
      </c>
      <c r="E160" s="208">
        <f>+E44-E164</f>
        <v>266724987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92011949</v>
      </c>
      <c r="D161" s="208">
        <f>+D50</f>
        <v>96033569</v>
      </c>
      <c r="E161" s="208">
        <f>+E50</f>
        <v>102485288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16419447</v>
      </c>
      <c r="D162" s="208">
        <f>+D54</f>
        <v>21860705</v>
      </c>
      <c r="E162" s="208">
        <f>+E54</f>
        <v>21500232</v>
      </c>
    </row>
    <row r="163" spans="1:6" ht="20.100000000000001" customHeight="1" x14ac:dyDescent="0.2">
      <c r="A163" s="202">
        <v>11</v>
      </c>
      <c r="B163" s="201" t="s">
        <v>408</v>
      </c>
      <c r="C163" s="207">
        <v>4201788</v>
      </c>
      <c r="D163" s="208">
        <v>3660924</v>
      </c>
      <c r="E163" s="208">
        <v>2001415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2697781</v>
      </c>
      <c r="D164" s="208">
        <f>+D45</f>
        <v>2237759</v>
      </c>
      <c r="E164" s="208">
        <f>+E45</f>
        <v>2164844</v>
      </c>
    </row>
    <row r="165" spans="1:6" ht="20.100000000000001" customHeight="1" x14ac:dyDescent="0.2">
      <c r="A165" s="202">
        <v>13</v>
      </c>
      <c r="B165" s="201" t="s">
        <v>410</v>
      </c>
      <c r="C165" s="209">
        <v>161950</v>
      </c>
      <c r="D165" s="208">
        <v>180460</v>
      </c>
      <c r="E165" s="208">
        <v>110138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344681610</v>
      </c>
      <c r="D166" s="208">
        <f>SUM(D160:D165)</f>
        <v>381456277</v>
      </c>
      <c r="E166" s="208">
        <f>SUM(E160:E165)</f>
        <v>394986904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7456</v>
      </c>
      <c r="D169" s="198">
        <v>7028</v>
      </c>
      <c r="E169" s="198">
        <v>6787</v>
      </c>
    </row>
    <row r="170" spans="1:6" ht="20.100000000000001" customHeight="1" x14ac:dyDescent="0.2">
      <c r="A170" s="202">
        <v>2</v>
      </c>
      <c r="B170" s="201" t="s">
        <v>414</v>
      </c>
      <c r="C170" s="198">
        <v>5763</v>
      </c>
      <c r="D170" s="198">
        <v>5093</v>
      </c>
      <c r="E170" s="198">
        <v>5382</v>
      </c>
    </row>
    <row r="171" spans="1:6" ht="20.100000000000001" customHeight="1" x14ac:dyDescent="0.2">
      <c r="A171" s="202">
        <v>3</v>
      </c>
      <c r="B171" s="201" t="s">
        <v>415</v>
      </c>
      <c r="C171" s="198">
        <v>2630</v>
      </c>
      <c r="D171" s="198">
        <v>2756</v>
      </c>
      <c r="E171" s="198">
        <v>2907</v>
      </c>
    </row>
    <row r="172" spans="1:6" ht="20.100000000000001" customHeight="1" x14ac:dyDescent="0.2">
      <c r="A172" s="202">
        <v>4</v>
      </c>
      <c r="B172" s="201" t="s">
        <v>416</v>
      </c>
      <c r="C172" s="198">
        <v>2209</v>
      </c>
      <c r="D172" s="198">
        <v>2285</v>
      </c>
      <c r="E172" s="198">
        <v>2457</v>
      </c>
    </row>
    <row r="173" spans="1:6" ht="20.100000000000001" customHeight="1" x14ac:dyDescent="0.2">
      <c r="A173" s="202">
        <v>5</v>
      </c>
      <c r="B173" s="201" t="s">
        <v>417</v>
      </c>
      <c r="C173" s="198">
        <v>421</v>
      </c>
      <c r="D173" s="198">
        <v>471</v>
      </c>
      <c r="E173" s="198">
        <v>450</v>
      </c>
    </row>
    <row r="174" spans="1:6" ht="20.100000000000001" customHeight="1" x14ac:dyDescent="0.2">
      <c r="A174" s="202">
        <v>6</v>
      </c>
      <c r="B174" s="201" t="s">
        <v>418</v>
      </c>
      <c r="C174" s="198">
        <v>7</v>
      </c>
      <c r="D174" s="198">
        <v>11</v>
      </c>
      <c r="E174" s="198">
        <v>13</v>
      </c>
    </row>
    <row r="175" spans="1:6" ht="20.100000000000001" customHeight="1" x14ac:dyDescent="0.2">
      <c r="A175" s="202">
        <v>7</v>
      </c>
      <c r="B175" s="201" t="s">
        <v>419</v>
      </c>
      <c r="C175" s="198">
        <v>590</v>
      </c>
      <c r="D175" s="198">
        <v>590</v>
      </c>
      <c r="E175" s="198">
        <v>490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15856</v>
      </c>
      <c r="D176" s="198">
        <f>+D169+D170+D171+D174</f>
        <v>14888</v>
      </c>
      <c r="E176" s="198">
        <f>+E169+E170+E171+E174</f>
        <v>15089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1.0411999999999999</v>
      </c>
      <c r="D179" s="210">
        <v>1.04837</v>
      </c>
      <c r="E179" s="210">
        <v>1.06006</v>
      </c>
    </row>
    <row r="180" spans="1:6" ht="20.100000000000001" customHeight="1" x14ac:dyDescent="0.2">
      <c r="A180" s="202">
        <v>2</v>
      </c>
      <c r="B180" s="201" t="s">
        <v>414</v>
      </c>
      <c r="C180" s="210">
        <v>1.54308</v>
      </c>
      <c r="D180" s="210">
        <v>1.5766899999999999</v>
      </c>
      <c r="E180" s="210">
        <v>1.5350900000000001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0.91413199999999994</v>
      </c>
      <c r="D181" s="210">
        <v>0.96681899999999998</v>
      </c>
      <c r="E181" s="210">
        <v>0.97161799999999998</v>
      </c>
    </row>
    <row r="182" spans="1:6" ht="20.100000000000001" customHeight="1" x14ac:dyDescent="0.2">
      <c r="A182" s="202">
        <v>4</v>
      </c>
      <c r="B182" s="201" t="s">
        <v>416</v>
      </c>
      <c r="C182" s="210">
        <v>0.85699000000000003</v>
      </c>
      <c r="D182" s="210">
        <v>0.88258999999999999</v>
      </c>
      <c r="E182" s="210">
        <v>0.92154999999999998</v>
      </c>
    </row>
    <row r="183" spans="1:6" ht="20.100000000000001" customHeight="1" x14ac:dyDescent="0.2">
      <c r="A183" s="202">
        <v>5</v>
      </c>
      <c r="B183" s="201" t="s">
        <v>417</v>
      </c>
      <c r="C183" s="210">
        <v>1.2139599999999999</v>
      </c>
      <c r="D183" s="210">
        <v>1.3754500000000001</v>
      </c>
      <c r="E183" s="210">
        <v>1.24499</v>
      </c>
    </row>
    <row r="184" spans="1:6" ht="20.100000000000001" customHeight="1" x14ac:dyDescent="0.2">
      <c r="A184" s="202">
        <v>6</v>
      </c>
      <c r="B184" s="201" t="s">
        <v>418</v>
      </c>
      <c r="C184" s="210">
        <v>1.3093699999999999</v>
      </c>
      <c r="D184" s="210">
        <v>1.0287200000000001</v>
      </c>
      <c r="E184" s="210">
        <v>0.75034000000000001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1.1372199999999999</v>
      </c>
      <c r="D185" s="210">
        <v>1.2307600000000001</v>
      </c>
      <c r="E185" s="210">
        <v>1.1037699999999999</v>
      </c>
    </row>
    <row r="186" spans="1:6" ht="20.100000000000001" customHeight="1" x14ac:dyDescent="0.2">
      <c r="A186" s="202">
        <v>8</v>
      </c>
      <c r="B186" s="201" t="s">
        <v>423</v>
      </c>
      <c r="C186" s="210">
        <v>1.2026539999999999</v>
      </c>
      <c r="D186" s="210">
        <v>1.2139899999999999</v>
      </c>
      <c r="E186" s="210">
        <v>1.212189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8327</v>
      </c>
      <c r="D189" s="198">
        <v>7214</v>
      </c>
      <c r="E189" s="198">
        <v>8068</v>
      </c>
    </row>
    <row r="190" spans="1:6" ht="20.100000000000001" customHeight="1" x14ac:dyDescent="0.2">
      <c r="A190" s="202">
        <v>2</v>
      </c>
      <c r="B190" s="201" t="s">
        <v>427</v>
      </c>
      <c r="C190" s="198">
        <v>37113</v>
      </c>
      <c r="D190" s="198">
        <v>39086</v>
      </c>
      <c r="E190" s="198">
        <v>39642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45440</v>
      </c>
      <c r="D191" s="198">
        <f>+D190+D189</f>
        <v>46300</v>
      </c>
      <c r="E191" s="198">
        <f>+E190+E189</f>
        <v>47710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FILING&amp;RSTAMFORD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abSelected="1"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480207</v>
      </c>
      <c r="D14" s="237">
        <v>1535362</v>
      </c>
      <c r="E14" s="237">
        <f t="shared" ref="E14:E24" si="0">D14-C14</f>
        <v>1055155</v>
      </c>
      <c r="F14" s="238">
        <f t="shared" ref="F14:F24" si="1">IF(C14=0,0,E14/C14)</f>
        <v>2.1972920011578339</v>
      </c>
    </row>
    <row r="15" spans="1:7" ht="20.25" customHeight="1" x14ac:dyDescent="0.3">
      <c r="A15" s="235">
        <v>2</v>
      </c>
      <c r="B15" s="236" t="s">
        <v>435</v>
      </c>
      <c r="C15" s="237">
        <v>108104</v>
      </c>
      <c r="D15" s="237">
        <v>427323</v>
      </c>
      <c r="E15" s="237">
        <f t="shared" si="0"/>
        <v>319219</v>
      </c>
      <c r="F15" s="238">
        <f t="shared" si="1"/>
        <v>2.9528879597424704</v>
      </c>
    </row>
    <row r="16" spans="1:7" ht="20.25" customHeight="1" x14ac:dyDescent="0.3">
      <c r="A16" s="235">
        <v>3</v>
      </c>
      <c r="B16" s="236" t="s">
        <v>436</v>
      </c>
      <c r="C16" s="237">
        <v>592044</v>
      </c>
      <c r="D16" s="237">
        <v>869944</v>
      </c>
      <c r="E16" s="237">
        <f t="shared" si="0"/>
        <v>277900</v>
      </c>
      <c r="F16" s="238">
        <f t="shared" si="1"/>
        <v>0.46939078852247468</v>
      </c>
    </row>
    <row r="17" spans="1:6" ht="20.25" customHeight="1" x14ac:dyDescent="0.3">
      <c r="A17" s="235">
        <v>4</v>
      </c>
      <c r="B17" s="236" t="s">
        <v>437</v>
      </c>
      <c r="C17" s="237">
        <v>115120</v>
      </c>
      <c r="D17" s="237">
        <v>138637</v>
      </c>
      <c r="E17" s="237">
        <f t="shared" si="0"/>
        <v>23517</v>
      </c>
      <c r="F17" s="238">
        <f t="shared" si="1"/>
        <v>0.20428248783877692</v>
      </c>
    </row>
    <row r="18" spans="1:6" ht="20.25" customHeight="1" x14ac:dyDescent="0.3">
      <c r="A18" s="235">
        <v>5</v>
      </c>
      <c r="B18" s="236" t="s">
        <v>373</v>
      </c>
      <c r="C18" s="239">
        <v>15</v>
      </c>
      <c r="D18" s="239">
        <v>31</v>
      </c>
      <c r="E18" s="239">
        <f t="shared" si="0"/>
        <v>16</v>
      </c>
      <c r="F18" s="238">
        <f t="shared" si="1"/>
        <v>1.0666666666666667</v>
      </c>
    </row>
    <row r="19" spans="1:6" ht="20.25" customHeight="1" x14ac:dyDescent="0.3">
      <c r="A19" s="235">
        <v>6</v>
      </c>
      <c r="B19" s="236" t="s">
        <v>372</v>
      </c>
      <c r="C19" s="239">
        <v>63</v>
      </c>
      <c r="D19" s="239">
        <v>155</v>
      </c>
      <c r="E19" s="239">
        <f t="shared" si="0"/>
        <v>92</v>
      </c>
      <c r="F19" s="238">
        <f t="shared" si="1"/>
        <v>1.4603174603174602</v>
      </c>
    </row>
    <row r="20" spans="1:6" ht="20.25" customHeight="1" x14ac:dyDescent="0.3">
      <c r="A20" s="235">
        <v>7</v>
      </c>
      <c r="B20" s="236" t="s">
        <v>438</v>
      </c>
      <c r="C20" s="239">
        <v>197</v>
      </c>
      <c r="D20" s="239">
        <v>229</v>
      </c>
      <c r="E20" s="239">
        <f t="shared" si="0"/>
        <v>32</v>
      </c>
      <c r="F20" s="238">
        <f t="shared" si="1"/>
        <v>0.16243654822335024</v>
      </c>
    </row>
    <row r="21" spans="1:6" ht="20.25" customHeight="1" x14ac:dyDescent="0.3">
      <c r="A21" s="235">
        <v>8</v>
      </c>
      <c r="B21" s="236" t="s">
        <v>439</v>
      </c>
      <c r="C21" s="239">
        <v>17</v>
      </c>
      <c r="D21" s="239">
        <v>26</v>
      </c>
      <c r="E21" s="239">
        <f t="shared" si="0"/>
        <v>9</v>
      </c>
      <c r="F21" s="238">
        <f t="shared" si="1"/>
        <v>0.52941176470588236</v>
      </c>
    </row>
    <row r="22" spans="1:6" ht="20.25" customHeight="1" x14ac:dyDescent="0.3">
      <c r="A22" s="235">
        <v>9</v>
      </c>
      <c r="B22" s="236" t="s">
        <v>440</v>
      </c>
      <c r="C22" s="239">
        <v>9</v>
      </c>
      <c r="D22" s="239">
        <v>17</v>
      </c>
      <c r="E22" s="239">
        <f t="shared" si="0"/>
        <v>8</v>
      </c>
      <c r="F22" s="238">
        <f t="shared" si="1"/>
        <v>0.88888888888888884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1072251</v>
      </c>
      <c r="D23" s="243">
        <f>+D14+D16</f>
        <v>2405306</v>
      </c>
      <c r="E23" s="243">
        <f t="shared" si="0"/>
        <v>1333055</v>
      </c>
      <c r="F23" s="244">
        <f t="shared" si="1"/>
        <v>1.2432303630399972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223224</v>
      </c>
      <c r="D24" s="243">
        <f>+D15+D17</f>
        <v>565960</v>
      </c>
      <c r="E24" s="243">
        <f t="shared" si="0"/>
        <v>342736</v>
      </c>
      <c r="F24" s="244">
        <f t="shared" si="1"/>
        <v>1.5353904598071892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1328</v>
      </c>
      <c r="D29" s="237">
        <v>0</v>
      </c>
      <c r="E29" s="237">
        <f t="shared" si="2"/>
        <v>-1328</v>
      </c>
      <c r="F29" s="238">
        <f t="shared" si="3"/>
        <v>-1</v>
      </c>
    </row>
    <row r="30" spans="1:6" ht="20.25" customHeight="1" x14ac:dyDescent="0.3">
      <c r="A30" s="235">
        <v>4</v>
      </c>
      <c r="B30" s="236" t="s">
        <v>437</v>
      </c>
      <c r="C30" s="237">
        <v>181</v>
      </c>
      <c r="D30" s="237">
        <v>0</v>
      </c>
      <c r="E30" s="237">
        <f t="shared" si="2"/>
        <v>-181</v>
      </c>
      <c r="F30" s="238">
        <f t="shared" si="3"/>
        <v>-1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1</v>
      </c>
      <c r="D33" s="239">
        <v>0</v>
      </c>
      <c r="E33" s="239">
        <f t="shared" si="2"/>
        <v>-1</v>
      </c>
      <c r="F33" s="238">
        <f t="shared" si="3"/>
        <v>-1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1328</v>
      </c>
      <c r="D36" s="243">
        <f>+D27+D29</f>
        <v>0</v>
      </c>
      <c r="E36" s="243">
        <f t="shared" si="2"/>
        <v>-1328</v>
      </c>
      <c r="F36" s="244">
        <f t="shared" si="3"/>
        <v>-1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181</v>
      </c>
      <c r="D37" s="243">
        <f>+D28+D30</f>
        <v>0</v>
      </c>
      <c r="E37" s="243">
        <f t="shared" si="2"/>
        <v>-181</v>
      </c>
      <c r="F37" s="244">
        <f t="shared" si="3"/>
        <v>-1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1267074</v>
      </c>
      <c r="D40" s="237">
        <v>2273658</v>
      </c>
      <c r="E40" s="237">
        <f t="shared" ref="E40:E50" si="4">D40-C40</f>
        <v>1006584</v>
      </c>
      <c r="F40" s="238">
        <f t="shared" ref="F40:F50" si="5">IF(C40=0,0,E40/C40)</f>
        <v>0.79441611145047564</v>
      </c>
    </row>
    <row r="41" spans="1:6" ht="20.25" customHeight="1" x14ac:dyDescent="0.3">
      <c r="A41" s="235">
        <v>2</v>
      </c>
      <c r="B41" s="236" t="s">
        <v>435</v>
      </c>
      <c r="C41" s="237">
        <v>285649</v>
      </c>
      <c r="D41" s="237">
        <v>539438</v>
      </c>
      <c r="E41" s="237">
        <f t="shared" si="4"/>
        <v>253789</v>
      </c>
      <c r="F41" s="238">
        <f t="shared" si="5"/>
        <v>0.88846451414148131</v>
      </c>
    </row>
    <row r="42" spans="1:6" ht="20.25" customHeight="1" x14ac:dyDescent="0.3">
      <c r="A42" s="235">
        <v>3</v>
      </c>
      <c r="B42" s="236" t="s">
        <v>436</v>
      </c>
      <c r="C42" s="237">
        <v>1001667</v>
      </c>
      <c r="D42" s="237">
        <v>1439001</v>
      </c>
      <c r="E42" s="237">
        <f t="shared" si="4"/>
        <v>437334</v>
      </c>
      <c r="F42" s="238">
        <f t="shared" si="5"/>
        <v>0.43660617750210401</v>
      </c>
    </row>
    <row r="43" spans="1:6" ht="20.25" customHeight="1" x14ac:dyDescent="0.3">
      <c r="A43" s="235">
        <v>4</v>
      </c>
      <c r="B43" s="236" t="s">
        <v>437</v>
      </c>
      <c r="C43" s="237">
        <v>132170</v>
      </c>
      <c r="D43" s="237">
        <v>172690</v>
      </c>
      <c r="E43" s="237">
        <f t="shared" si="4"/>
        <v>40520</v>
      </c>
      <c r="F43" s="238">
        <f t="shared" si="5"/>
        <v>0.30657486570326098</v>
      </c>
    </row>
    <row r="44" spans="1:6" ht="20.25" customHeight="1" x14ac:dyDescent="0.3">
      <c r="A44" s="235">
        <v>5</v>
      </c>
      <c r="B44" s="236" t="s">
        <v>373</v>
      </c>
      <c r="C44" s="239">
        <v>25</v>
      </c>
      <c r="D44" s="239">
        <v>23</v>
      </c>
      <c r="E44" s="239">
        <f t="shared" si="4"/>
        <v>-2</v>
      </c>
      <c r="F44" s="238">
        <f t="shared" si="5"/>
        <v>-0.08</v>
      </c>
    </row>
    <row r="45" spans="1:6" ht="20.25" customHeight="1" x14ac:dyDescent="0.3">
      <c r="A45" s="235">
        <v>6</v>
      </c>
      <c r="B45" s="236" t="s">
        <v>372</v>
      </c>
      <c r="C45" s="239">
        <v>147</v>
      </c>
      <c r="D45" s="239">
        <v>258</v>
      </c>
      <c r="E45" s="239">
        <f t="shared" si="4"/>
        <v>111</v>
      </c>
      <c r="F45" s="238">
        <f t="shared" si="5"/>
        <v>0.75510204081632648</v>
      </c>
    </row>
    <row r="46" spans="1:6" ht="20.25" customHeight="1" x14ac:dyDescent="0.3">
      <c r="A46" s="235">
        <v>7</v>
      </c>
      <c r="B46" s="236" t="s">
        <v>438</v>
      </c>
      <c r="C46" s="239">
        <v>302</v>
      </c>
      <c r="D46" s="239">
        <v>407</v>
      </c>
      <c r="E46" s="239">
        <f t="shared" si="4"/>
        <v>105</v>
      </c>
      <c r="F46" s="238">
        <f t="shared" si="5"/>
        <v>0.34768211920529801</v>
      </c>
    </row>
    <row r="47" spans="1:6" ht="20.25" customHeight="1" x14ac:dyDescent="0.3">
      <c r="A47" s="235">
        <v>8</v>
      </c>
      <c r="B47" s="236" t="s">
        <v>439</v>
      </c>
      <c r="C47" s="239">
        <v>23</v>
      </c>
      <c r="D47" s="239">
        <v>35</v>
      </c>
      <c r="E47" s="239">
        <f t="shared" si="4"/>
        <v>12</v>
      </c>
      <c r="F47" s="238">
        <f t="shared" si="5"/>
        <v>0.52173913043478259</v>
      </c>
    </row>
    <row r="48" spans="1:6" ht="20.25" customHeight="1" x14ac:dyDescent="0.3">
      <c r="A48" s="235">
        <v>9</v>
      </c>
      <c r="B48" s="236" t="s">
        <v>440</v>
      </c>
      <c r="C48" s="239">
        <v>21</v>
      </c>
      <c r="D48" s="239">
        <v>14</v>
      </c>
      <c r="E48" s="239">
        <f t="shared" si="4"/>
        <v>-7</v>
      </c>
      <c r="F48" s="238">
        <f t="shared" si="5"/>
        <v>-0.33333333333333331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2268741</v>
      </c>
      <c r="D49" s="243">
        <f>+D40+D42</f>
        <v>3712659</v>
      </c>
      <c r="E49" s="243">
        <f t="shared" si="4"/>
        <v>1443918</v>
      </c>
      <c r="F49" s="244">
        <f t="shared" si="5"/>
        <v>0.63644021067191014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417819</v>
      </c>
      <c r="D50" s="243">
        <f>+D41+D43</f>
        <v>712128</v>
      </c>
      <c r="E50" s="243">
        <f t="shared" si="4"/>
        <v>294309</v>
      </c>
      <c r="F50" s="244">
        <f t="shared" si="5"/>
        <v>0.70439352925549104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24779401</v>
      </c>
      <c r="D53" s="237">
        <v>25711343</v>
      </c>
      <c r="E53" s="237">
        <f t="shared" ref="E53:E63" si="6">D53-C53</f>
        <v>931942</v>
      </c>
      <c r="F53" s="238">
        <f t="shared" ref="F53:F63" si="7">IF(C53=0,0,E53/C53)</f>
        <v>3.7609545121772718E-2</v>
      </c>
    </row>
    <row r="54" spans="1:6" ht="20.25" customHeight="1" x14ac:dyDescent="0.3">
      <c r="A54" s="235">
        <v>2</v>
      </c>
      <c r="B54" s="236" t="s">
        <v>435</v>
      </c>
      <c r="C54" s="237">
        <v>6480725</v>
      </c>
      <c r="D54" s="237">
        <v>6737504</v>
      </c>
      <c r="E54" s="237">
        <f t="shared" si="6"/>
        <v>256779</v>
      </c>
      <c r="F54" s="238">
        <f t="shared" si="7"/>
        <v>3.9621955876850197E-2</v>
      </c>
    </row>
    <row r="55" spans="1:6" ht="20.25" customHeight="1" x14ac:dyDescent="0.3">
      <c r="A55" s="235">
        <v>3</v>
      </c>
      <c r="B55" s="236" t="s">
        <v>436</v>
      </c>
      <c r="C55" s="237">
        <v>19139601</v>
      </c>
      <c r="D55" s="237">
        <v>18757018</v>
      </c>
      <c r="E55" s="237">
        <f t="shared" si="6"/>
        <v>-382583</v>
      </c>
      <c r="F55" s="238">
        <f t="shared" si="7"/>
        <v>-1.9989079187178457E-2</v>
      </c>
    </row>
    <row r="56" spans="1:6" ht="20.25" customHeight="1" x14ac:dyDescent="0.3">
      <c r="A56" s="235">
        <v>4</v>
      </c>
      <c r="B56" s="236" t="s">
        <v>437</v>
      </c>
      <c r="C56" s="237">
        <v>2612189</v>
      </c>
      <c r="D56" s="237">
        <v>2463590</v>
      </c>
      <c r="E56" s="237">
        <f t="shared" si="6"/>
        <v>-148599</v>
      </c>
      <c r="F56" s="238">
        <f t="shared" si="7"/>
        <v>-5.6886771975534697E-2</v>
      </c>
    </row>
    <row r="57" spans="1:6" ht="20.25" customHeight="1" x14ac:dyDescent="0.3">
      <c r="A57" s="235">
        <v>5</v>
      </c>
      <c r="B57" s="236" t="s">
        <v>373</v>
      </c>
      <c r="C57" s="239">
        <v>496</v>
      </c>
      <c r="D57" s="239">
        <v>515</v>
      </c>
      <c r="E57" s="239">
        <f t="shared" si="6"/>
        <v>19</v>
      </c>
      <c r="F57" s="238">
        <f t="shared" si="7"/>
        <v>3.8306451612903226E-2</v>
      </c>
    </row>
    <row r="58" spans="1:6" ht="20.25" customHeight="1" x14ac:dyDescent="0.3">
      <c r="A58" s="235">
        <v>6</v>
      </c>
      <c r="B58" s="236" t="s">
        <v>372</v>
      </c>
      <c r="C58" s="239">
        <v>3114</v>
      </c>
      <c r="D58" s="239">
        <v>3255</v>
      </c>
      <c r="E58" s="239">
        <f t="shared" si="6"/>
        <v>141</v>
      </c>
      <c r="F58" s="238">
        <f t="shared" si="7"/>
        <v>4.527938342967245E-2</v>
      </c>
    </row>
    <row r="59" spans="1:6" ht="20.25" customHeight="1" x14ac:dyDescent="0.3">
      <c r="A59" s="235">
        <v>7</v>
      </c>
      <c r="B59" s="236" t="s">
        <v>438</v>
      </c>
      <c r="C59" s="239">
        <v>6102</v>
      </c>
      <c r="D59" s="239">
        <v>6896</v>
      </c>
      <c r="E59" s="239">
        <f t="shared" si="6"/>
        <v>794</v>
      </c>
      <c r="F59" s="238">
        <f t="shared" si="7"/>
        <v>0.13012127171419208</v>
      </c>
    </row>
    <row r="60" spans="1:6" ht="20.25" customHeight="1" x14ac:dyDescent="0.3">
      <c r="A60" s="235">
        <v>8</v>
      </c>
      <c r="B60" s="236" t="s">
        <v>439</v>
      </c>
      <c r="C60" s="239">
        <v>536</v>
      </c>
      <c r="D60" s="239">
        <v>508</v>
      </c>
      <c r="E60" s="239">
        <f t="shared" si="6"/>
        <v>-28</v>
      </c>
      <c r="F60" s="238">
        <f t="shared" si="7"/>
        <v>-5.2238805970149252E-2</v>
      </c>
    </row>
    <row r="61" spans="1:6" ht="20.25" customHeight="1" x14ac:dyDescent="0.3">
      <c r="A61" s="235">
        <v>9</v>
      </c>
      <c r="B61" s="236" t="s">
        <v>440</v>
      </c>
      <c r="C61" s="239">
        <v>370</v>
      </c>
      <c r="D61" s="239">
        <v>297</v>
      </c>
      <c r="E61" s="239">
        <f t="shared" si="6"/>
        <v>-73</v>
      </c>
      <c r="F61" s="238">
        <f t="shared" si="7"/>
        <v>-0.19729729729729731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43919002</v>
      </c>
      <c r="D62" s="243">
        <f>+D53+D55</f>
        <v>44468361</v>
      </c>
      <c r="E62" s="243">
        <f t="shared" si="6"/>
        <v>549359</v>
      </c>
      <c r="F62" s="244">
        <f t="shared" si="7"/>
        <v>1.2508458183999718E-2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9092914</v>
      </c>
      <c r="D63" s="243">
        <f>+D54+D56</f>
        <v>9201094</v>
      </c>
      <c r="E63" s="243">
        <f t="shared" si="6"/>
        <v>108180</v>
      </c>
      <c r="F63" s="244">
        <f t="shared" si="7"/>
        <v>1.1897176196761566E-2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421305</v>
      </c>
      <c r="D66" s="237">
        <v>803662</v>
      </c>
      <c r="E66" s="237">
        <f t="shared" ref="E66:E76" si="8">D66-C66</f>
        <v>382357</v>
      </c>
      <c r="F66" s="238">
        <f t="shared" ref="F66:F76" si="9">IF(C66=0,0,E66/C66)</f>
        <v>0.90755390987526852</v>
      </c>
    </row>
    <row r="67" spans="1:6" ht="20.25" customHeight="1" x14ac:dyDescent="0.3">
      <c r="A67" s="235">
        <v>2</v>
      </c>
      <c r="B67" s="236" t="s">
        <v>435</v>
      </c>
      <c r="C67" s="237">
        <v>113964</v>
      </c>
      <c r="D67" s="237">
        <v>209972</v>
      </c>
      <c r="E67" s="237">
        <f t="shared" si="8"/>
        <v>96008</v>
      </c>
      <c r="F67" s="238">
        <f t="shared" si="9"/>
        <v>0.84244147274577941</v>
      </c>
    </row>
    <row r="68" spans="1:6" ht="20.25" customHeight="1" x14ac:dyDescent="0.3">
      <c r="A68" s="235">
        <v>3</v>
      </c>
      <c r="B68" s="236" t="s">
        <v>436</v>
      </c>
      <c r="C68" s="237">
        <v>637510</v>
      </c>
      <c r="D68" s="237">
        <v>1144841</v>
      </c>
      <c r="E68" s="237">
        <f t="shared" si="8"/>
        <v>507331</v>
      </c>
      <c r="F68" s="238">
        <f t="shared" si="9"/>
        <v>0.79580085018274227</v>
      </c>
    </row>
    <row r="69" spans="1:6" ht="20.25" customHeight="1" x14ac:dyDescent="0.3">
      <c r="A69" s="235">
        <v>4</v>
      </c>
      <c r="B69" s="236" t="s">
        <v>437</v>
      </c>
      <c r="C69" s="237">
        <v>110376</v>
      </c>
      <c r="D69" s="237">
        <v>185115</v>
      </c>
      <c r="E69" s="237">
        <f t="shared" si="8"/>
        <v>74739</v>
      </c>
      <c r="F69" s="238">
        <f t="shared" si="9"/>
        <v>0.67713089802130899</v>
      </c>
    </row>
    <row r="70" spans="1:6" ht="20.25" customHeight="1" x14ac:dyDescent="0.3">
      <c r="A70" s="235">
        <v>5</v>
      </c>
      <c r="B70" s="236" t="s">
        <v>373</v>
      </c>
      <c r="C70" s="239">
        <v>11</v>
      </c>
      <c r="D70" s="239">
        <v>17</v>
      </c>
      <c r="E70" s="239">
        <f t="shared" si="8"/>
        <v>6</v>
      </c>
      <c r="F70" s="238">
        <f t="shared" si="9"/>
        <v>0.54545454545454541</v>
      </c>
    </row>
    <row r="71" spans="1:6" ht="20.25" customHeight="1" x14ac:dyDescent="0.3">
      <c r="A71" s="235">
        <v>6</v>
      </c>
      <c r="B71" s="236" t="s">
        <v>372</v>
      </c>
      <c r="C71" s="239">
        <v>45</v>
      </c>
      <c r="D71" s="239">
        <v>52</v>
      </c>
      <c r="E71" s="239">
        <f t="shared" si="8"/>
        <v>7</v>
      </c>
      <c r="F71" s="238">
        <f t="shared" si="9"/>
        <v>0.15555555555555556</v>
      </c>
    </row>
    <row r="72" spans="1:6" ht="20.25" customHeight="1" x14ac:dyDescent="0.3">
      <c r="A72" s="235">
        <v>7</v>
      </c>
      <c r="B72" s="236" t="s">
        <v>438</v>
      </c>
      <c r="C72" s="239">
        <v>81</v>
      </c>
      <c r="D72" s="239">
        <v>142</v>
      </c>
      <c r="E72" s="239">
        <f t="shared" si="8"/>
        <v>61</v>
      </c>
      <c r="F72" s="238">
        <f t="shared" si="9"/>
        <v>0.75308641975308643</v>
      </c>
    </row>
    <row r="73" spans="1:6" ht="20.25" customHeight="1" x14ac:dyDescent="0.3">
      <c r="A73" s="235">
        <v>8</v>
      </c>
      <c r="B73" s="236" t="s">
        <v>439</v>
      </c>
      <c r="C73" s="239">
        <v>22</v>
      </c>
      <c r="D73" s="239">
        <v>31</v>
      </c>
      <c r="E73" s="239">
        <f t="shared" si="8"/>
        <v>9</v>
      </c>
      <c r="F73" s="238">
        <f t="shared" si="9"/>
        <v>0.40909090909090912</v>
      </c>
    </row>
    <row r="74" spans="1:6" ht="20.25" customHeight="1" x14ac:dyDescent="0.3">
      <c r="A74" s="235">
        <v>9</v>
      </c>
      <c r="B74" s="236" t="s">
        <v>440</v>
      </c>
      <c r="C74" s="239">
        <v>10</v>
      </c>
      <c r="D74" s="239">
        <v>10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1058815</v>
      </c>
      <c r="D75" s="243">
        <f>+D66+D68</f>
        <v>1948503</v>
      </c>
      <c r="E75" s="243">
        <f t="shared" si="8"/>
        <v>889688</v>
      </c>
      <c r="F75" s="244">
        <f t="shared" si="9"/>
        <v>0.8402676577116871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224340</v>
      </c>
      <c r="D76" s="243">
        <f>+D67+D69</f>
        <v>395087</v>
      </c>
      <c r="E76" s="243">
        <f t="shared" si="8"/>
        <v>170747</v>
      </c>
      <c r="F76" s="244">
        <f t="shared" si="9"/>
        <v>0.76110813943122047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85580</v>
      </c>
      <c r="E79" s="237">
        <f t="shared" ref="E79:E89" si="10">D79-C79</f>
        <v>85580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33089</v>
      </c>
      <c r="E80" s="237">
        <f t="shared" si="10"/>
        <v>33089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44126</v>
      </c>
      <c r="D81" s="237">
        <v>176294</v>
      </c>
      <c r="E81" s="237">
        <f t="shared" si="10"/>
        <v>132168</v>
      </c>
      <c r="F81" s="238">
        <f t="shared" si="11"/>
        <v>2.9952409010560666</v>
      </c>
    </row>
    <row r="82" spans="1:6" ht="20.25" customHeight="1" x14ac:dyDescent="0.3">
      <c r="A82" s="235">
        <v>4</v>
      </c>
      <c r="B82" s="236" t="s">
        <v>437</v>
      </c>
      <c r="C82" s="237">
        <v>8302</v>
      </c>
      <c r="D82" s="237">
        <v>27576</v>
      </c>
      <c r="E82" s="237">
        <f t="shared" si="10"/>
        <v>19274</v>
      </c>
      <c r="F82" s="238">
        <f t="shared" si="11"/>
        <v>2.3216092507829438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3</v>
      </c>
      <c r="E83" s="239">
        <f t="shared" si="10"/>
        <v>3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16</v>
      </c>
      <c r="E84" s="239">
        <f t="shared" si="10"/>
        <v>16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9</v>
      </c>
      <c r="D85" s="239">
        <v>33</v>
      </c>
      <c r="E85" s="239">
        <f t="shared" si="10"/>
        <v>24</v>
      </c>
      <c r="F85" s="238">
        <f t="shared" si="11"/>
        <v>2.6666666666666665</v>
      </c>
    </row>
    <row r="86" spans="1:6" ht="20.25" customHeight="1" x14ac:dyDescent="0.3">
      <c r="A86" s="235">
        <v>8</v>
      </c>
      <c r="B86" s="236" t="s">
        <v>439</v>
      </c>
      <c r="C86" s="239">
        <v>1</v>
      </c>
      <c r="D86" s="239">
        <v>2</v>
      </c>
      <c r="E86" s="239">
        <f t="shared" si="10"/>
        <v>1</v>
      </c>
      <c r="F86" s="238">
        <f t="shared" si="11"/>
        <v>1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2</v>
      </c>
      <c r="E87" s="239">
        <f t="shared" si="10"/>
        <v>2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44126</v>
      </c>
      <c r="D88" s="243">
        <f>+D79+D81</f>
        <v>261874</v>
      </c>
      <c r="E88" s="243">
        <f t="shared" si="10"/>
        <v>217748</v>
      </c>
      <c r="F88" s="244">
        <f t="shared" si="11"/>
        <v>4.9346870325884966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8302</v>
      </c>
      <c r="D89" s="243">
        <f>+D80+D82</f>
        <v>60665</v>
      </c>
      <c r="E89" s="243">
        <f t="shared" si="10"/>
        <v>52363</v>
      </c>
      <c r="F89" s="244">
        <f t="shared" si="11"/>
        <v>6.3072753553360634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161535</v>
      </c>
      <c r="D92" s="237">
        <v>1254600</v>
      </c>
      <c r="E92" s="237">
        <f t="shared" ref="E92:E102" si="12">D92-C92</f>
        <v>1093065</v>
      </c>
      <c r="F92" s="238">
        <f t="shared" ref="F92:F102" si="13">IF(C92=0,0,E92/C92)</f>
        <v>6.7667378586684004</v>
      </c>
    </row>
    <row r="93" spans="1:6" ht="20.25" customHeight="1" x14ac:dyDescent="0.3">
      <c r="A93" s="235">
        <v>2</v>
      </c>
      <c r="B93" s="236" t="s">
        <v>435</v>
      </c>
      <c r="C93" s="237">
        <v>31439</v>
      </c>
      <c r="D93" s="237">
        <v>297662</v>
      </c>
      <c r="E93" s="237">
        <f t="shared" si="12"/>
        <v>266223</v>
      </c>
      <c r="F93" s="238">
        <f t="shared" si="13"/>
        <v>8.467922007697446</v>
      </c>
    </row>
    <row r="94" spans="1:6" ht="20.25" customHeight="1" x14ac:dyDescent="0.3">
      <c r="A94" s="235">
        <v>3</v>
      </c>
      <c r="B94" s="236" t="s">
        <v>436</v>
      </c>
      <c r="C94" s="237">
        <v>584974</v>
      </c>
      <c r="D94" s="237">
        <v>1527677</v>
      </c>
      <c r="E94" s="237">
        <f t="shared" si="12"/>
        <v>942703</v>
      </c>
      <c r="F94" s="238">
        <f t="shared" si="13"/>
        <v>1.6115297432022619</v>
      </c>
    </row>
    <row r="95" spans="1:6" ht="20.25" customHeight="1" x14ac:dyDescent="0.3">
      <c r="A95" s="235">
        <v>4</v>
      </c>
      <c r="B95" s="236" t="s">
        <v>437</v>
      </c>
      <c r="C95" s="237">
        <v>164441</v>
      </c>
      <c r="D95" s="237">
        <v>239194</v>
      </c>
      <c r="E95" s="237">
        <f t="shared" si="12"/>
        <v>74753</v>
      </c>
      <c r="F95" s="238">
        <f t="shared" si="13"/>
        <v>0.4545885758417913</v>
      </c>
    </row>
    <row r="96" spans="1:6" ht="20.25" customHeight="1" x14ac:dyDescent="0.3">
      <c r="A96" s="235">
        <v>5</v>
      </c>
      <c r="B96" s="236" t="s">
        <v>373</v>
      </c>
      <c r="C96" s="239">
        <v>5</v>
      </c>
      <c r="D96" s="239">
        <v>31</v>
      </c>
      <c r="E96" s="239">
        <f t="shared" si="12"/>
        <v>26</v>
      </c>
      <c r="F96" s="238">
        <f t="shared" si="13"/>
        <v>5.2</v>
      </c>
    </row>
    <row r="97" spans="1:6" ht="20.25" customHeight="1" x14ac:dyDescent="0.3">
      <c r="A97" s="235">
        <v>6</v>
      </c>
      <c r="B97" s="236" t="s">
        <v>372</v>
      </c>
      <c r="C97" s="239">
        <v>21</v>
      </c>
      <c r="D97" s="239">
        <v>131</v>
      </c>
      <c r="E97" s="239">
        <f t="shared" si="12"/>
        <v>110</v>
      </c>
      <c r="F97" s="238">
        <f t="shared" si="13"/>
        <v>5.2380952380952381</v>
      </c>
    </row>
    <row r="98" spans="1:6" ht="20.25" customHeight="1" x14ac:dyDescent="0.3">
      <c r="A98" s="235">
        <v>7</v>
      </c>
      <c r="B98" s="236" t="s">
        <v>438</v>
      </c>
      <c r="C98" s="239">
        <v>140</v>
      </c>
      <c r="D98" s="239">
        <v>412</v>
      </c>
      <c r="E98" s="239">
        <f t="shared" si="12"/>
        <v>272</v>
      </c>
      <c r="F98" s="238">
        <f t="shared" si="13"/>
        <v>1.9428571428571428</v>
      </c>
    </row>
    <row r="99" spans="1:6" ht="20.25" customHeight="1" x14ac:dyDescent="0.3">
      <c r="A99" s="235">
        <v>8</v>
      </c>
      <c r="B99" s="236" t="s">
        <v>439</v>
      </c>
      <c r="C99" s="239">
        <v>16</v>
      </c>
      <c r="D99" s="239">
        <v>58</v>
      </c>
      <c r="E99" s="239">
        <f t="shared" si="12"/>
        <v>42</v>
      </c>
      <c r="F99" s="238">
        <f t="shared" si="13"/>
        <v>2.625</v>
      </c>
    </row>
    <row r="100" spans="1:6" ht="20.25" customHeight="1" x14ac:dyDescent="0.3">
      <c r="A100" s="235">
        <v>9</v>
      </c>
      <c r="B100" s="236" t="s">
        <v>440</v>
      </c>
      <c r="C100" s="239">
        <v>5</v>
      </c>
      <c r="D100" s="239">
        <v>13</v>
      </c>
      <c r="E100" s="239">
        <f t="shared" si="12"/>
        <v>8</v>
      </c>
      <c r="F100" s="238">
        <f t="shared" si="13"/>
        <v>1.6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746509</v>
      </c>
      <c r="D101" s="243">
        <f>+D92+D94</f>
        <v>2782277</v>
      </c>
      <c r="E101" s="243">
        <f t="shared" si="12"/>
        <v>2035768</v>
      </c>
      <c r="F101" s="244">
        <f t="shared" si="13"/>
        <v>2.727050846004536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195880</v>
      </c>
      <c r="D102" s="243">
        <f>+D93+D95</f>
        <v>536856</v>
      </c>
      <c r="E102" s="243">
        <f t="shared" si="12"/>
        <v>340976</v>
      </c>
      <c r="F102" s="244">
        <f t="shared" si="13"/>
        <v>1.7407392280988361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679791</v>
      </c>
      <c r="D105" s="237">
        <v>630656</v>
      </c>
      <c r="E105" s="237">
        <f t="shared" ref="E105:E115" si="14">D105-C105</f>
        <v>-49135</v>
      </c>
      <c r="F105" s="238">
        <f t="shared" ref="F105:F115" si="15">IF(C105=0,0,E105/C105)</f>
        <v>-7.2279568279074016E-2</v>
      </c>
    </row>
    <row r="106" spans="1:6" ht="20.25" customHeight="1" x14ac:dyDescent="0.3">
      <c r="A106" s="235">
        <v>2</v>
      </c>
      <c r="B106" s="236" t="s">
        <v>435</v>
      </c>
      <c r="C106" s="237">
        <v>63579</v>
      </c>
      <c r="D106" s="237">
        <v>136430</v>
      </c>
      <c r="E106" s="237">
        <f t="shared" si="14"/>
        <v>72851</v>
      </c>
      <c r="F106" s="238">
        <f t="shared" si="15"/>
        <v>1.1458343163623208</v>
      </c>
    </row>
    <row r="107" spans="1:6" ht="20.25" customHeight="1" x14ac:dyDescent="0.3">
      <c r="A107" s="235">
        <v>3</v>
      </c>
      <c r="B107" s="236" t="s">
        <v>436</v>
      </c>
      <c r="C107" s="237">
        <v>303623</v>
      </c>
      <c r="D107" s="237">
        <v>326715</v>
      </c>
      <c r="E107" s="237">
        <f t="shared" si="14"/>
        <v>23092</v>
      </c>
      <c r="F107" s="238">
        <f t="shared" si="15"/>
        <v>7.6054844329975002E-2</v>
      </c>
    </row>
    <row r="108" spans="1:6" ht="20.25" customHeight="1" x14ac:dyDescent="0.3">
      <c r="A108" s="235">
        <v>4</v>
      </c>
      <c r="B108" s="236" t="s">
        <v>437</v>
      </c>
      <c r="C108" s="237">
        <v>8167</v>
      </c>
      <c r="D108" s="237">
        <v>25433</v>
      </c>
      <c r="E108" s="237">
        <f t="shared" si="14"/>
        <v>17266</v>
      </c>
      <c r="F108" s="238">
        <f t="shared" si="15"/>
        <v>2.1141177911105671</v>
      </c>
    </row>
    <row r="109" spans="1:6" ht="20.25" customHeight="1" x14ac:dyDescent="0.3">
      <c r="A109" s="235">
        <v>5</v>
      </c>
      <c r="B109" s="236" t="s">
        <v>373</v>
      </c>
      <c r="C109" s="239">
        <v>10</v>
      </c>
      <c r="D109" s="239">
        <v>13</v>
      </c>
      <c r="E109" s="239">
        <f t="shared" si="14"/>
        <v>3</v>
      </c>
      <c r="F109" s="238">
        <f t="shared" si="15"/>
        <v>0.3</v>
      </c>
    </row>
    <row r="110" spans="1:6" ht="20.25" customHeight="1" x14ac:dyDescent="0.3">
      <c r="A110" s="235">
        <v>6</v>
      </c>
      <c r="B110" s="236" t="s">
        <v>372</v>
      </c>
      <c r="C110" s="239">
        <v>103</v>
      </c>
      <c r="D110" s="239">
        <v>77</v>
      </c>
      <c r="E110" s="239">
        <f t="shared" si="14"/>
        <v>-26</v>
      </c>
      <c r="F110" s="238">
        <f t="shared" si="15"/>
        <v>-0.25242718446601942</v>
      </c>
    </row>
    <row r="111" spans="1:6" ht="20.25" customHeight="1" x14ac:dyDescent="0.3">
      <c r="A111" s="235">
        <v>7</v>
      </c>
      <c r="B111" s="236" t="s">
        <v>438</v>
      </c>
      <c r="C111" s="239">
        <v>110</v>
      </c>
      <c r="D111" s="239">
        <v>79</v>
      </c>
      <c r="E111" s="239">
        <f t="shared" si="14"/>
        <v>-31</v>
      </c>
      <c r="F111" s="238">
        <f t="shared" si="15"/>
        <v>-0.2818181818181818</v>
      </c>
    </row>
    <row r="112" spans="1:6" ht="20.25" customHeight="1" x14ac:dyDescent="0.3">
      <c r="A112" s="235">
        <v>8</v>
      </c>
      <c r="B112" s="236" t="s">
        <v>439</v>
      </c>
      <c r="C112" s="239">
        <v>26</v>
      </c>
      <c r="D112" s="239">
        <v>29</v>
      </c>
      <c r="E112" s="239">
        <f t="shared" si="14"/>
        <v>3</v>
      </c>
      <c r="F112" s="238">
        <f t="shared" si="15"/>
        <v>0.11538461538461539</v>
      </c>
    </row>
    <row r="113" spans="1:6" ht="20.25" customHeight="1" x14ac:dyDescent="0.3">
      <c r="A113" s="235">
        <v>9</v>
      </c>
      <c r="B113" s="236" t="s">
        <v>440</v>
      </c>
      <c r="C113" s="239">
        <v>8</v>
      </c>
      <c r="D113" s="239">
        <v>10</v>
      </c>
      <c r="E113" s="239">
        <f t="shared" si="14"/>
        <v>2</v>
      </c>
      <c r="F113" s="238">
        <f t="shared" si="15"/>
        <v>0.25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983414</v>
      </c>
      <c r="D114" s="243">
        <f>+D105+D107</f>
        <v>957371</v>
      </c>
      <c r="E114" s="243">
        <f t="shared" si="14"/>
        <v>-26043</v>
      </c>
      <c r="F114" s="244">
        <f t="shared" si="15"/>
        <v>-2.6482234338742382E-2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71746</v>
      </c>
      <c r="D115" s="243">
        <f>+D106+D108</f>
        <v>161863</v>
      </c>
      <c r="E115" s="243">
        <f t="shared" si="14"/>
        <v>90117</v>
      </c>
      <c r="F115" s="244">
        <f t="shared" si="15"/>
        <v>1.2560560867504809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915465</v>
      </c>
      <c r="D118" s="237">
        <v>1746126</v>
      </c>
      <c r="E118" s="237">
        <f t="shared" ref="E118:E128" si="16">D118-C118</f>
        <v>830661</v>
      </c>
      <c r="F118" s="238">
        <f t="shared" ref="F118:F128" si="17">IF(C118=0,0,E118/C118)</f>
        <v>0.90736510953449889</v>
      </c>
    </row>
    <row r="119" spans="1:6" ht="20.25" customHeight="1" x14ac:dyDescent="0.3">
      <c r="A119" s="235">
        <v>2</v>
      </c>
      <c r="B119" s="236" t="s">
        <v>435</v>
      </c>
      <c r="C119" s="237">
        <v>143394</v>
      </c>
      <c r="D119" s="237">
        <v>434178</v>
      </c>
      <c r="E119" s="237">
        <f t="shared" si="16"/>
        <v>290784</v>
      </c>
      <c r="F119" s="238">
        <f t="shared" si="17"/>
        <v>2.0278672747813715</v>
      </c>
    </row>
    <row r="120" spans="1:6" ht="20.25" customHeight="1" x14ac:dyDescent="0.3">
      <c r="A120" s="235">
        <v>3</v>
      </c>
      <c r="B120" s="236" t="s">
        <v>436</v>
      </c>
      <c r="C120" s="237">
        <v>1438028</v>
      </c>
      <c r="D120" s="237">
        <v>1981238</v>
      </c>
      <c r="E120" s="237">
        <f t="shared" si="16"/>
        <v>543210</v>
      </c>
      <c r="F120" s="238">
        <f t="shared" si="17"/>
        <v>0.37774646947069179</v>
      </c>
    </row>
    <row r="121" spans="1:6" ht="20.25" customHeight="1" x14ac:dyDescent="0.3">
      <c r="A121" s="235">
        <v>4</v>
      </c>
      <c r="B121" s="236" t="s">
        <v>437</v>
      </c>
      <c r="C121" s="237">
        <v>274491</v>
      </c>
      <c r="D121" s="237">
        <v>233923</v>
      </c>
      <c r="E121" s="237">
        <f t="shared" si="16"/>
        <v>-40568</v>
      </c>
      <c r="F121" s="238">
        <f t="shared" si="17"/>
        <v>-0.14779355242977002</v>
      </c>
    </row>
    <row r="122" spans="1:6" ht="20.25" customHeight="1" x14ac:dyDescent="0.3">
      <c r="A122" s="235">
        <v>5</v>
      </c>
      <c r="B122" s="236" t="s">
        <v>373</v>
      </c>
      <c r="C122" s="239">
        <v>27</v>
      </c>
      <c r="D122" s="239">
        <v>34</v>
      </c>
      <c r="E122" s="239">
        <f t="shared" si="16"/>
        <v>7</v>
      </c>
      <c r="F122" s="238">
        <f t="shared" si="17"/>
        <v>0.25925925925925924</v>
      </c>
    </row>
    <row r="123" spans="1:6" ht="20.25" customHeight="1" x14ac:dyDescent="0.3">
      <c r="A123" s="235">
        <v>6</v>
      </c>
      <c r="B123" s="236" t="s">
        <v>372</v>
      </c>
      <c r="C123" s="239">
        <v>124</v>
      </c>
      <c r="D123" s="239">
        <v>196</v>
      </c>
      <c r="E123" s="239">
        <f t="shared" si="16"/>
        <v>72</v>
      </c>
      <c r="F123" s="238">
        <f t="shared" si="17"/>
        <v>0.58064516129032262</v>
      </c>
    </row>
    <row r="124" spans="1:6" ht="20.25" customHeight="1" x14ac:dyDescent="0.3">
      <c r="A124" s="235">
        <v>7</v>
      </c>
      <c r="B124" s="236" t="s">
        <v>438</v>
      </c>
      <c r="C124" s="239">
        <v>453</v>
      </c>
      <c r="D124" s="239">
        <v>751</v>
      </c>
      <c r="E124" s="239">
        <f t="shared" si="16"/>
        <v>298</v>
      </c>
      <c r="F124" s="238">
        <f t="shared" si="17"/>
        <v>0.65783664459161151</v>
      </c>
    </row>
    <row r="125" spans="1:6" ht="20.25" customHeight="1" x14ac:dyDescent="0.3">
      <c r="A125" s="235">
        <v>8</v>
      </c>
      <c r="B125" s="236" t="s">
        <v>439</v>
      </c>
      <c r="C125" s="239">
        <v>34</v>
      </c>
      <c r="D125" s="239">
        <v>47</v>
      </c>
      <c r="E125" s="239">
        <f t="shared" si="16"/>
        <v>13</v>
      </c>
      <c r="F125" s="238">
        <f t="shared" si="17"/>
        <v>0.38235294117647056</v>
      </c>
    </row>
    <row r="126" spans="1:6" ht="20.25" customHeight="1" x14ac:dyDescent="0.3">
      <c r="A126" s="235">
        <v>9</v>
      </c>
      <c r="B126" s="236" t="s">
        <v>440</v>
      </c>
      <c r="C126" s="239">
        <v>20</v>
      </c>
      <c r="D126" s="239">
        <v>24</v>
      </c>
      <c r="E126" s="239">
        <f t="shared" si="16"/>
        <v>4</v>
      </c>
      <c r="F126" s="238">
        <f t="shared" si="17"/>
        <v>0.2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2353493</v>
      </c>
      <c r="D127" s="243">
        <f>+D118+D120</f>
        <v>3727364</v>
      </c>
      <c r="E127" s="243">
        <f t="shared" si="16"/>
        <v>1373871</v>
      </c>
      <c r="F127" s="244">
        <f t="shared" si="17"/>
        <v>0.58375826909194117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417885</v>
      </c>
      <c r="D128" s="243">
        <f>+D119+D121</f>
        <v>668101</v>
      </c>
      <c r="E128" s="243">
        <f t="shared" si="16"/>
        <v>250216</v>
      </c>
      <c r="F128" s="244">
        <f t="shared" si="17"/>
        <v>0.5987676035272862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214995</v>
      </c>
      <c r="D131" s="237">
        <v>333486</v>
      </c>
      <c r="E131" s="237">
        <f t="shared" ref="E131:E141" si="18">D131-C131</f>
        <v>118491</v>
      </c>
      <c r="F131" s="238">
        <f t="shared" ref="F131:F141" si="19">IF(C131=0,0,E131/C131)</f>
        <v>0.55113374729644871</v>
      </c>
    </row>
    <row r="132" spans="1:6" ht="20.25" customHeight="1" x14ac:dyDescent="0.3">
      <c r="A132" s="235">
        <v>2</v>
      </c>
      <c r="B132" s="236" t="s">
        <v>435</v>
      </c>
      <c r="C132" s="237">
        <v>61096</v>
      </c>
      <c r="D132" s="237">
        <v>166551</v>
      </c>
      <c r="E132" s="237">
        <f t="shared" si="18"/>
        <v>105455</v>
      </c>
      <c r="F132" s="238">
        <f t="shared" si="19"/>
        <v>1.7260540788267644</v>
      </c>
    </row>
    <row r="133" spans="1:6" ht="20.25" customHeight="1" x14ac:dyDescent="0.3">
      <c r="A133" s="235">
        <v>3</v>
      </c>
      <c r="B133" s="236" t="s">
        <v>436</v>
      </c>
      <c r="C133" s="237">
        <v>178205</v>
      </c>
      <c r="D133" s="237">
        <v>298070</v>
      </c>
      <c r="E133" s="237">
        <f t="shared" si="18"/>
        <v>119865</v>
      </c>
      <c r="F133" s="238">
        <f t="shared" si="19"/>
        <v>0.67262422490951435</v>
      </c>
    </row>
    <row r="134" spans="1:6" ht="20.25" customHeight="1" x14ac:dyDescent="0.3">
      <c r="A134" s="235">
        <v>4</v>
      </c>
      <c r="B134" s="236" t="s">
        <v>437</v>
      </c>
      <c r="C134" s="237">
        <v>32236</v>
      </c>
      <c r="D134" s="237">
        <v>65224</v>
      </c>
      <c r="E134" s="237">
        <f t="shared" si="18"/>
        <v>32988</v>
      </c>
      <c r="F134" s="238">
        <f t="shared" si="19"/>
        <v>1.0233279563221243</v>
      </c>
    </row>
    <row r="135" spans="1:6" ht="20.25" customHeight="1" x14ac:dyDescent="0.3">
      <c r="A135" s="235">
        <v>5</v>
      </c>
      <c r="B135" s="236" t="s">
        <v>373</v>
      </c>
      <c r="C135" s="239">
        <v>5</v>
      </c>
      <c r="D135" s="239">
        <v>6</v>
      </c>
      <c r="E135" s="239">
        <f t="shared" si="18"/>
        <v>1</v>
      </c>
      <c r="F135" s="238">
        <f t="shared" si="19"/>
        <v>0.2</v>
      </c>
    </row>
    <row r="136" spans="1:6" ht="20.25" customHeight="1" x14ac:dyDescent="0.3">
      <c r="A136" s="235">
        <v>6</v>
      </c>
      <c r="B136" s="236" t="s">
        <v>372</v>
      </c>
      <c r="C136" s="239">
        <v>22</v>
      </c>
      <c r="D136" s="239">
        <v>31</v>
      </c>
      <c r="E136" s="239">
        <f t="shared" si="18"/>
        <v>9</v>
      </c>
      <c r="F136" s="238">
        <f t="shared" si="19"/>
        <v>0.40909090909090912</v>
      </c>
    </row>
    <row r="137" spans="1:6" ht="20.25" customHeight="1" x14ac:dyDescent="0.3">
      <c r="A137" s="235">
        <v>7</v>
      </c>
      <c r="B137" s="236" t="s">
        <v>438</v>
      </c>
      <c r="C137" s="239">
        <v>59</v>
      </c>
      <c r="D137" s="239">
        <v>66</v>
      </c>
      <c r="E137" s="239">
        <f t="shared" si="18"/>
        <v>7</v>
      </c>
      <c r="F137" s="238">
        <f t="shared" si="19"/>
        <v>0.11864406779661017</v>
      </c>
    </row>
    <row r="138" spans="1:6" ht="20.25" customHeight="1" x14ac:dyDescent="0.3">
      <c r="A138" s="235">
        <v>8</v>
      </c>
      <c r="B138" s="236" t="s">
        <v>439</v>
      </c>
      <c r="C138" s="239">
        <v>14</v>
      </c>
      <c r="D138" s="239">
        <v>12</v>
      </c>
      <c r="E138" s="239">
        <f t="shared" si="18"/>
        <v>-2</v>
      </c>
      <c r="F138" s="238">
        <f t="shared" si="19"/>
        <v>-0.14285714285714285</v>
      </c>
    </row>
    <row r="139" spans="1:6" ht="20.25" customHeight="1" x14ac:dyDescent="0.3">
      <c r="A139" s="235">
        <v>9</v>
      </c>
      <c r="B139" s="236" t="s">
        <v>440</v>
      </c>
      <c r="C139" s="239">
        <v>5</v>
      </c>
      <c r="D139" s="239">
        <v>3</v>
      </c>
      <c r="E139" s="239">
        <f t="shared" si="18"/>
        <v>-2</v>
      </c>
      <c r="F139" s="238">
        <f t="shared" si="19"/>
        <v>-0.4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393200</v>
      </c>
      <c r="D140" s="243">
        <f>+D131+D133</f>
        <v>631556</v>
      </c>
      <c r="E140" s="243">
        <f t="shared" si="18"/>
        <v>238356</v>
      </c>
      <c r="F140" s="244">
        <f t="shared" si="19"/>
        <v>0.60619532044760938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93332</v>
      </c>
      <c r="D141" s="243">
        <f>+D132+D134</f>
        <v>231775</v>
      </c>
      <c r="E141" s="243">
        <f t="shared" si="18"/>
        <v>138443</v>
      </c>
      <c r="F141" s="244">
        <f t="shared" si="19"/>
        <v>1.4833390477006814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720942</v>
      </c>
      <c r="D183" s="237">
        <v>508054</v>
      </c>
      <c r="E183" s="237">
        <f t="shared" ref="E183:E193" si="26">D183-C183</f>
        <v>-212888</v>
      </c>
      <c r="F183" s="238">
        <f t="shared" ref="F183:F193" si="27">IF(C183=0,0,E183/C183)</f>
        <v>-0.29529143814620318</v>
      </c>
    </row>
    <row r="184" spans="1:6" ht="20.25" customHeight="1" x14ac:dyDescent="0.3">
      <c r="A184" s="235">
        <v>2</v>
      </c>
      <c r="B184" s="236" t="s">
        <v>435</v>
      </c>
      <c r="C184" s="237">
        <v>293044</v>
      </c>
      <c r="D184" s="237">
        <v>190628</v>
      </c>
      <c r="E184" s="237">
        <f t="shared" si="26"/>
        <v>-102416</v>
      </c>
      <c r="F184" s="238">
        <f t="shared" si="27"/>
        <v>-0.34949017894923629</v>
      </c>
    </row>
    <row r="185" spans="1:6" ht="20.25" customHeight="1" x14ac:dyDescent="0.3">
      <c r="A185" s="235">
        <v>3</v>
      </c>
      <c r="B185" s="236" t="s">
        <v>436</v>
      </c>
      <c r="C185" s="237">
        <v>334219</v>
      </c>
      <c r="D185" s="237">
        <v>769421</v>
      </c>
      <c r="E185" s="237">
        <f t="shared" si="26"/>
        <v>435202</v>
      </c>
      <c r="F185" s="238">
        <f t="shared" si="27"/>
        <v>1.3021461975531015</v>
      </c>
    </row>
    <row r="186" spans="1:6" ht="20.25" customHeight="1" x14ac:dyDescent="0.3">
      <c r="A186" s="235">
        <v>4</v>
      </c>
      <c r="B186" s="236" t="s">
        <v>437</v>
      </c>
      <c r="C186" s="237">
        <v>58874</v>
      </c>
      <c r="D186" s="237">
        <v>103583</v>
      </c>
      <c r="E186" s="237">
        <f t="shared" si="26"/>
        <v>44709</v>
      </c>
      <c r="F186" s="238">
        <f t="shared" si="27"/>
        <v>0.7594014335699969</v>
      </c>
    </row>
    <row r="187" spans="1:6" ht="20.25" customHeight="1" x14ac:dyDescent="0.3">
      <c r="A187" s="235">
        <v>5</v>
      </c>
      <c r="B187" s="236" t="s">
        <v>373</v>
      </c>
      <c r="C187" s="239">
        <v>12</v>
      </c>
      <c r="D187" s="239">
        <v>13</v>
      </c>
      <c r="E187" s="239">
        <f t="shared" si="26"/>
        <v>1</v>
      </c>
      <c r="F187" s="238">
        <f t="shared" si="27"/>
        <v>8.3333333333333329E-2</v>
      </c>
    </row>
    <row r="188" spans="1:6" ht="20.25" customHeight="1" x14ac:dyDescent="0.3">
      <c r="A188" s="235">
        <v>6</v>
      </c>
      <c r="B188" s="236" t="s">
        <v>372</v>
      </c>
      <c r="C188" s="239">
        <v>83</v>
      </c>
      <c r="D188" s="239">
        <v>153</v>
      </c>
      <c r="E188" s="239">
        <f t="shared" si="26"/>
        <v>70</v>
      </c>
      <c r="F188" s="238">
        <f t="shared" si="27"/>
        <v>0.84337349397590367</v>
      </c>
    </row>
    <row r="189" spans="1:6" ht="20.25" customHeight="1" x14ac:dyDescent="0.3">
      <c r="A189" s="235">
        <v>7</v>
      </c>
      <c r="B189" s="236" t="s">
        <v>438</v>
      </c>
      <c r="C189" s="239">
        <v>132</v>
      </c>
      <c r="D189" s="239">
        <v>187</v>
      </c>
      <c r="E189" s="239">
        <f t="shared" si="26"/>
        <v>55</v>
      </c>
      <c r="F189" s="238">
        <f t="shared" si="27"/>
        <v>0.41666666666666669</v>
      </c>
    </row>
    <row r="190" spans="1:6" ht="20.25" customHeight="1" x14ac:dyDescent="0.3">
      <c r="A190" s="235">
        <v>8</v>
      </c>
      <c r="B190" s="236" t="s">
        <v>439</v>
      </c>
      <c r="C190" s="239">
        <v>20</v>
      </c>
      <c r="D190" s="239">
        <v>17</v>
      </c>
      <c r="E190" s="239">
        <f t="shared" si="26"/>
        <v>-3</v>
      </c>
      <c r="F190" s="238">
        <f t="shared" si="27"/>
        <v>-0.15</v>
      </c>
    </row>
    <row r="191" spans="1:6" ht="20.25" customHeight="1" x14ac:dyDescent="0.3">
      <c r="A191" s="235">
        <v>9</v>
      </c>
      <c r="B191" s="236" t="s">
        <v>440</v>
      </c>
      <c r="C191" s="239">
        <v>10</v>
      </c>
      <c r="D191" s="239">
        <v>7</v>
      </c>
      <c r="E191" s="239">
        <f t="shared" si="26"/>
        <v>-3</v>
      </c>
      <c r="F191" s="238">
        <f t="shared" si="27"/>
        <v>-0.3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1055161</v>
      </c>
      <c r="D192" s="243">
        <f>+D183+D185</f>
        <v>1277475</v>
      </c>
      <c r="E192" s="243">
        <f t="shared" si="26"/>
        <v>222314</v>
      </c>
      <c r="F192" s="244">
        <f t="shared" si="27"/>
        <v>0.21069201761626899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351918</v>
      </c>
      <c r="D193" s="243">
        <f>+D184+D186</f>
        <v>294211</v>
      </c>
      <c r="E193" s="243">
        <f t="shared" si="26"/>
        <v>-57707</v>
      </c>
      <c r="F193" s="244">
        <f t="shared" si="27"/>
        <v>-0.16397854045544702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29640715</v>
      </c>
      <c r="D198" s="243">
        <f t="shared" si="28"/>
        <v>34882527</v>
      </c>
      <c r="E198" s="243">
        <f t="shared" ref="E198:E208" si="29">D198-C198</f>
        <v>5241812</v>
      </c>
      <c r="F198" s="251">
        <f t="shared" ref="F198:F208" si="30">IF(C198=0,0,E198/C198)</f>
        <v>0.17684499176217577</v>
      </c>
    </row>
    <row r="199" spans="1:9" ht="20.25" customHeight="1" x14ac:dyDescent="0.3">
      <c r="A199" s="249"/>
      <c r="B199" s="250" t="s">
        <v>461</v>
      </c>
      <c r="C199" s="243">
        <f t="shared" si="28"/>
        <v>7580994</v>
      </c>
      <c r="D199" s="243">
        <f t="shared" si="28"/>
        <v>9172775</v>
      </c>
      <c r="E199" s="243">
        <f t="shared" si="29"/>
        <v>1591781</v>
      </c>
      <c r="F199" s="251">
        <f t="shared" si="30"/>
        <v>0.2099699590845211</v>
      </c>
    </row>
    <row r="200" spans="1:9" ht="20.25" customHeight="1" x14ac:dyDescent="0.3">
      <c r="A200" s="249"/>
      <c r="B200" s="250" t="s">
        <v>462</v>
      </c>
      <c r="C200" s="243">
        <f t="shared" si="28"/>
        <v>24255325</v>
      </c>
      <c r="D200" s="243">
        <f t="shared" si="28"/>
        <v>27290219</v>
      </c>
      <c r="E200" s="243">
        <f t="shared" si="29"/>
        <v>3034894</v>
      </c>
      <c r="F200" s="251">
        <f t="shared" si="30"/>
        <v>0.12512279262388776</v>
      </c>
    </row>
    <row r="201" spans="1:9" ht="20.25" customHeight="1" x14ac:dyDescent="0.3">
      <c r="A201" s="249"/>
      <c r="B201" s="250" t="s">
        <v>463</v>
      </c>
      <c r="C201" s="243">
        <f t="shared" si="28"/>
        <v>3516547</v>
      </c>
      <c r="D201" s="243">
        <f t="shared" si="28"/>
        <v>3654965</v>
      </c>
      <c r="E201" s="243">
        <f t="shared" si="29"/>
        <v>138418</v>
      </c>
      <c r="F201" s="251">
        <f t="shared" si="30"/>
        <v>3.9361908144552031E-2</v>
      </c>
    </row>
    <row r="202" spans="1:9" ht="20.25" customHeight="1" x14ac:dyDescent="0.3">
      <c r="A202" s="249"/>
      <c r="B202" s="250" t="s">
        <v>464</v>
      </c>
      <c r="C202" s="252">
        <f t="shared" si="28"/>
        <v>606</v>
      </c>
      <c r="D202" s="252">
        <f t="shared" si="28"/>
        <v>686</v>
      </c>
      <c r="E202" s="252">
        <f t="shared" si="29"/>
        <v>80</v>
      </c>
      <c r="F202" s="251">
        <f t="shared" si="30"/>
        <v>0.132013201320132</v>
      </c>
    </row>
    <row r="203" spans="1:9" ht="20.25" customHeight="1" x14ac:dyDescent="0.3">
      <c r="A203" s="249"/>
      <c r="B203" s="250" t="s">
        <v>465</v>
      </c>
      <c r="C203" s="252">
        <f t="shared" si="28"/>
        <v>3722</v>
      </c>
      <c r="D203" s="252">
        <f t="shared" si="28"/>
        <v>4324</v>
      </c>
      <c r="E203" s="252">
        <f t="shared" si="29"/>
        <v>602</v>
      </c>
      <c r="F203" s="251">
        <f t="shared" si="30"/>
        <v>0.16174099946265449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7586</v>
      </c>
      <c r="D204" s="252">
        <f t="shared" si="28"/>
        <v>9202</v>
      </c>
      <c r="E204" s="252">
        <f t="shared" si="29"/>
        <v>1616</v>
      </c>
      <c r="F204" s="251">
        <f t="shared" si="30"/>
        <v>0.21302399156340626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709</v>
      </c>
      <c r="D205" s="252">
        <f t="shared" si="28"/>
        <v>765</v>
      </c>
      <c r="E205" s="252">
        <f t="shared" si="29"/>
        <v>56</v>
      </c>
      <c r="F205" s="251">
        <f t="shared" si="30"/>
        <v>7.8984485190409029E-2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458</v>
      </c>
      <c r="D206" s="252">
        <f t="shared" si="28"/>
        <v>397</v>
      </c>
      <c r="E206" s="252">
        <f t="shared" si="29"/>
        <v>-61</v>
      </c>
      <c r="F206" s="251">
        <f t="shared" si="30"/>
        <v>-0.1331877729257642</v>
      </c>
    </row>
    <row r="207" spans="1:9" ht="20.25" customHeight="1" x14ac:dyDescent="0.3">
      <c r="A207" s="249"/>
      <c r="B207" s="242" t="s">
        <v>469</v>
      </c>
      <c r="C207" s="243">
        <f>+C198+C200</f>
        <v>53896040</v>
      </c>
      <c r="D207" s="243">
        <f>+D198+D200</f>
        <v>62172746</v>
      </c>
      <c r="E207" s="243">
        <f t="shared" si="29"/>
        <v>8276706</v>
      </c>
      <c r="F207" s="251">
        <f t="shared" si="30"/>
        <v>0.15356798013360537</v>
      </c>
    </row>
    <row r="208" spans="1:9" ht="20.25" customHeight="1" x14ac:dyDescent="0.3">
      <c r="A208" s="249"/>
      <c r="B208" s="242" t="s">
        <v>470</v>
      </c>
      <c r="C208" s="243">
        <f>+C199+C201</f>
        <v>11097541</v>
      </c>
      <c r="D208" s="243">
        <f>+D199+D201</f>
        <v>12827740</v>
      </c>
      <c r="E208" s="243">
        <f t="shared" si="29"/>
        <v>1730199</v>
      </c>
      <c r="F208" s="251">
        <f t="shared" si="30"/>
        <v>0.15590832239322205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FILING&amp;RSTAMFORD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1049054</v>
      </c>
      <c r="D14" s="237">
        <v>0</v>
      </c>
      <c r="E14" s="237">
        <f t="shared" ref="E14:E24" si="0">D14-C14</f>
        <v>-1049054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235137</v>
      </c>
      <c r="D15" s="237">
        <v>0</v>
      </c>
      <c r="E15" s="237">
        <f t="shared" si="0"/>
        <v>-235137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1631671</v>
      </c>
      <c r="D16" s="237">
        <v>6069</v>
      </c>
      <c r="E16" s="237">
        <f t="shared" si="0"/>
        <v>-1625602</v>
      </c>
      <c r="F16" s="238">
        <f t="shared" si="1"/>
        <v>-0.99628050017436109</v>
      </c>
    </row>
    <row r="17" spans="1:6" ht="20.25" customHeight="1" x14ac:dyDescent="0.3">
      <c r="A17" s="235">
        <v>4</v>
      </c>
      <c r="B17" s="236" t="s">
        <v>437</v>
      </c>
      <c r="C17" s="237">
        <v>125581</v>
      </c>
      <c r="D17" s="237">
        <v>842</v>
      </c>
      <c r="E17" s="237">
        <f t="shared" si="0"/>
        <v>-124739</v>
      </c>
      <c r="F17" s="238">
        <f t="shared" si="1"/>
        <v>-0.9932951640773684</v>
      </c>
    </row>
    <row r="18" spans="1:6" ht="20.25" customHeight="1" x14ac:dyDescent="0.3">
      <c r="A18" s="235">
        <v>5</v>
      </c>
      <c r="B18" s="236" t="s">
        <v>373</v>
      </c>
      <c r="C18" s="239">
        <v>61</v>
      </c>
      <c r="D18" s="239">
        <v>0</v>
      </c>
      <c r="E18" s="239">
        <f t="shared" si="0"/>
        <v>-61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240</v>
      </c>
      <c r="D19" s="239">
        <v>0</v>
      </c>
      <c r="E19" s="239">
        <f t="shared" si="0"/>
        <v>-240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782</v>
      </c>
      <c r="D20" s="239">
        <v>5</v>
      </c>
      <c r="E20" s="239">
        <f t="shared" si="0"/>
        <v>-777</v>
      </c>
      <c r="F20" s="238">
        <f t="shared" si="1"/>
        <v>-0.99360613810741683</v>
      </c>
    </row>
    <row r="21" spans="1:6" ht="20.25" customHeight="1" x14ac:dyDescent="0.3">
      <c r="A21" s="235">
        <v>8</v>
      </c>
      <c r="B21" s="236" t="s">
        <v>439</v>
      </c>
      <c r="C21" s="239">
        <v>361</v>
      </c>
      <c r="D21" s="239">
        <v>0</v>
      </c>
      <c r="E21" s="239">
        <f t="shared" si="0"/>
        <v>-361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16</v>
      </c>
      <c r="D22" s="239">
        <v>0</v>
      </c>
      <c r="E22" s="239">
        <f t="shared" si="0"/>
        <v>-16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2680725</v>
      </c>
      <c r="D23" s="243">
        <f>+D14+D16</f>
        <v>6069</v>
      </c>
      <c r="E23" s="243">
        <f t="shared" si="0"/>
        <v>-2674656</v>
      </c>
      <c r="F23" s="244">
        <f t="shared" si="1"/>
        <v>-0.99773606020759309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360718</v>
      </c>
      <c r="D24" s="243">
        <f>+D15+D17</f>
        <v>842</v>
      </c>
      <c r="E24" s="243">
        <f t="shared" si="0"/>
        <v>-359876</v>
      </c>
      <c r="F24" s="244">
        <f t="shared" si="1"/>
        <v>-0.99766576660992801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10561431</v>
      </c>
      <c r="D26" s="237">
        <v>12830259</v>
      </c>
      <c r="E26" s="237">
        <f t="shared" ref="E26:E36" si="2">D26-C26</f>
        <v>2268828</v>
      </c>
      <c r="F26" s="238">
        <f t="shared" ref="F26:F36" si="3">IF(C26=0,0,E26/C26)</f>
        <v>0.21482202553801658</v>
      </c>
    </row>
    <row r="27" spans="1:6" ht="20.25" customHeight="1" x14ac:dyDescent="0.3">
      <c r="A27" s="235">
        <v>2</v>
      </c>
      <c r="B27" s="236" t="s">
        <v>435</v>
      </c>
      <c r="C27" s="237">
        <v>2955898</v>
      </c>
      <c r="D27" s="237">
        <v>2837350</v>
      </c>
      <c r="E27" s="237">
        <f t="shared" si="2"/>
        <v>-118548</v>
      </c>
      <c r="F27" s="238">
        <f t="shared" si="3"/>
        <v>-4.0105578744598087E-2</v>
      </c>
    </row>
    <row r="28" spans="1:6" ht="20.25" customHeight="1" x14ac:dyDescent="0.3">
      <c r="A28" s="235">
        <v>3</v>
      </c>
      <c r="B28" s="236" t="s">
        <v>436</v>
      </c>
      <c r="C28" s="237">
        <v>19888070</v>
      </c>
      <c r="D28" s="237">
        <v>25197345</v>
      </c>
      <c r="E28" s="237">
        <f t="shared" si="2"/>
        <v>5309275</v>
      </c>
      <c r="F28" s="238">
        <f t="shared" si="3"/>
        <v>0.26695777921135638</v>
      </c>
    </row>
    <row r="29" spans="1:6" ht="20.25" customHeight="1" x14ac:dyDescent="0.3">
      <c r="A29" s="235">
        <v>4</v>
      </c>
      <c r="B29" s="236" t="s">
        <v>437</v>
      </c>
      <c r="C29" s="237">
        <v>3429119</v>
      </c>
      <c r="D29" s="237">
        <v>4321815</v>
      </c>
      <c r="E29" s="237">
        <f t="shared" si="2"/>
        <v>892696</v>
      </c>
      <c r="F29" s="238">
        <f t="shared" si="3"/>
        <v>0.26032809010127672</v>
      </c>
    </row>
    <row r="30" spans="1:6" ht="20.25" customHeight="1" x14ac:dyDescent="0.3">
      <c r="A30" s="235">
        <v>5</v>
      </c>
      <c r="B30" s="236" t="s">
        <v>373</v>
      </c>
      <c r="C30" s="239">
        <v>617</v>
      </c>
      <c r="D30" s="239">
        <v>635</v>
      </c>
      <c r="E30" s="239">
        <f t="shared" si="2"/>
        <v>18</v>
      </c>
      <c r="F30" s="238">
        <f t="shared" si="3"/>
        <v>2.9173419773095625E-2</v>
      </c>
    </row>
    <row r="31" spans="1:6" ht="20.25" customHeight="1" x14ac:dyDescent="0.3">
      <c r="A31" s="235">
        <v>6</v>
      </c>
      <c r="B31" s="236" t="s">
        <v>372</v>
      </c>
      <c r="C31" s="239">
        <v>2073</v>
      </c>
      <c r="D31" s="239">
        <v>2181</v>
      </c>
      <c r="E31" s="239">
        <f t="shared" si="2"/>
        <v>108</v>
      </c>
      <c r="F31" s="238">
        <f t="shared" si="3"/>
        <v>5.2098408104196817E-2</v>
      </c>
    </row>
    <row r="32" spans="1:6" ht="20.25" customHeight="1" x14ac:dyDescent="0.3">
      <c r="A32" s="235">
        <v>7</v>
      </c>
      <c r="B32" s="236" t="s">
        <v>438</v>
      </c>
      <c r="C32" s="239">
        <v>10304</v>
      </c>
      <c r="D32" s="239">
        <v>11988</v>
      </c>
      <c r="E32" s="239">
        <f t="shared" si="2"/>
        <v>1684</v>
      </c>
      <c r="F32" s="238">
        <f t="shared" si="3"/>
        <v>0.16343167701863354</v>
      </c>
    </row>
    <row r="33" spans="1:6" ht="20.25" customHeight="1" x14ac:dyDescent="0.3">
      <c r="A33" s="235">
        <v>8</v>
      </c>
      <c r="B33" s="236" t="s">
        <v>439</v>
      </c>
      <c r="C33" s="239">
        <v>4912</v>
      </c>
      <c r="D33" s="239">
        <v>5614</v>
      </c>
      <c r="E33" s="239">
        <f t="shared" si="2"/>
        <v>702</v>
      </c>
      <c r="F33" s="238">
        <f t="shared" si="3"/>
        <v>0.14291530944625408</v>
      </c>
    </row>
    <row r="34" spans="1:6" ht="20.25" customHeight="1" x14ac:dyDescent="0.3">
      <c r="A34" s="235">
        <v>9</v>
      </c>
      <c r="B34" s="236" t="s">
        <v>440</v>
      </c>
      <c r="C34" s="239">
        <v>167</v>
      </c>
      <c r="D34" s="239">
        <v>175</v>
      </c>
      <c r="E34" s="239">
        <f t="shared" si="2"/>
        <v>8</v>
      </c>
      <c r="F34" s="238">
        <f t="shared" si="3"/>
        <v>4.790419161676647E-2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30449501</v>
      </c>
      <c r="D35" s="243">
        <f>+D26+D28</f>
        <v>38027604</v>
      </c>
      <c r="E35" s="243">
        <f t="shared" si="2"/>
        <v>7578103</v>
      </c>
      <c r="F35" s="244">
        <f t="shared" si="3"/>
        <v>0.24887445610356637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6385017</v>
      </c>
      <c r="D36" s="243">
        <f>+D27+D29</f>
        <v>7159165</v>
      </c>
      <c r="E36" s="243">
        <f t="shared" si="2"/>
        <v>774148</v>
      </c>
      <c r="F36" s="244">
        <f t="shared" si="3"/>
        <v>0.12124446967016689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1436</v>
      </c>
      <c r="D52" s="237">
        <v>20958</v>
      </c>
      <c r="E52" s="237">
        <f t="shared" si="6"/>
        <v>19522</v>
      </c>
      <c r="F52" s="238">
        <f t="shared" si="7"/>
        <v>13.594707520891365</v>
      </c>
    </row>
    <row r="53" spans="1:6" ht="20.25" customHeight="1" x14ac:dyDescent="0.3">
      <c r="A53" s="235">
        <v>4</v>
      </c>
      <c r="B53" s="236" t="s">
        <v>437</v>
      </c>
      <c r="C53" s="237">
        <v>463</v>
      </c>
      <c r="D53" s="237">
        <v>4280</v>
      </c>
      <c r="E53" s="237">
        <f t="shared" si="6"/>
        <v>3817</v>
      </c>
      <c r="F53" s="238">
        <f t="shared" si="7"/>
        <v>8.2440604751619873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6</v>
      </c>
      <c r="D56" s="239">
        <v>28</v>
      </c>
      <c r="E56" s="239">
        <f t="shared" si="6"/>
        <v>22</v>
      </c>
      <c r="F56" s="238">
        <f t="shared" si="7"/>
        <v>3.6666666666666665</v>
      </c>
    </row>
    <row r="57" spans="1:6" ht="20.25" customHeight="1" x14ac:dyDescent="0.3">
      <c r="A57" s="235">
        <v>8</v>
      </c>
      <c r="B57" s="236" t="s">
        <v>439</v>
      </c>
      <c r="C57" s="239">
        <v>1</v>
      </c>
      <c r="D57" s="239">
        <v>6</v>
      </c>
      <c r="E57" s="239">
        <f t="shared" si="6"/>
        <v>5</v>
      </c>
      <c r="F57" s="238">
        <f t="shared" si="7"/>
        <v>5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1436</v>
      </c>
      <c r="D59" s="243">
        <f>+D50+D52</f>
        <v>20958</v>
      </c>
      <c r="E59" s="243">
        <f t="shared" si="6"/>
        <v>19522</v>
      </c>
      <c r="F59" s="244">
        <f t="shared" si="7"/>
        <v>13.594707520891365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463</v>
      </c>
      <c r="D60" s="243">
        <f>+D51+D53</f>
        <v>4280</v>
      </c>
      <c r="E60" s="243">
        <f t="shared" si="6"/>
        <v>3817</v>
      </c>
      <c r="F60" s="244">
        <f t="shared" si="7"/>
        <v>8.2440604751619873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1635</v>
      </c>
      <c r="D76" s="237">
        <v>0</v>
      </c>
      <c r="E76" s="237">
        <f t="shared" si="10"/>
        <v>-1635</v>
      </c>
      <c r="F76" s="238">
        <f t="shared" si="11"/>
        <v>-1</v>
      </c>
    </row>
    <row r="77" spans="1:6" ht="20.25" customHeight="1" x14ac:dyDescent="0.3">
      <c r="A77" s="235">
        <v>4</v>
      </c>
      <c r="B77" s="236" t="s">
        <v>437</v>
      </c>
      <c r="C77" s="237">
        <v>257</v>
      </c>
      <c r="D77" s="237">
        <v>0</v>
      </c>
      <c r="E77" s="237">
        <f t="shared" si="10"/>
        <v>-257</v>
      </c>
      <c r="F77" s="238">
        <f t="shared" si="11"/>
        <v>-1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2</v>
      </c>
      <c r="D80" s="239">
        <v>0</v>
      </c>
      <c r="E80" s="239">
        <f t="shared" si="10"/>
        <v>-2</v>
      </c>
      <c r="F80" s="238">
        <f t="shared" si="11"/>
        <v>-1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1635</v>
      </c>
      <c r="D83" s="243">
        <f>+D74+D76</f>
        <v>0</v>
      </c>
      <c r="E83" s="243">
        <f t="shared" si="10"/>
        <v>-1635</v>
      </c>
      <c r="F83" s="244">
        <f t="shared" si="11"/>
        <v>-1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257</v>
      </c>
      <c r="D84" s="243">
        <f>+D75+D77</f>
        <v>0</v>
      </c>
      <c r="E84" s="243">
        <f t="shared" si="10"/>
        <v>-257</v>
      </c>
      <c r="F84" s="244">
        <f t="shared" si="11"/>
        <v>-1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2051582</v>
      </c>
      <c r="D86" s="237">
        <v>4395619</v>
      </c>
      <c r="E86" s="237">
        <f t="shared" ref="E86:E96" si="12">D86-C86</f>
        <v>2344037</v>
      </c>
      <c r="F86" s="238">
        <f t="shared" ref="F86:F96" si="13">IF(C86=0,0,E86/C86)</f>
        <v>1.1425509679847063</v>
      </c>
    </row>
    <row r="87" spans="1:6" ht="20.25" customHeight="1" x14ac:dyDescent="0.3">
      <c r="A87" s="235">
        <v>2</v>
      </c>
      <c r="B87" s="236" t="s">
        <v>435</v>
      </c>
      <c r="C87" s="237">
        <v>465596</v>
      </c>
      <c r="D87" s="237">
        <v>969036</v>
      </c>
      <c r="E87" s="237">
        <f t="shared" si="12"/>
        <v>503440</v>
      </c>
      <c r="F87" s="238">
        <f t="shared" si="13"/>
        <v>1.0812807670168987</v>
      </c>
    </row>
    <row r="88" spans="1:6" ht="20.25" customHeight="1" x14ac:dyDescent="0.3">
      <c r="A88" s="235">
        <v>3</v>
      </c>
      <c r="B88" s="236" t="s">
        <v>436</v>
      </c>
      <c r="C88" s="237">
        <v>3085892</v>
      </c>
      <c r="D88" s="237">
        <v>6420479</v>
      </c>
      <c r="E88" s="237">
        <f t="shared" si="12"/>
        <v>3334587</v>
      </c>
      <c r="F88" s="238">
        <f t="shared" si="13"/>
        <v>1.0805909604095023</v>
      </c>
    </row>
    <row r="89" spans="1:6" ht="20.25" customHeight="1" x14ac:dyDescent="0.3">
      <c r="A89" s="235">
        <v>4</v>
      </c>
      <c r="B89" s="236" t="s">
        <v>437</v>
      </c>
      <c r="C89" s="237">
        <v>642694</v>
      </c>
      <c r="D89" s="237">
        <v>1202705</v>
      </c>
      <c r="E89" s="237">
        <f t="shared" si="12"/>
        <v>560011</v>
      </c>
      <c r="F89" s="238">
        <f t="shared" si="13"/>
        <v>0.87134935132426938</v>
      </c>
    </row>
    <row r="90" spans="1:6" ht="20.25" customHeight="1" x14ac:dyDescent="0.3">
      <c r="A90" s="235">
        <v>5</v>
      </c>
      <c r="B90" s="236" t="s">
        <v>373</v>
      </c>
      <c r="C90" s="239">
        <v>108</v>
      </c>
      <c r="D90" s="239">
        <v>202</v>
      </c>
      <c r="E90" s="239">
        <f t="shared" si="12"/>
        <v>94</v>
      </c>
      <c r="F90" s="238">
        <f t="shared" si="13"/>
        <v>0.87037037037037035</v>
      </c>
    </row>
    <row r="91" spans="1:6" ht="20.25" customHeight="1" x14ac:dyDescent="0.3">
      <c r="A91" s="235">
        <v>6</v>
      </c>
      <c r="B91" s="236" t="s">
        <v>372</v>
      </c>
      <c r="C91" s="239">
        <v>355</v>
      </c>
      <c r="D91" s="239">
        <v>661</v>
      </c>
      <c r="E91" s="239">
        <f t="shared" si="12"/>
        <v>306</v>
      </c>
      <c r="F91" s="238">
        <f t="shared" si="13"/>
        <v>0.86197183098591545</v>
      </c>
    </row>
    <row r="92" spans="1:6" ht="20.25" customHeight="1" x14ac:dyDescent="0.3">
      <c r="A92" s="235">
        <v>7</v>
      </c>
      <c r="B92" s="236" t="s">
        <v>438</v>
      </c>
      <c r="C92" s="239">
        <v>1258</v>
      </c>
      <c r="D92" s="239">
        <v>2721</v>
      </c>
      <c r="E92" s="239">
        <f t="shared" si="12"/>
        <v>1463</v>
      </c>
      <c r="F92" s="238">
        <f t="shared" si="13"/>
        <v>1.1629570747217806</v>
      </c>
    </row>
    <row r="93" spans="1:6" ht="20.25" customHeight="1" x14ac:dyDescent="0.3">
      <c r="A93" s="235">
        <v>8</v>
      </c>
      <c r="B93" s="236" t="s">
        <v>439</v>
      </c>
      <c r="C93" s="239">
        <v>660</v>
      </c>
      <c r="D93" s="239">
        <v>1164</v>
      </c>
      <c r="E93" s="239">
        <f t="shared" si="12"/>
        <v>504</v>
      </c>
      <c r="F93" s="238">
        <f t="shared" si="13"/>
        <v>0.76363636363636367</v>
      </c>
    </row>
    <row r="94" spans="1:6" ht="20.25" customHeight="1" x14ac:dyDescent="0.3">
      <c r="A94" s="235">
        <v>9</v>
      </c>
      <c r="B94" s="236" t="s">
        <v>440</v>
      </c>
      <c r="C94" s="239">
        <v>35</v>
      </c>
      <c r="D94" s="239">
        <v>43</v>
      </c>
      <c r="E94" s="239">
        <f t="shared" si="12"/>
        <v>8</v>
      </c>
      <c r="F94" s="238">
        <f t="shared" si="13"/>
        <v>0.22857142857142856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5137474</v>
      </c>
      <c r="D95" s="243">
        <f>+D86+D88</f>
        <v>10816098</v>
      </c>
      <c r="E95" s="243">
        <f t="shared" si="12"/>
        <v>5678624</v>
      </c>
      <c r="F95" s="244">
        <f t="shared" si="13"/>
        <v>1.1053338664098349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1108290</v>
      </c>
      <c r="D96" s="243">
        <f>+D87+D89</f>
        <v>2171741</v>
      </c>
      <c r="E96" s="243">
        <f t="shared" si="12"/>
        <v>1063451</v>
      </c>
      <c r="F96" s="244">
        <f t="shared" si="13"/>
        <v>0.95954217758889826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3056852</v>
      </c>
      <c r="D98" s="237">
        <v>3637096</v>
      </c>
      <c r="E98" s="237">
        <f t="shared" ref="E98:E108" si="14">D98-C98</f>
        <v>580244</v>
      </c>
      <c r="F98" s="238">
        <f t="shared" ref="F98:F108" si="15">IF(C98=0,0,E98/C98)</f>
        <v>0.18981749852462598</v>
      </c>
    </row>
    <row r="99" spans="1:7" ht="20.25" customHeight="1" x14ac:dyDescent="0.3">
      <c r="A99" s="235">
        <v>2</v>
      </c>
      <c r="B99" s="236" t="s">
        <v>435</v>
      </c>
      <c r="C99" s="237">
        <v>965237</v>
      </c>
      <c r="D99" s="237">
        <v>534182</v>
      </c>
      <c r="E99" s="237">
        <f t="shared" si="14"/>
        <v>-431055</v>
      </c>
      <c r="F99" s="238">
        <f t="shared" si="15"/>
        <v>-0.446579441111354</v>
      </c>
    </row>
    <row r="100" spans="1:7" ht="20.25" customHeight="1" x14ac:dyDescent="0.3">
      <c r="A100" s="235">
        <v>3</v>
      </c>
      <c r="B100" s="236" t="s">
        <v>436</v>
      </c>
      <c r="C100" s="237">
        <v>3688983</v>
      </c>
      <c r="D100" s="237">
        <v>6119428</v>
      </c>
      <c r="E100" s="237">
        <f t="shared" si="14"/>
        <v>2430445</v>
      </c>
      <c r="F100" s="238">
        <f t="shared" si="15"/>
        <v>0.65883876396285912</v>
      </c>
    </row>
    <row r="101" spans="1:7" ht="20.25" customHeight="1" x14ac:dyDescent="0.3">
      <c r="A101" s="235">
        <v>4</v>
      </c>
      <c r="B101" s="236" t="s">
        <v>437</v>
      </c>
      <c r="C101" s="237">
        <v>804891</v>
      </c>
      <c r="D101" s="237">
        <v>1180464</v>
      </c>
      <c r="E101" s="237">
        <f t="shared" si="14"/>
        <v>375573</v>
      </c>
      <c r="F101" s="238">
        <f t="shared" si="15"/>
        <v>0.46661349176472344</v>
      </c>
    </row>
    <row r="102" spans="1:7" ht="20.25" customHeight="1" x14ac:dyDescent="0.3">
      <c r="A102" s="235">
        <v>5</v>
      </c>
      <c r="B102" s="236" t="s">
        <v>373</v>
      </c>
      <c r="C102" s="239">
        <v>136</v>
      </c>
      <c r="D102" s="239">
        <v>186</v>
      </c>
      <c r="E102" s="239">
        <f t="shared" si="14"/>
        <v>50</v>
      </c>
      <c r="F102" s="238">
        <f t="shared" si="15"/>
        <v>0.36764705882352944</v>
      </c>
    </row>
    <row r="103" spans="1:7" ht="20.25" customHeight="1" x14ac:dyDescent="0.3">
      <c r="A103" s="235">
        <v>6</v>
      </c>
      <c r="B103" s="236" t="s">
        <v>372</v>
      </c>
      <c r="C103" s="239">
        <v>497</v>
      </c>
      <c r="D103" s="239">
        <v>694</v>
      </c>
      <c r="E103" s="239">
        <f t="shared" si="14"/>
        <v>197</v>
      </c>
      <c r="F103" s="238">
        <f t="shared" si="15"/>
        <v>0.39637826961770622</v>
      </c>
    </row>
    <row r="104" spans="1:7" ht="20.25" customHeight="1" x14ac:dyDescent="0.3">
      <c r="A104" s="235">
        <v>7</v>
      </c>
      <c r="B104" s="236" t="s">
        <v>438</v>
      </c>
      <c r="C104" s="239">
        <v>1866</v>
      </c>
      <c r="D104" s="239">
        <v>2821</v>
      </c>
      <c r="E104" s="239">
        <f t="shared" si="14"/>
        <v>955</v>
      </c>
      <c r="F104" s="238">
        <f t="shared" si="15"/>
        <v>0.51178992497320475</v>
      </c>
    </row>
    <row r="105" spans="1:7" ht="20.25" customHeight="1" x14ac:dyDescent="0.3">
      <c r="A105" s="235">
        <v>8</v>
      </c>
      <c r="B105" s="236" t="s">
        <v>439</v>
      </c>
      <c r="C105" s="239">
        <v>762</v>
      </c>
      <c r="D105" s="239">
        <v>1106</v>
      </c>
      <c r="E105" s="239">
        <f t="shared" si="14"/>
        <v>344</v>
      </c>
      <c r="F105" s="238">
        <f t="shared" si="15"/>
        <v>0.45144356955380577</v>
      </c>
    </row>
    <row r="106" spans="1:7" ht="20.25" customHeight="1" x14ac:dyDescent="0.3">
      <c r="A106" s="235">
        <v>9</v>
      </c>
      <c r="B106" s="236" t="s">
        <v>440</v>
      </c>
      <c r="C106" s="239">
        <v>33</v>
      </c>
      <c r="D106" s="239">
        <v>38</v>
      </c>
      <c r="E106" s="239">
        <f t="shared" si="14"/>
        <v>5</v>
      </c>
      <c r="F106" s="238">
        <f t="shared" si="15"/>
        <v>0.15151515151515152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6745835</v>
      </c>
      <c r="D107" s="243">
        <f>+D98+D100</f>
        <v>9756524</v>
      </c>
      <c r="E107" s="243">
        <f t="shared" si="14"/>
        <v>3010689</v>
      </c>
      <c r="F107" s="244">
        <f t="shared" si="15"/>
        <v>0.44630338571874351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1770128</v>
      </c>
      <c r="D108" s="243">
        <f>+D99+D101</f>
        <v>1714646</v>
      </c>
      <c r="E108" s="243">
        <f t="shared" si="14"/>
        <v>-55482</v>
      </c>
      <c r="F108" s="244">
        <f t="shared" si="15"/>
        <v>-3.1343496063561502E-2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16718919</v>
      </c>
      <c r="D112" s="243">
        <f t="shared" si="16"/>
        <v>20862974</v>
      </c>
      <c r="E112" s="243">
        <f t="shared" ref="E112:E122" si="17">D112-C112</f>
        <v>4144055</v>
      </c>
      <c r="F112" s="244">
        <f t="shared" ref="F112:F122" si="18">IF(C112=0,0,E112/C112)</f>
        <v>0.24786620474684995</v>
      </c>
    </row>
    <row r="113" spans="1:6" ht="20.25" customHeight="1" x14ac:dyDescent="0.3">
      <c r="A113" s="249"/>
      <c r="B113" s="250" t="s">
        <v>461</v>
      </c>
      <c r="C113" s="243">
        <f t="shared" si="16"/>
        <v>4621868</v>
      </c>
      <c r="D113" s="243">
        <f t="shared" si="16"/>
        <v>4340568</v>
      </c>
      <c r="E113" s="243">
        <f t="shared" si="17"/>
        <v>-281300</v>
      </c>
      <c r="F113" s="244">
        <f t="shared" si="18"/>
        <v>-6.0862837277049019E-2</v>
      </c>
    </row>
    <row r="114" spans="1:6" ht="20.25" customHeight="1" x14ac:dyDescent="0.3">
      <c r="A114" s="249"/>
      <c r="B114" s="250" t="s">
        <v>462</v>
      </c>
      <c r="C114" s="243">
        <f t="shared" si="16"/>
        <v>28297687</v>
      </c>
      <c r="D114" s="243">
        <f t="shared" si="16"/>
        <v>37764279</v>
      </c>
      <c r="E114" s="243">
        <f t="shared" si="17"/>
        <v>9466592</v>
      </c>
      <c r="F114" s="244">
        <f t="shared" si="18"/>
        <v>0.33453589333997508</v>
      </c>
    </row>
    <row r="115" spans="1:6" ht="20.25" customHeight="1" x14ac:dyDescent="0.3">
      <c r="A115" s="249"/>
      <c r="B115" s="250" t="s">
        <v>463</v>
      </c>
      <c r="C115" s="243">
        <f t="shared" si="16"/>
        <v>5003005</v>
      </c>
      <c r="D115" s="243">
        <f t="shared" si="16"/>
        <v>6710106</v>
      </c>
      <c r="E115" s="243">
        <f t="shared" si="17"/>
        <v>1707101</v>
      </c>
      <c r="F115" s="244">
        <f t="shared" si="18"/>
        <v>0.34121512970704604</v>
      </c>
    </row>
    <row r="116" spans="1:6" ht="20.25" customHeight="1" x14ac:dyDescent="0.3">
      <c r="A116" s="249"/>
      <c r="B116" s="250" t="s">
        <v>464</v>
      </c>
      <c r="C116" s="252">
        <f t="shared" si="16"/>
        <v>922</v>
      </c>
      <c r="D116" s="252">
        <f t="shared" si="16"/>
        <v>1023</v>
      </c>
      <c r="E116" s="252">
        <f t="shared" si="17"/>
        <v>101</v>
      </c>
      <c r="F116" s="244">
        <f t="shared" si="18"/>
        <v>0.10954446854663774</v>
      </c>
    </row>
    <row r="117" spans="1:6" ht="20.25" customHeight="1" x14ac:dyDescent="0.3">
      <c r="A117" s="249"/>
      <c r="B117" s="250" t="s">
        <v>465</v>
      </c>
      <c r="C117" s="252">
        <f t="shared" si="16"/>
        <v>3165</v>
      </c>
      <c r="D117" s="252">
        <f t="shared" si="16"/>
        <v>3536</v>
      </c>
      <c r="E117" s="252">
        <f t="shared" si="17"/>
        <v>371</v>
      </c>
      <c r="F117" s="244">
        <f t="shared" si="18"/>
        <v>0.11721958925750395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14218</v>
      </c>
      <c r="D118" s="252">
        <f t="shared" si="16"/>
        <v>17563</v>
      </c>
      <c r="E118" s="252">
        <f t="shared" si="17"/>
        <v>3345</v>
      </c>
      <c r="F118" s="244">
        <f t="shared" si="18"/>
        <v>0.23526515684343791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6696</v>
      </c>
      <c r="D119" s="252">
        <f t="shared" si="16"/>
        <v>7890</v>
      </c>
      <c r="E119" s="252">
        <f t="shared" si="17"/>
        <v>1194</v>
      </c>
      <c r="F119" s="244">
        <f t="shared" si="18"/>
        <v>0.17831541218637992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251</v>
      </c>
      <c r="D120" s="252">
        <f t="shared" si="16"/>
        <v>256</v>
      </c>
      <c r="E120" s="252">
        <f t="shared" si="17"/>
        <v>5</v>
      </c>
      <c r="F120" s="244">
        <f t="shared" si="18"/>
        <v>1.9920318725099601E-2</v>
      </c>
    </row>
    <row r="121" spans="1:6" ht="39.950000000000003" customHeight="1" x14ac:dyDescent="0.3">
      <c r="A121" s="249"/>
      <c r="B121" s="242" t="s">
        <v>441</v>
      </c>
      <c r="C121" s="243">
        <f>+C112+C114</f>
        <v>45016606</v>
      </c>
      <c r="D121" s="243">
        <f>+D112+D114</f>
        <v>58627253</v>
      </c>
      <c r="E121" s="243">
        <f t="shared" si="17"/>
        <v>13610647</v>
      </c>
      <c r="F121" s="244">
        <f t="shared" si="18"/>
        <v>0.30234724936837754</v>
      </c>
    </row>
    <row r="122" spans="1:6" ht="39.950000000000003" customHeight="1" x14ac:dyDescent="0.3">
      <c r="A122" s="249"/>
      <c r="B122" s="242" t="s">
        <v>470</v>
      </c>
      <c r="C122" s="243">
        <f>+C113+C115</f>
        <v>9624873</v>
      </c>
      <c r="D122" s="243">
        <f>+D113+D115</f>
        <v>11050674</v>
      </c>
      <c r="E122" s="243">
        <f t="shared" si="17"/>
        <v>1425801</v>
      </c>
      <c r="F122" s="244">
        <f t="shared" si="18"/>
        <v>0.14813712347165517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FILING&amp;RSTAMFORD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33269000</v>
      </c>
      <c r="D13" s="23">
        <v>58541000</v>
      </c>
      <c r="E13" s="23">
        <f t="shared" ref="E13:E22" si="0">D13-C13</f>
        <v>25272000</v>
      </c>
      <c r="F13" s="24">
        <f t="shared" ref="F13:F22" si="1">IF(C13=0,0,E13/C13)</f>
        <v>0.75962607833117912</v>
      </c>
    </row>
    <row r="14" spans="1:8" ht="24" customHeight="1" x14ac:dyDescent="0.2">
      <c r="A14" s="21">
        <v>2</v>
      </c>
      <c r="B14" s="22" t="s">
        <v>17</v>
      </c>
      <c r="C14" s="23">
        <v>166000</v>
      </c>
      <c r="D14" s="23">
        <v>24454000</v>
      </c>
      <c r="E14" s="23">
        <f t="shared" si="0"/>
        <v>24288000</v>
      </c>
      <c r="F14" s="24">
        <f t="shared" si="1"/>
        <v>146.31325301204819</v>
      </c>
    </row>
    <row r="15" spans="1:8" ht="35.1" customHeight="1" x14ac:dyDescent="0.2">
      <c r="A15" s="21">
        <v>3</v>
      </c>
      <c r="B15" s="22" t="s">
        <v>18</v>
      </c>
      <c r="C15" s="23">
        <v>51211000</v>
      </c>
      <c r="D15" s="23">
        <v>51581000</v>
      </c>
      <c r="E15" s="23">
        <f t="shared" si="0"/>
        <v>370000</v>
      </c>
      <c r="F15" s="24">
        <f t="shared" si="1"/>
        <v>7.2250102517037356E-3</v>
      </c>
    </row>
    <row r="16" spans="1:8" ht="35.1" customHeight="1" x14ac:dyDescent="0.2">
      <c r="A16" s="21">
        <v>4</v>
      </c>
      <c r="B16" s="22" t="s">
        <v>19</v>
      </c>
      <c r="C16" s="23">
        <v>2100000</v>
      </c>
      <c r="D16" s="23">
        <v>1874000</v>
      </c>
      <c r="E16" s="23">
        <f t="shared" si="0"/>
        <v>-226000</v>
      </c>
      <c r="F16" s="24">
        <f t="shared" si="1"/>
        <v>-0.10761904761904761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5178000</v>
      </c>
      <c r="D19" s="23">
        <v>4777000</v>
      </c>
      <c r="E19" s="23">
        <f t="shared" si="0"/>
        <v>-401000</v>
      </c>
      <c r="F19" s="24">
        <f t="shared" si="1"/>
        <v>-7.744302819621475E-2</v>
      </c>
    </row>
    <row r="20" spans="1:11" ht="24" customHeight="1" x14ac:dyDescent="0.2">
      <c r="A20" s="21">
        <v>8</v>
      </c>
      <c r="B20" s="22" t="s">
        <v>23</v>
      </c>
      <c r="C20" s="23">
        <v>4649000</v>
      </c>
      <c r="D20" s="23">
        <v>4430000</v>
      </c>
      <c r="E20" s="23">
        <f t="shared" si="0"/>
        <v>-219000</v>
      </c>
      <c r="F20" s="24">
        <f t="shared" si="1"/>
        <v>-4.710690471069047E-2</v>
      </c>
    </row>
    <row r="21" spans="1:11" ht="24" customHeight="1" x14ac:dyDescent="0.2">
      <c r="A21" s="21">
        <v>9</v>
      </c>
      <c r="B21" s="22" t="s">
        <v>24</v>
      </c>
      <c r="C21" s="23">
        <v>8255000</v>
      </c>
      <c r="D21" s="23">
        <v>8905000</v>
      </c>
      <c r="E21" s="23">
        <f t="shared" si="0"/>
        <v>650000</v>
      </c>
      <c r="F21" s="24">
        <f t="shared" si="1"/>
        <v>7.874015748031496E-2</v>
      </c>
    </row>
    <row r="22" spans="1:11" ht="24" customHeight="1" x14ac:dyDescent="0.25">
      <c r="A22" s="25"/>
      <c r="B22" s="26" t="s">
        <v>25</v>
      </c>
      <c r="C22" s="27">
        <f>SUM(C13:C21)</f>
        <v>104828000</v>
      </c>
      <c r="D22" s="27">
        <f>SUM(D13:D21)</f>
        <v>154562000</v>
      </c>
      <c r="E22" s="27">
        <f t="shared" si="0"/>
        <v>49734000</v>
      </c>
      <c r="F22" s="28">
        <f t="shared" si="1"/>
        <v>0.47443431144350745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1699000</v>
      </c>
      <c r="D25" s="23">
        <v>1699000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38486000</v>
      </c>
      <c r="D28" s="23">
        <v>46204000</v>
      </c>
      <c r="E28" s="23">
        <f>D28-C28</f>
        <v>7718000</v>
      </c>
      <c r="F28" s="24">
        <f>IF(C28=0,0,E28/C28)</f>
        <v>0.2005404562698124</v>
      </c>
    </row>
    <row r="29" spans="1:11" ht="35.1" customHeight="1" x14ac:dyDescent="0.25">
      <c r="A29" s="25"/>
      <c r="B29" s="26" t="s">
        <v>32</v>
      </c>
      <c r="C29" s="27">
        <f>SUM(C25:C28)</f>
        <v>40185000</v>
      </c>
      <c r="D29" s="27">
        <f>SUM(D25:D28)</f>
        <v>47903000</v>
      </c>
      <c r="E29" s="27">
        <f>D29-C29</f>
        <v>7718000</v>
      </c>
      <c r="F29" s="28">
        <f>IF(C29=0,0,E29/C29)</f>
        <v>0.19206171457011323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93853000</v>
      </c>
      <c r="D32" s="23">
        <v>102986000</v>
      </c>
      <c r="E32" s="23">
        <f>D32-C32</f>
        <v>9133000</v>
      </c>
      <c r="F32" s="24">
        <f>IF(C32=0,0,E32/C32)</f>
        <v>9.7311753486835795E-2</v>
      </c>
    </row>
    <row r="33" spans="1:8" ht="24" customHeight="1" x14ac:dyDescent="0.2">
      <c r="A33" s="21">
        <v>7</v>
      </c>
      <c r="B33" s="22" t="s">
        <v>35</v>
      </c>
      <c r="C33" s="23">
        <v>8696000</v>
      </c>
      <c r="D33" s="23">
        <v>7495000</v>
      </c>
      <c r="E33" s="23">
        <f>D33-C33</f>
        <v>-1201000</v>
      </c>
      <c r="F33" s="24">
        <f>IF(C33=0,0,E33/C33)</f>
        <v>-0.13810947562097517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612852000</v>
      </c>
      <c r="D36" s="23">
        <v>624066000</v>
      </c>
      <c r="E36" s="23">
        <f>D36-C36</f>
        <v>11214000</v>
      </c>
      <c r="F36" s="24">
        <f>IF(C36=0,0,E36/C36)</f>
        <v>1.8298055648019423E-2</v>
      </c>
    </row>
    <row r="37" spans="1:8" ht="24" customHeight="1" x14ac:dyDescent="0.2">
      <c r="A37" s="21">
        <v>2</v>
      </c>
      <c r="B37" s="22" t="s">
        <v>39</v>
      </c>
      <c r="C37" s="23">
        <v>304615000</v>
      </c>
      <c r="D37" s="23">
        <v>329471000</v>
      </c>
      <c r="E37" s="23">
        <f>D37-C37</f>
        <v>24856000</v>
      </c>
      <c r="F37" s="23">
        <f>IF(C37=0,0,E37/C37)</f>
        <v>8.1598082825862159E-2</v>
      </c>
    </row>
    <row r="38" spans="1:8" ht="24" customHeight="1" x14ac:dyDescent="0.25">
      <c r="A38" s="25"/>
      <c r="B38" s="26" t="s">
        <v>40</v>
      </c>
      <c r="C38" s="27">
        <f>C36-C37</f>
        <v>308237000</v>
      </c>
      <c r="D38" s="27">
        <f>D36-D37</f>
        <v>294595000</v>
      </c>
      <c r="E38" s="27">
        <f>D38-C38</f>
        <v>-13642000</v>
      </c>
      <c r="F38" s="28">
        <f>IF(C38=0,0,E38/C38)</f>
        <v>-4.4258152006410652E-2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14801000</v>
      </c>
      <c r="D40" s="23">
        <v>20384000</v>
      </c>
      <c r="E40" s="23">
        <f>D40-C40</f>
        <v>5583000</v>
      </c>
      <c r="F40" s="24">
        <f>IF(C40=0,0,E40/C40)</f>
        <v>0.37720424295655697</v>
      </c>
    </row>
    <row r="41" spans="1:8" ht="24" customHeight="1" x14ac:dyDescent="0.25">
      <c r="A41" s="25"/>
      <c r="B41" s="26" t="s">
        <v>42</v>
      </c>
      <c r="C41" s="27">
        <f>+C38+C40</f>
        <v>323038000</v>
      </c>
      <c r="D41" s="27">
        <f>+D38+D40</f>
        <v>314979000</v>
      </c>
      <c r="E41" s="27">
        <f>D41-C41</f>
        <v>-8059000</v>
      </c>
      <c r="F41" s="28">
        <f>IF(C41=0,0,E41/C41)</f>
        <v>-2.494752939282685E-2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570600000</v>
      </c>
      <c r="D43" s="27">
        <f>D22+D29+D31+D32+D33+D41</f>
        <v>627925000</v>
      </c>
      <c r="E43" s="27">
        <f>D43-C43</f>
        <v>57325000</v>
      </c>
      <c r="F43" s="28">
        <f>IF(C43=0,0,E43/C43)</f>
        <v>0.10046442341395023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43333000</v>
      </c>
      <c r="D49" s="23">
        <v>50969000</v>
      </c>
      <c r="E49" s="23">
        <f t="shared" ref="E49:E56" si="2">D49-C49</f>
        <v>7636000</v>
      </c>
      <c r="F49" s="24">
        <f t="shared" ref="F49:F56" si="3">IF(C49=0,0,E49/C49)</f>
        <v>0.17621674012877023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9545000</v>
      </c>
      <c r="D50" s="23">
        <v>11036000</v>
      </c>
      <c r="E50" s="23">
        <f t="shared" si="2"/>
        <v>1491000</v>
      </c>
      <c r="F50" s="24">
        <f t="shared" si="3"/>
        <v>0.15620743844944998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10894000</v>
      </c>
      <c r="D51" s="23">
        <v>9227000</v>
      </c>
      <c r="E51" s="23">
        <f t="shared" si="2"/>
        <v>-1667000</v>
      </c>
      <c r="F51" s="24">
        <f t="shared" si="3"/>
        <v>-0.15302001101523774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6808000</v>
      </c>
      <c r="D53" s="23">
        <v>8592000</v>
      </c>
      <c r="E53" s="23">
        <f t="shared" si="2"/>
        <v>1784000</v>
      </c>
      <c r="F53" s="24">
        <f t="shared" si="3"/>
        <v>0.26204465334900118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8734000</v>
      </c>
      <c r="D55" s="23">
        <v>10786000</v>
      </c>
      <c r="E55" s="23">
        <f t="shared" si="2"/>
        <v>2052000</v>
      </c>
      <c r="F55" s="24">
        <f t="shared" si="3"/>
        <v>0.23494389741241126</v>
      </c>
    </row>
    <row r="56" spans="1:6" ht="24" customHeight="1" x14ac:dyDescent="0.25">
      <c r="A56" s="25"/>
      <c r="B56" s="26" t="s">
        <v>54</v>
      </c>
      <c r="C56" s="27">
        <f>SUM(C49:C55)</f>
        <v>79314000</v>
      </c>
      <c r="D56" s="27">
        <f>SUM(D49:D55)</f>
        <v>90610000</v>
      </c>
      <c r="E56" s="27">
        <f t="shared" si="2"/>
        <v>11296000</v>
      </c>
      <c r="F56" s="28">
        <f t="shared" si="3"/>
        <v>0.142421262324432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131527000</v>
      </c>
      <c r="D59" s="23">
        <v>147143000</v>
      </c>
      <c r="E59" s="23">
        <f>D59-C59</f>
        <v>15616000</v>
      </c>
      <c r="F59" s="24">
        <f>IF(C59=0,0,E59/C59)</f>
        <v>0.1187284740015358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131527000</v>
      </c>
      <c r="D61" s="27">
        <f>SUM(D59:D60)</f>
        <v>147143000</v>
      </c>
      <c r="E61" s="27">
        <f>D61-C61</f>
        <v>15616000</v>
      </c>
      <c r="F61" s="28">
        <f>IF(C61=0,0,E61/C61)</f>
        <v>0.1187284740015358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73775000</v>
      </c>
      <c r="D63" s="23">
        <v>90865000</v>
      </c>
      <c r="E63" s="23">
        <f>D63-C63</f>
        <v>17090000</v>
      </c>
      <c r="F63" s="24">
        <f>IF(C63=0,0,E63/C63)</f>
        <v>0.23165028803795323</v>
      </c>
    </row>
    <row r="64" spans="1:6" ht="24" customHeight="1" x14ac:dyDescent="0.2">
      <c r="A64" s="21">
        <v>4</v>
      </c>
      <c r="B64" s="22" t="s">
        <v>60</v>
      </c>
      <c r="C64" s="23">
        <v>117598000</v>
      </c>
      <c r="D64" s="23">
        <v>120489000</v>
      </c>
      <c r="E64" s="23">
        <f>D64-C64</f>
        <v>2891000</v>
      </c>
      <c r="F64" s="24">
        <f>IF(C64=0,0,E64/C64)</f>
        <v>2.458375142434395E-2</v>
      </c>
    </row>
    <row r="65" spans="1:6" ht="24" customHeight="1" x14ac:dyDescent="0.25">
      <c r="A65" s="25"/>
      <c r="B65" s="26" t="s">
        <v>61</v>
      </c>
      <c r="C65" s="27">
        <f>SUM(C61:C64)</f>
        <v>322900000</v>
      </c>
      <c r="D65" s="27">
        <f>SUM(D61:D64)</f>
        <v>358497000</v>
      </c>
      <c r="E65" s="27">
        <f>D65-C65</f>
        <v>35597000</v>
      </c>
      <c r="F65" s="28">
        <f>IF(C65=0,0,E65/C65)</f>
        <v>0.1102415608547538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137780000</v>
      </c>
      <c r="D70" s="23">
        <v>148882000</v>
      </c>
      <c r="E70" s="23">
        <f>D70-C70</f>
        <v>11102000</v>
      </c>
      <c r="F70" s="24">
        <f>IF(C70=0,0,E70/C70)</f>
        <v>8.0577732617215847E-2</v>
      </c>
    </row>
    <row r="71" spans="1:6" ht="24" customHeight="1" x14ac:dyDescent="0.2">
      <c r="A71" s="21">
        <v>2</v>
      </c>
      <c r="B71" s="22" t="s">
        <v>65</v>
      </c>
      <c r="C71" s="23">
        <v>22576000</v>
      </c>
      <c r="D71" s="23">
        <v>21856000</v>
      </c>
      <c r="E71" s="23">
        <f>D71-C71</f>
        <v>-720000</v>
      </c>
      <c r="F71" s="24">
        <f>IF(C71=0,0,E71/C71)</f>
        <v>-3.1892274982282066E-2</v>
      </c>
    </row>
    <row r="72" spans="1:6" ht="24" customHeight="1" x14ac:dyDescent="0.2">
      <c r="A72" s="21">
        <v>3</v>
      </c>
      <c r="B72" s="22" t="s">
        <v>66</v>
      </c>
      <c r="C72" s="23">
        <v>8030000</v>
      </c>
      <c r="D72" s="23">
        <v>8080000</v>
      </c>
      <c r="E72" s="23">
        <f>D72-C72</f>
        <v>50000</v>
      </c>
      <c r="F72" s="24">
        <f>IF(C72=0,0,E72/C72)</f>
        <v>6.2266500622665004E-3</v>
      </c>
    </row>
    <row r="73" spans="1:6" ht="24" customHeight="1" x14ac:dyDescent="0.25">
      <c r="A73" s="21"/>
      <c r="B73" s="26" t="s">
        <v>67</v>
      </c>
      <c r="C73" s="27">
        <f>SUM(C70:C72)</f>
        <v>168386000</v>
      </c>
      <c r="D73" s="27">
        <f>SUM(D70:D72)</f>
        <v>178818000</v>
      </c>
      <c r="E73" s="27">
        <f>D73-C73</f>
        <v>10432000</v>
      </c>
      <c r="F73" s="28">
        <f>IF(C73=0,0,E73/C73)</f>
        <v>6.1952893946052523E-2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570600000</v>
      </c>
      <c r="D75" s="27">
        <f>D56+D65+D67+D73</f>
        <v>627925000</v>
      </c>
      <c r="E75" s="27">
        <f>D75-C75</f>
        <v>57325000</v>
      </c>
      <c r="F75" s="28">
        <f>IF(C75=0,0,E75/C75)</f>
        <v>0.10046442341395023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FILING&amp;RSTAMFORD HEALTH SYSTEM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1157017320</v>
      </c>
      <c r="D12" s="51">
        <v>1288625775</v>
      </c>
      <c r="E12" s="51">
        <f t="shared" ref="E12:E19" si="0">D12-C12</f>
        <v>131608455</v>
      </c>
      <c r="F12" s="70">
        <f t="shared" ref="F12:F19" si="1">IF(C12=0,0,E12/C12)</f>
        <v>0.11374804225056891</v>
      </c>
    </row>
    <row r="13" spans="1:8" ht="23.1" customHeight="1" x14ac:dyDescent="0.2">
      <c r="A13" s="25">
        <v>2</v>
      </c>
      <c r="B13" s="48" t="s">
        <v>72</v>
      </c>
      <c r="C13" s="51">
        <v>729517692</v>
      </c>
      <c r="D13" s="51">
        <v>837497446</v>
      </c>
      <c r="E13" s="51">
        <f t="shared" si="0"/>
        <v>107979754</v>
      </c>
      <c r="F13" s="70">
        <f t="shared" si="1"/>
        <v>0.14801526430972423</v>
      </c>
    </row>
    <row r="14" spans="1:8" ht="23.1" customHeight="1" x14ac:dyDescent="0.2">
      <c r="A14" s="25">
        <v>3</v>
      </c>
      <c r="B14" s="48" t="s">
        <v>73</v>
      </c>
      <c r="C14" s="51">
        <v>11909791</v>
      </c>
      <c r="D14" s="51">
        <v>23197205</v>
      </c>
      <c r="E14" s="51">
        <f t="shared" si="0"/>
        <v>11287414</v>
      </c>
      <c r="F14" s="70">
        <f t="shared" si="1"/>
        <v>0.94774240790623443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415589837</v>
      </c>
      <c r="D16" s="27">
        <f>D12-D13-D14-D15</f>
        <v>427931124</v>
      </c>
      <c r="E16" s="27">
        <f t="shared" si="0"/>
        <v>12341287</v>
      </c>
      <c r="F16" s="28">
        <f t="shared" si="1"/>
        <v>2.9695834453237605E-2</v>
      </c>
    </row>
    <row r="17" spans="1:7" ht="23.1" customHeight="1" x14ac:dyDescent="0.2">
      <c r="A17" s="25">
        <v>5</v>
      </c>
      <c r="B17" s="48" t="s">
        <v>76</v>
      </c>
      <c r="C17" s="51">
        <v>63974821</v>
      </c>
      <c r="D17" s="51">
        <v>62621439</v>
      </c>
      <c r="E17" s="51">
        <f t="shared" si="0"/>
        <v>-1353382</v>
      </c>
      <c r="F17" s="70">
        <f t="shared" si="1"/>
        <v>-2.1154916556937298E-2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2936450</v>
      </c>
      <c r="D18" s="51">
        <v>3035879</v>
      </c>
      <c r="E18" s="51">
        <f t="shared" si="0"/>
        <v>99429</v>
      </c>
      <c r="F18" s="70">
        <f t="shared" si="1"/>
        <v>3.3860273459449336E-2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482501108</v>
      </c>
      <c r="D19" s="27">
        <f>SUM(D16:D18)</f>
        <v>493588442</v>
      </c>
      <c r="E19" s="27">
        <f t="shared" si="0"/>
        <v>11087334</v>
      </c>
      <c r="F19" s="28">
        <f t="shared" si="1"/>
        <v>2.2978877801872324E-2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162559991</v>
      </c>
      <c r="D22" s="51">
        <v>173118513</v>
      </c>
      <c r="E22" s="51">
        <f t="shared" ref="E22:E31" si="2">D22-C22</f>
        <v>10558522</v>
      </c>
      <c r="F22" s="70">
        <f t="shared" ref="F22:F31" si="3">IF(C22=0,0,E22/C22)</f>
        <v>6.495154148968918E-2</v>
      </c>
    </row>
    <row r="23" spans="1:7" ht="23.1" customHeight="1" x14ac:dyDescent="0.2">
      <c r="A23" s="25">
        <v>2</v>
      </c>
      <c r="B23" s="48" t="s">
        <v>81</v>
      </c>
      <c r="C23" s="51">
        <v>35830866</v>
      </c>
      <c r="D23" s="51">
        <v>46639139</v>
      </c>
      <c r="E23" s="51">
        <f t="shared" si="2"/>
        <v>10808273</v>
      </c>
      <c r="F23" s="70">
        <f t="shared" si="3"/>
        <v>0.30164699340507151</v>
      </c>
    </row>
    <row r="24" spans="1:7" ht="23.1" customHeight="1" x14ac:dyDescent="0.2">
      <c r="A24" s="25">
        <v>3</v>
      </c>
      <c r="B24" s="48" t="s">
        <v>82</v>
      </c>
      <c r="C24" s="51">
        <v>12588971</v>
      </c>
      <c r="D24" s="51">
        <v>8971251</v>
      </c>
      <c r="E24" s="51">
        <f t="shared" si="2"/>
        <v>-3617720</v>
      </c>
      <c r="F24" s="70">
        <f t="shared" si="3"/>
        <v>-0.28737217680460142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40693784</v>
      </c>
      <c r="D25" s="51">
        <v>43403655</v>
      </c>
      <c r="E25" s="51">
        <f t="shared" si="2"/>
        <v>2709871</v>
      </c>
      <c r="F25" s="70">
        <f t="shared" si="3"/>
        <v>6.6591767430622825E-2</v>
      </c>
    </row>
    <row r="26" spans="1:7" ht="23.1" customHeight="1" x14ac:dyDescent="0.2">
      <c r="A26" s="25">
        <v>5</v>
      </c>
      <c r="B26" s="48" t="s">
        <v>84</v>
      </c>
      <c r="C26" s="51">
        <v>33531205</v>
      </c>
      <c r="D26" s="51">
        <v>32505448</v>
      </c>
      <c r="E26" s="51">
        <f t="shared" si="2"/>
        <v>-1025757</v>
      </c>
      <c r="F26" s="70">
        <f t="shared" si="3"/>
        <v>-3.0591116543530125E-2</v>
      </c>
    </row>
    <row r="27" spans="1:7" ht="23.1" customHeight="1" x14ac:dyDescent="0.2">
      <c r="A27" s="25">
        <v>6</v>
      </c>
      <c r="B27" s="48" t="s">
        <v>85</v>
      </c>
      <c r="C27" s="51">
        <v>48303957</v>
      </c>
      <c r="D27" s="51">
        <v>43441930</v>
      </c>
      <c r="E27" s="51">
        <f t="shared" si="2"/>
        <v>-4862027</v>
      </c>
      <c r="F27" s="70">
        <f t="shared" si="3"/>
        <v>-0.10065483869157965</v>
      </c>
    </row>
    <row r="28" spans="1:7" ht="23.1" customHeight="1" x14ac:dyDescent="0.2">
      <c r="A28" s="25">
        <v>7</v>
      </c>
      <c r="B28" s="48" t="s">
        <v>86</v>
      </c>
      <c r="C28" s="51">
        <v>5804981</v>
      </c>
      <c r="D28" s="51">
        <v>5077006</v>
      </c>
      <c r="E28" s="51">
        <f t="shared" si="2"/>
        <v>-727975</v>
      </c>
      <c r="F28" s="70">
        <f t="shared" si="3"/>
        <v>-0.12540523388448643</v>
      </c>
    </row>
    <row r="29" spans="1:7" ht="23.1" customHeight="1" x14ac:dyDescent="0.2">
      <c r="A29" s="25">
        <v>8</v>
      </c>
      <c r="B29" s="48" t="s">
        <v>87</v>
      </c>
      <c r="C29" s="51">
        <v>2869713</v>
      </c>
      <c r="D29" s="51">
        <v>2284250</v>
      </c>
      <c r="E29" s="51">
        <f t="shared" si="2"/>
        <v>-585463</v>
      </c>
      <c r="F29" s="70">
        <f t="shared" si="3"/>
        <v>-0.20401447810286255</v>
      </c>
    </row>
    <row r="30" spans="1:7" ht="23.1" customHeight="1" x14ac:dyDescent="0.2">
      <c r="A30" s="25">
        <v>9</v>
      </c>
      <c r="B30" s="48" t="s">
        <v>88</v>
      </c>
      <c r="C30" s="51">
        <v>115348848</v>
      </c>
      <c r="D30" s="51">
        <v>115443039</v>
      </c>
      <c r="E30" s="51">
        <f t="shared" si="2"/>
        <v>94191</v>
      </c>
      <c r="F30" s="70">
        <f t="shared" si="3"/>
        <v>8.1657512522361733E-4</v>
      </c>
    </row>
    <row r="31" spans="1:7" ht="23.1" customHeight="1" x14ac:dyDescent="0.25">
      <c r="A31" s="29"/>
      <c r="B31" s="71" t="s">
        <v>89</v>
      </c>
      <c r="C31" s="27">
        <f>SUM(C22:C30)</f>
        <v>457532316</v>
      </c>
      <c r="D31" s="27">
        <f>SUM(D22:D30)</f>
        <v>470884231</v>
      </c>
      <c r="E31" s="27">
        <f t="shared" si="2"/>
        <v>13351915</v>
      </c>
      <c r="F31" s="28">
        <f t="shared" si="3"/>
        <v>2.918245232758597E-2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24968792</v>
      </c>
      <c r="D33" s="27">
        <f>+D19-D31</f>
        <v>22704211</v>
      </c>
      <c r="E33" s="27">
        <f>D33-C33</f>
        <v>-2264581</v>
      </c>
      <c r="F33" s="28">
        <f>IF(C33=0,0,E33/C33)</f>
        <v>-9.0696458202703598E-2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-3282045</v>
      </c>
      <c r="D36" s="51">
        <v>4785985</v>
      </c>
      <c r="E36" s="51">
        <f>D36-C36</f>
        <v>8068030</v>
      </c>
      <c r="F36" s="70">
        <f>IF(C36=0,0,E36/C36)</f>
        <v>-2.458232595835828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-6268483</v>
      </c>
      <c r="D38" s="51">
        <v>281204</v>
      </c>
      <c r="E38" s="51">
        <f>D38-C38</f>
        <v>6549687</v>
      </c>
      <c r="F38" s="70">
        <f>IF(C38=0,0,E38/C38)</f>
        <v>-1.0448599764887294</v>
      </c>
    </row>
    <row r="39" spans="1:6" ht="23.1" customHeight="1" x14ac:dyDescent="0.25">
      <c r="A39" s="20"/>
      <c r="B39" s="71" t="s">
        <v>95</v>
      </c>
      <c r="C39" s="27">
        <f>SUM(C36:C38)</f>
        <v>-9550528</v>
      </c>
      <c r="D39" s="27">
        <f>SUM(D36:D38)</f>
        <v>5067189</v>
      </c>
      <c r="E39" s="27">
        <f>D39-C39</f>
        <v>14617717</v>
      </c>
      <c r="F39" s="28">
        <f>IF(C39=0,0,E39/C39)</f>
        <v>-1.530566372874882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15418264</v>
      </c>
      <c r="D41" s="27">
        <f>D33+D39</f>
        <v>27771400</v>
      </c>
      <c r="E41" s="27">
        <f>D41-C41</f>
        <v>12353136</v>
      </c>
      <c r="F41" s="28">
        <f>IF(C41=0,0,E41/C41)</f>
        <v>0.80120148416190051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6251223</v>
      </c>
      <c r="D44" s="51">
        <v>-189780</v>
      </c>
      <c r="E44" s="51">
        <f>D44-C44</f>
        <v>-6441003</v>
      </c>
      <c r="F44" s="70">
        <f>IF(C44=0,0,E44/C44)</f>
        <v>-1.0303588593783968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6251223</v>
      </c>
      <c r="D46" s="27">
        <f>SUM(D44:D45)</f>
        <v>-189780</v>
      </c>
      <c r="E46" s="27">
        <f>D46-C46</f>
        <v>-6441003</v>
      </c>
      <c r="F46" s="28">
        <f>IF(C46=0,0,E46/C46)</f>
        <v>-1.0303588593783968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21669487</v>
      </c>
      <c r="D48" s="27">
        <f>D41+D46</f>
        <v>27581620</v>
      </c>
      <c r="E48" s="27">
        <f>D48-C48</f>
        <v>5912133</v>
      </c>
      <c r="F48" s="28">
        <f>IF(C48=0,0,E48/C48)</f>
        <v>0.27283216257034604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FILING&amp;R&amp;8STAMFORD HEALTH SYSTEM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2011-07-19T12:58:01Z</cp:lastPrinted>
  <dcterms:created xsi:type="dcterms:W3CDTF">2006-08-03T13:49:12Z</dcterms:created>
  <dcterms:modified xsi:type="dcterms:W3CDTF">2011-08-08T16:40:49Z</dcterms:modified>
</cp:coreProperties>
</file>