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 firstSheet="6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E92" i="22"/>
  <c r="D92" i="22"/>
  <c r="C92" i="22"/>
  <c r="E91" i="22"/>
  <c r="E93" i="22" s="1"/>
  <c r="D91" i="22"/>
  <c r="D93" i="22"/>
  <c r="C91" i="22"/>
  <c r="C93" i="22" s="1"/>
  <c r="E87" i="22"/>
  <c r="D87" i="22"/>
  <c r="C87" i="22"/>
  <c r="E86" i="22"/>
  <c r="D86" i="22"/>
  <c r="D88" i="22" s="1"/>
  <c r="C86" i="22"/>
  <c r="C88" i="22"/>
  <c r="E83" i="22"/>
  <c r="E101" i="22"/>
  <c r="D83" i="22"/>
  <c r="C83" i="22"/>
  <c r="C101" i="22" s="1"/>
  <c r="E76" i="22"/>
  <c r="D76" i="22"/>
  <c r="D77" i="22" s="1"/>
  <c r="D108" i="22" s="1"/>
  <c r="C76" i="22"/>
  <c r="E75" i="22"/>
  <c r="E77" i="22"/>
  <c r="D75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C23" i="22"/>
  <c r="E21" i="22"/>
  <c r="D21" i="22"/>
  <c r="C21" i="22"/>
  <c r="E12" i="22"/>
  <c r="E33" i="22" s="1"/>
  <c r="D12" i="22"/>
  <c r="D34" i="22"/>
  <c r="C12" i="22"/>
  <c r="C33" i="22"/>
  <c r="D21" i="21"/>
  <c r="F21" i="21"/>
  <c r="C21" i="21"/>
  <c r="E21" i="21" s="1"/>
  <c r="D19" i="21"/>
  <c r="C19" i="21"/>
  <c r="E17" i="21"/>
  <c r="F17" i="21" s="1"/>
  <c r="F15" i="21"/>
  <c r="E15" i="21"/>
  <c r="D45" i="20"/>
  <c r="E45" i="20" s="1"/>
  <c r="C45" i="20"/>
  <c r="D44" i="20"/>
  <c r="F44" i="20"/>
  <c r="C44" i="20"/>
  <c r="E44" i="20" s="1"/>
  <c r="D43" i="20"/>
  <c r="D46" i="20" s="1"/>
  <c r="C43" i="20"/>
  <c r="D36" i="20"/>
  <c r="D40" i="20"/>
  <c r="E40" i="20"/>
  <c r="C36" i="20"/>
  <c r="C40" i="20"/>
  <c r="F35" i="20"/>
  <c r="E35" i="20"/>
  <c r="F34" i="20"/>
  <c r="E34" i="20"/>
  <c r="E33" i="20"/>
  <c r="F30" i="20"/>
  <c r="E30" i="20"/>
  <c r="F29" i="20"/>
  <c r="E29" i="20"/>
  <c r="E28" i="20"/>
  <c r="F28" i="20" s="1"/>
  <c r="E27" i="20"/>
  <c r="F27" i="20" s="1"/>
  <c r="D25" i="20"/>
  <c r="D39" i="20" s="1"/>
  <c r="C25" i="20"/>
  <c r="E24" i="20"/>
  <c r="F24" i="20" s="1"/>
  <c r="E23" i="20"/>
  <c r="F22" i="20"/>
  <c r="E22" i="20"/>
  <c r="D19" i="20"/>
  <c r="D20" i="20"/>
  <c r="C19" i="20"/>
  <c r="C20" i="20" s="1"/>
  <c r="E18" i="20"/>
  <c r="F18" i="20" s="1"/>
  <c r="D16" i="20"/>
  <c r="E16" i="20"/>
  <c r="F16" i="20"/>
  <c r="C16" i="20"/>
  <c r="E15" i="20"/>
  <c r="F15" i="20" s="1"/>
  <c r="E13" i="20"/>
  <c r="F13" i="20" s="1"/>
  <c r="E12" i="20"/>
  <c r="F12" i="20" s="1"/>
  <c r="C137" i="19"/>
  <c r="C139" i="19" s="1"/>
  <c r="C143" i="19" s="1"/>
  <c r="C115" i="19"/>
  <c r="C105" i="19"/>
  <c r="C96" i="19"/>
  <c r="C95" i="19"/>
  <c r="C89" i="19"/>
  <c r="C88" i="19"/>
  <c r="C83" i="19"/>
  <c r="C77" i="19"/>
  <c r="C78" i="19" s="1"/>
  <c r="C63" i="19"/>
  <c r="C65" i="19" s="1"/>
  <c r="C114" i="19" s="1"/>
  <c r="C116" i="19" s="1"/>
  <c r="C119" i="19" s="1"/>
  <c r="C123" i="19"/>
  <c r="C60" i="19"/>
  <c r="C59" i="19"/>
  <c r="C49" i="19"/>
  <c r="C48" i="19"/>
  <c r="C64" i="19" s="1"/>
  <c r="C36" i="19"/>
  <c r="C32" i="19"/>
  <c r="C21" i="19"/>
  <c r="E328" i="18"/>
  <c r="E325" i="18"/>
  <c r="D324" i="18"/>
  <c r="D326" i="18" s="1"/>
  <c r="C324" i="18"/>
  <c r="C326" i="18" s="1"/>
  <c r="C330" i="18" s="1"/>
  <c r="E318" i="18"/>
  <c r="E315" i="18"/>
  <c r="D314" i="18"/>
  <c r="D316" i="18" s="1"/>
  <c r="C314" i="18"/>
  <c r="C316" i="18"/>
  <c r="E308" i="18"/>
  <c r="E305" i="18"/>
  <c r="D301" i="18"/>
  <c r="C301" i="18"/>
  <c r="D293" i="18"/>
  <c r="C293" i="18"/>
  <c r="E293" i="18" s="1"/>
  <c r="D292" i="18"/>
  <c r="C292" i="18"/>
  <c r="E292" i="18" s="1"/>
  <c r="D291" i="18"/>
  <c r="E291" i="18"/>
  <c r="C291" i="18"/>
  <c r="D290" i="18"/>
  <c r="C290" i="18"/>
  <c r="D288" i="18"/>
  <c r="C288" i="18"/>
  <c r="D287" i="18"/>
  <c r="E287" i="18" s="1"/>
  <c r="C287" i="18"/>
  <c r="D282" i="18"/>
  <c r="C282" i="18"/>
  <c r="E282" i="18"/>
  <c r="D281" i="18"/>
  <c r="E281" i="18" s="1"/>
  <c r="C281" i="18"/>
  <c r="D280" i="18"/>
  <c r="C280" i="18"/>
  <c r="E280" i="18"/>
  <c r="D279" i="18"/>
  <c r="E279" i="18"/>
  <c r="C279" i="18"/>
  <c r="D278" i="18"/>
  <c r="E278" i="18" s="1"/>
  <c r="C278" i="18"/>
  <c r="D277" i="18"/>
  <c r="E277" i="18"/>
  <c r="C277" i="18"/>
  <c r="D276" i="18"/>
  <c r="C276" i="18"/>
  <c r="E270" i="18"/>
  <c r="D265" i="18"/>
  <c r="C265" i="18"/>
  <c r="C302" i="18"/>
  <c r="C303" i="18" s="1"/>
  <c r="D262" i="18"/>
  <c r="C262" i="18"/>
  <c r="E262" i="18"/>
  <c r="C260" i="18"/>
  <c r="D251" i="18"/>
  <c r="C251" i="18"/>
  <c r="D245" i="18"/>
  <c r="D233" i="18"/>
  <c r="C233" i="18"/>
  <c r="D232" i="18"/>
  <c r="C232" i="18"/>
  <c r="E232" i="18" s="1"/>
  <c r="D231" i="18"/>
  <c r="C231" i="18"/>
  <c r="D230" i="18"/>
  <c r="C230" i="18"/>
  <c r="D228" i="18"/>
  <c r="C228" i="18"/>
  <c r="E228" i="18" s="1"/>
  <c r="D227" i="18"/>
  <c r="C227" i="18"/>
  <c r="E227" i="18"/>
  <c r="D221" i="18"/>
  <c r="E221" i="18"/>
  <c r="C221" i="18"/>
  <c r="C245" i="18"/>
  <c r="D220" i="18"/>
  <c r="C220" i="18"/>
  <c r="C244" i="18" s="1"/>
  <c r="D219" i="18"/>
  <c r="E219" i="18" s="1"/>
  <c r="C219" i="18"/>
  <c r="C243" i="18"/>
  <c r="D218" i="18"/>
  <c r="D242" i="18"/>
  <c r="C218" i="18"/>
  <c r="C217" i="18" s="1"/>
  <c r="D216" i="18"/>
  <c r="D240" i="18" s="1"/>
  <c r="C216" i="18"/>
  <c r="C240" i="18"/>
  <c r="D215" i="18"/>
  <c r="E215" i="18"/>
  <c r="C215" i="18"/>
  <c r="C239" i="18"/>
  <c r="E209" i="18"/>
  <c r="E208" i="18"/>
  <c r="E207" i="18"/>
  <c r="E206" i="18"/>
  <c r="D205" i="18"/>
  <c r="C205" i="18"/>
  <c r="C210" i="18" s="1"/>
  <c r="E204" i="18"/>
  <c r="E203" i="18"/>
  <c r="E197" i="18"/>
  <c r="E196" i="18"/>
  <c r="D195" i="18"/>
  <c r="C195" i="18"/>
  <c r="E194" i="18"/>
  <c r="E193" i="18"/>
  <c r="E192" i="18"/>
  <c r="E191" i="18"/>
  <c r="E190" i="18"/>
  <c r="D189" i="18"/>
  <c r="E189" i="18" s="1"/>
  <c r="D188" i="18"/>
  <c r="D261" i="18" s="1"/>
  <c r="C188" i="18"/>
  <c r="E186" i="18"/>
  <c r="E185" i="18"/>
  <c r="D179" i="18"/>
  <c r="E179" i="18"/>
  <c r="C179" i="18"/>
  <c r="D178" i="18"/>
  <c r="E178" i="18" s="1"/>
  <c r="C178" i="18"/>
  <c r="D177" i="18"/>
  <c r="E177" i="18" s="1"/>
  <c r="C177" i="18"/>
  <c r="D176" i="18"/>
  <c r="E176" i="18" s="1"/>
  <c r="C176" i="18"/>
  <c r="D174" i="18"/>
  <c r="E174" i="18" s="1"/>
  <c r="C174" i="18"/>
  <c r="D173" i="18"/>
  <c r="E173" i="18"/>
  <c r="C173" i="18"/>
  <c r="D167" i="18"/>
  <c r="E167" i="18" s="1"/>
  <c r="C167" i="18"/>
  <c r="D166" i="18"/>
  <c r="E166" i="18" s="1"/>
  <c r="C166" i="18"/>
  <c r="D165" i="18"/>
  <c r="E165" i="18" s="1"/>
  <c r="C165" i="18"/>
  <c r="D164" i="18"/>
  <c r="C164" i="18"/>
  <c r="D162" i="18"/>
  <c r="C162" i="18"/>
  <c r="E162" i="18" s="1"/>
  <c r="D161" i="18"/>
  <c r="C161" i="18"/>
  <c r="E161" i="18"/>
  <c r="E155" i="18"/>
  <c r="E154" i="18"/>
  <c r="E153" i="18"/>
  <c r="E152" i="18"/>
  <c r="D151" i="18"/>
  <c r="D156" i="18" s="1"/>
  <c r="C151" i="18"/>
  <c r="C156" i="18" s="1"/>
  <c r="C157" i="18" s="1"/>
  <c r="E150" i="18"/>
  <c r="E149" i="18"/>
  <c r="E143" i="18"/>
  <c r="E142" i="18"/>
  <c r="E141" i="18"/>
  <c r="E140" i="18"/>
  <c r="D139" i="18"/>
  <c r="C139" i="18"/>
  <c r="C163" i="18"/>
  <c r="E138" i="18"/>
  <c r="E137" i="18"/>
  <c r="D75" i="18"/>
  <c r="C75" i="18"/>
  <c r="D74" i="18"/>
  <c r="C74" i="18"/>
  <c r="E74" i="18"/>
  <c r="D73" i="18"/>
  <c r="E73" i="18"/>
  <c r="C73" i="18"/>
  <c r="D72" i="18"/>
  <c r="C72" i="18"/>
  <c r="D70" i="18"/>
  <c r="C70" i="18"/>
  <c r="D69" i="18"/>
  <c r="C69" i="18"/>
  <c r="E64" i="18"/>
  <c r="E63" i="18"/>
  <c r="E62" i="18"/>
  <c r="E61" i="18"/>
  <c r="D60" i="18"/>
  <c r="C60" i="18"/>
  <c r="E59" i="18"/>
  <c r="E58" i="18"/>
  <c r="D55" i="18"/>
  <c r="E55" i="18" s="1"/>
  <c r="D54" i="18"/>
  <c r="C54" i="18"/>
  <c r="C55" i="18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D40" i="18"/>
  <c r="E40" i="18" s="1"/>
  <c r="C40" i="18"/>
  <c r="D39" i="18"/>
  <c r="C39" i="18"/>
  <c r="E39" i="18" s="1"/>
  <c r="D38" i="18"/>
  <c r="C38" i="18"/>
  <c r="E38" i="18"/>
  <c r="D37" i="18"/>
  <c r="E37" i="18"/>
  <c r="C37" i="18"/>
  <c r="D36" i="18"/>
  <c r="E36" i="18" s="1"/>
  <c r="C36" i="18"/>
  <c r="D33" i="18"/>
  <c r="D32" i="18"/>
  <c r="C32" i="18"/>
  <c r="E31" i="18"/>
  <c r="E30" i="18"/>
  <c r="E29" i="18"/>
  <c r="E28" i="18"/>
  <c r="E27" i="18"/>
  <c r="E26" i="18"/>
  <c r="E25" i="18"/>
  <c r="C22" i="18"/>
  <c r="C284" i="18" s="1"/>
  <c r="D21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F331" i="17"/>
  <c r="E331" i="17"/>
  <c r="F330" i="17"/>
  <c r="E330" i="17"/>
  <c r="E329" i="17"/>
  <c r="F329" i="17" s="1"/>
  <c r="F316" i="17"/>
  <c r="E316" i="17"/>
  <c r="D311" i="17"/>
  <c r="C311" i="17"/>
  <c r="E308" i="17"/>
  <c r="F308" i="17"/>
  <c r="D307" i="17"/>
  <c r="E307" i="17" s="1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C250" i="17"/>
  <c r="E249" i="17"/>
  <c r="F249" i="17"/>
  <c r="E248" i="17"/>
  <c r="F248" i="17" s="1"/>
  <c r="F245" i="17"/>
  <c r="E245" i="17"/>
  <c r="E244" i="17"/>
  <c r="F244" i="17"/>
  <c r="E243" i="17"/>
  <c r="F243" i="17"/>
  <c r="D238" i="17"/>
  <c r="E238" i="17" s="1"/>
  <c r="F238" i="17" s="1"/>
  <c r="C238" i="17"/>
  <c r="D237" i="17"/>
  <c r="C237" i="17"/>
  <c r="E234" i="17"/>
  <c r="F234" i="17" s="1"/>
  <c r="E233" i="17"/>
  <c r="F233" i="17" s="1"/>
  <c r="D230" i="17"/>
  <c r="C230" i="17"/>
  <c r="D229" i="17"/>
  <c r="C229" i="17"/>
  <c r="E228" i="17"/>
  <c r="F228" i="17" s="1"/>
  <c r="C227" i="17"/>
  <c r="D226" i="17"/>
  <c r="D227" i="17" s="1"/>
  <c r="E227" i="17" s="1"/>
  <c r="C226" i="17"/>
  <c r="E225" i="17"/>
  <c r="F225" i="17"/>
  <c r="E224" i="17"/>
  <c r="F224" i="17"/>
  <c r="D223" i="17"/>
  <c r="C223" i="17"/>
  <c r="E222" i="17"/>
  <c r="F222" i="17" s="1"/>
  <c r="E221" i="17"/>
  <c r="F221" i="17"/>
  <c r="D204" i="17"/>
  <c r="C204" i="17"/>
  <c r="C285" i="17"/>
  <c r="D203" i="17"/>
  <c r="C203" i="17"/>
  <c r="E203" i="17" s="1"/>
  <c r="F203" i="17" s="1"/>
  <c r="D198" i="17"/>
  <c r="C198" i="17"/>
  <c r="D191" i="17"/>
  <c r="C191" i="17"/>
  <c r="D189" i="17"/>
  <c r="C189" i="17"/>
  <c r="D188" i="17"/>
  <c r="C188" i="17"/>
  <c r="C277" i="17" s="1"/>
  <c r="D180" i="17"/>
  <c r="C180" i="17"/>
  <c r="D179" i="17"/>
  <c r="D181" i="17" s="1"/>
  <c r="C179" i="17"/>
  <c r="D171" i="17"/>
  <c r="C171" i="17"/>
  <c r="D170" i="17"/>
  <c r="C170" i="17"/>
  <c r="E169" i="17"/>
  <c r="F169" i="17"/>
  <c r="E168" i="17"/>
  <c r="F168" i="17"/>
  <c r="D165" i="17"/>
  <c r="C165" i="17"/>
  <c r="D164" i="17"/>
  <c r="C164" i="17"/>
  <c r="E163" i="17"/>
  <c r="F163" i="17"/>
  <c r="D158" i="17"/>
  <c r="D159" i="17"/>
  <c r="C158" i="17"/>
  <c r="E157" i="17"/>
  <c r="F157" i="17"/>
  <c r="E156" i="17"/>
  <c r="F156" i="17"/>
  <c r="D155" i="17"/>
  <c r="C155" i="17"/>
  <c r="E154" i="17"/>
  <c r="F154" i="17" s="1"/>
  <c r="E153" i="17"/>
  <c r="F153" i="17"/>
  <c r="D145" i="17"/>
  <c r="C145" i="17"/>
  <c r="D144" i="17"/>
  <c r="D146" i="17" s="1"/>
  <c r="C144" i="17"/>
  <c r="E144" i="17" s="1"/>
  <c r="D136" i="17"/>
  <c r="D137" i="17" s="1"/>
  <c r="C136" i="17"/>
  <c r="C137" i="17" s="1"/>
  <c r="D135" i="17"/>
  <c r="C135" i="17"/>
  <c r="E134" i="17"/>
  <c r="F134" i="17"/>
  <c r="E133" i="17"/>
  <c r="F133" i="17" s="1"/>
  <c r="D130" i="17"/>
  <c r="C130" i="17"/>
  <c r="D129" i="17"/>
  <c r="C129" i="17"/>
  <c r="E128" i="17"/>
  <c r="F128" i="17"/>
  <c r="C124" i="17"/>
  <c r="D123" i="17"/>
  <c r="D192" i="17"/>
  <c r="C123" i="17"/>
  <c r="E122" i="17"/>
  <c r="F122" i="17"/>
  <c r="E121" i="17"/>
  <c r="F121" i="17"/>
  <c r="D120" i="17"/>
  <c r="C120" i="17"/>
  <c r="E119" i="17"/>
  <c r="F119" i="17" s="1"/>
  <c r="E118" i="17"/>
  <c r="F118" i="17"/>
  <c r="D110" i="17"/>
  <c r="C110" i="17"/>
  <c r="D109" i="17"/>
  <c r="D111" i="17" s="1"/>
  <c r="C109" i="17"/>
  <c r="D101" i="17"/>
  <c r="D102" i="17"/>
  <c r="D103" i="17" s="1"/>
  <c r="C101" i="17"/>
  <c r="C102" i="17" s="1"/>
  <c r="D100" i="17"/>
  <c r="C100" i="17"/>
  <c r="E99" i="17"/>
  <c r="F99" i="17" s="1"/>
  <c r="E98" i="17"/>
  <c r="F98" i="17" s="1"/>
  <c r="D95" i="17"/>
  <c r="C95" i="17"/>
  <c r="D94" i="17"/>
  <c r="C94" i="17"/>
  <c r="E93" i="17"/>
  <c r="F93" i="17" s="1"/>
  <c r="D88" i="17"/>
  <c r="E88" i="17"/>
  <c r="C88" i="17"/>
  <c r="C89" i="17"/>
  <c r="E87" i="17"/>
  <c r="F87" i="17" s="1"/>
  <c r="E86" i="17"/>
  <c r="F86" i="17" s="1"/>
  <c r="D85" i="17"/>
  <c r="E85" i="17"/>
  <c r="C85" i="17"/>
  <c r="E84" i="17"/>
  <c r="F84" i="17" s="1"/>
  <c r="E83" i="17"/>
  <c r="F83" i="17" s="1"/>
  <c r="D76" i="17"/>
  <c r="C76" i="17"/>
  <c r="C77" i="17" s="1"/>
  <c r="E74" i="17"/>
  <c r="F74" i="17"/>
  <c r="E73" i="17"/>
  <c r="F73" i="17"/>
  <c r="D67" i="17"/>
  <c r="C67" i="17"/>
  <c r="D66" i="17"/>
  <c r="D68" i="17" s="1"/>
  <c r="C66" i="17"/>
  <c r="D59" i="17"/>
  <c r="D60" i="17" s="1"/>
  <c r="C59" i="17"/>
  <c r="D58" i="17"/>
  <c r="C58" i="17"/>
  <c r="E57" i="17"/>
  <c r="F57" i="17" s="1"/>
  <c r="E56" i="17"/>
  <c r="F56" i="17"/>
  <c r="D53" i="17"/>
  <c r="C53" i="17"/>
  <c r="D52" i="17"/>
  <c r="C52" i="17"/>
  <c r="E51" i="17"/>
  <c r="F51" i="17" s="1"/>
  <c r="D47" i="17"/>
  <c r="D48" i="17"/>
  <c r="C47" i="17"/>
  <c r="E46" i="17"/>
  <c r="F46" i="17"/>
  <c r="E45" i="17"/>
  <c r="F45" i="17"/>
  <c r="D44" i="17"/>
  <c r="C44" i="17"/>
  <c r="E43" i="17"/>
  <c r="F43" i="17" s="1"/>
  <c r="E42" i="17"/>
  <c r="F42" i="17" s="1"/>
  <c r="D36" i="17"/>
  <c r="C36" i="17"/>
  <c r="D35" i="17"/>
  <c r="D37" i="17" s="1"/>
  <c r="C35" i="17"/>
  <c r="E35" i="17" s="1"/>
  <c r="D30" i="17"/>
  <c r="D31" i="17"/>
  <c r="D32" i="17" s="1"/>
  <c r="C30" i="17"/>
  <c r="D29" i="17"/>
  <c r="C29" i="17"/>
  <c r="E28" i="17"/>
  <c r="F28" i="17" s="1"/>
  <c r="E27" i="17"/>
  <c r="F27" i="17" s="1"/>
  <c r="D24" i="17"/>
  <c r="C24" i="17"/>
  <c r="D23" i="17"/>
  <c r="C23" i="17"/>
  <c r="E22" i="17"/>
  <c r="F22" i="17" s="1"/>
  <c r="D20" i="17"/>
  <c r="C20" i="17"/>
  <c r="E19" i="17"/>
  <c r="F19" i="17"/>
  <c r="E18" i="17"/>
  <c r="F18" i="17"/>
  <c r="D17" i="17"/>
  <c r="C17" i="17"/>
  <c r="E16" i="17"/>
  <c r="F16" i="17" s="1"/>
  <c r="E15" i="17"/>
  <c r="F15" i="17" s="1"/>
  <c r="D21" i="16"/>
  <c r="E21" i="16"/>
  <c r="F21" i="16" s="1"/>
  <c r="C21" i="16"/>
  <c r="F20" i="16"/>
  <c r="E20" i="16"/>
  <c r="D17" i="16"/>
  <c r="E17" i="16"/>
  <c r="C17" i="16"/>
  <c r="F16" i="16"/>
  <c r="E16" i="16"/>
  <c r="D13" i="16"/>
  <c r="E13" i="16" s="1"/>
  <c r="F13" i="16"/>
  <c r="C13" i="16"/>
  <c r="E12" i="16"/>
  <c r="F12" i="16" s="1"/>
  <c r="D107" i="15"/>
  <c r="E107" i="15" s="1"/>
  <c r="F107" i="15" s="1"/>
  <c r="C107" i="15"/>
  <c r="E106" i="15"/>
  <c r="F106" i="15" s="1"/>
  <c r="E105" i="15"/>
  <c r="F105" i="15" s="1"/>
  <c r="F104" i="15"/>
  <c r="E104" i="15"/>
  <c r="D100" i="15"/>
  <c r="E100" i="15" s="1"/>
  <c r="C100" i="15"/>
  <c r="E99" i="15"/>
  <c r="F99" i="15" s="1"/>
  <c r="F98" i="15"/>
  <c r="E98" i="15"/>
  <c r="F97" i="15"/>
  <c r="E97" i="15"/>
  <c r="F96" i="15"/>
  <c r="E96" i="15"/>
  <c r="E95" i="15"/>
  <c r="F95" i="15" s="1"/>
  <c r="D92" i="15"/>
  <c r="E92" i="15" s="1"/>
  <c r="F92" i="15"/>
  <c r="C92" i="15"/>
  <c r="E91" i="15"/>
  <c r="F91" i="15" s="1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 s="1"/>
  <c r="C70" i="15"/>
  <c r="F69" i="15"/>
  <c r="E69" i="15"/>
  <c r="F68" i="15"/>
  <c r="E68" i="15"/>
  <c r="D65" i="15"/>
  <c r="E65" i="15"/>
  <c r="F65" i="15" s="1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 s="1"/>
  <c r="D55" i="15"/>
  <c r="E55" i="15"/>
  <c r="F55" i="15" s="1"/>
  <c r="C55" i="15"/>
  <c r="F54" i="15"/>
  <c r="E54" i="15"/>
  <c r="E53" i="15"/>
  <c r="F53" i="15" s="1"/>
  <c r="D50" i="15"/>
  <c r="E50" i="15"/>
  <c r="F50" i="15" s="1"/>
  <c r="C50" i="15"/>
  <c r="F49" i="15"/>
  <c r="E49" i="15"/>
  <c r="F48" i="15"/>
  <c r="E48" i="15"/>
  <c r="D45" i="15"/>
  <c r="E45" i="15"/>
  <c r="F45" i="15" s="1"/>
  <c r="C45" i="15"/>
  <c r="F44" i="15"/>
  <c r="E44" i="15"/>
  <c r="E43" i="15"/>
  <c r="F43" i="15" s="1"/>
  <c r="D37" i="15"/>
  <c r="E37" i="15"/>
  <c r="F37" i="15" s="1"/>
  <c r="C37" i="15"/>
  <c r="F36" i="15"/>
  <c r="E36" i="15"/>
  <c r="F35" i="15"/>
  <c r="E35" i="15"/>
  <c r="E34" i="15"/>
  <c r="F34" i="15" s="1"/>
  <c r="F33" i="15"/>
  <c r="E33" i="15"/>
  <c r="D30" i="15"/>
  <c r="E30" i="15" s="1"/>
  <c r="C30" i="15"/>
  <c r="F30" i="15" s="1"/>
  <c r="F29" i="15"/>
  <c r="E29" i="15"/>
  <c r="F28" i="15"/>
  <c r="E28" i="15"/>
  <c r="F27" i="15"/>
  <c r="E27" i="15"/>
  <c r="F26" i="15"/>
  <c r="E26" i="15"/>
  <c r="D23" i="15"/>
  <c r="E23" i="15"/>
  <c r="F23" i="15" s="1"/>
  <c r="C23" i="15"/>
  <c r="F22" i="15"/>
  <c r="E22" i="15"/>
  <c r="F21" i="15"/>
  <c r="E21" i="15"/>
  <c r="E20" i="15"/>
  <c r="F20" i="15" s="1"/>
  <c r="F19" i="15"/>
  <c r="E19" i="15"/>
  <c r="D16" i="15"/>
  <c r="E16" i="15" s="1"/>
  <c r="C16" i="15"/>
  <c r="F15" i="15"/>
  <c r="E15" i="15"/>
  <c r="F14" i="15"/>
  <c r="E14" i="15"/>
  <c r="F13" i="15"/>
  <c r="E13" i="15"/>
  <c r="E12" i="15"/>
  <c r="F12" i="15" s="1"/>
  <c r="I37" i="14"/>
  <c r="H37" i="14"/>
  <c r="E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 s="1"/>
  <c r="E17" i="14"/>
  <c r="E33" i="14"/>
  <c r="E36" i="14" s="1"/>
  <c r="E38" i="14"/>
  <c r="E40" i="14" s="1"/>
  <c r="D17" i="14"/>
  <c r="D33" i="14"/>
  <c r="D36" i="14" s="1"/>
  <c r="D38" i="14" s="1"/>
  <c r="D40" i="14"/>
  <c r="C17" i="14"/>
  <c r="C31" i="14" s="1"/>
  <c r="H31" i="14" s="1"/>
  <c r="C33" i="14"/>
  <c r="C36" i="14" s="1"/>
  <c r="C38" i="14" s="1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 s="1"/>
  <c r="D78" i="13"/>
  <c r="D80" i="13"/>
  <c r="D77" i="13" s="1"/>
  <c r="C78" i="13"/>
  <c r="C80" i="13"/>
  <c r="C77" i="13" s="1"/>
  <c r="E75" i="13"/>
  <c r="E73" i="13"/>
  <c r="D73" i="13"/>
  <c r="D75" i="13" s="1"/>
  <c r="C73" i="13"/>
  <c r="C75" i="13" s="1"/>
  <c r="E71" i="13"/>
  <c r="D71" i="13"/>
  <c r="C71" i="13"/>
  <c r="E66" i="13"/>
  <c r="E65" i="13"/>
  <c r="D66" i="13"/>
  <c r="C66" i="13"/>
  <c r="C65" i="13"/>
  <c r="D65" i="13"/>
  <c r="E60" i="13"/>
  <c r="D60" i="13"/>
  <c r="D61" i="13" s="1"/>
  <c r="D57" i="13" s="1"/>
  <c r="C60" i="13"/>
  <c r="E58" i="13"/>
  <c r="D58" i="13"/>
  <c r="C58" i="13"/>
  <c r="E55" i="13"/>
  <c r="D55" i="13"/>
  <c r="C55" i="13"/>
  <c r="C50" i="13" s="1"/>
  <c r="E54" i="13"/>
  <c r="D54" i="13"/>
  <c r="C54" i="13"/>
  <c r="D50" i="13"/>
  <c r="E46" i="13"/>
  <c r="D46" i="13"/>
  <c r="D59" i="13"/>
  <c r="C46" i="13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C25" i="13"/>
  <c r="C27" i="13" s="1"/>
  <c r="E13" i="13"/>
  <c r="D13" i="13"/>
  <c r="D25" i="13"/>
  <c r="D27" i="13"/>
  <c r="C13" i="13"/>
  <c r="C15" i="13" s="1"/>
  <c r="C24" i="13" s="1"/>
  <c r="D47" i="12"/>
  <c r="C47" i="12"/>
  <c r="F47" i="12"/>
  <c r="F46" i="12"/>
  <c r="E46" i="12"/>
  <c r="F45" i="12"/>
  <c r="E45" i="12"/>
  <c r="D40" i="12"/>
  <c r="C40" i="12"/>
  <c r="E39" i="12"/>
  <c r="F39" i="12"/>
  <c r="F38" i="12"/>
  <c r="E38" i="12"/>
  <c r="E37" i="12"/>
  <c r="F37" i="12"/>
  <c r="D32" i="12"/>
  <c r="C32" i="12"/>
  <c r="E31" i="12"/>
  <c r="F31" i="12"/>
  <c r="E30" i="12"/>
  <c r="F30" i="12" s="1"/>
  <c r="E29" i="12"/>
  <c r="F29" i="12"/>
  <c r="F28" i="12"/>
  <c r="E28" i="12"/>
  <c r="E27" i="12"/>
  <c r="F27" i="12"/>
  <c r="E26" i="12"/>
  <c r="F26" i="12" s="1"/>
  <c r="E25" i="12"/>
  <c r="F25" i="12" s="1"/>
  <c r="E24" i="12"/>
  <c r="F24" i="12"/>
  <c r="E23" i="12"/>
  <c r="F23" i="12"/>
  <c r="E19" i="12"/>
  <c r="F19" i="12" s="1"/>
  <c r="E18" i="12"/>
  <c r="F18" i="12"/>
  <c r="E16" i="12"/>
  <c r="F16" i="12"/>
  <c r="D15" i="12"/>
  <c r="D17" i="12"/>
  <c r="C15" i="12"/>
  <c r="F14" i="12"/>
  <c r="E14" i="12"/>
  <c r="E13" i="12"/>
  <c r="F13" i="12" s="1"/>
  <c r="E12" i="12"/>
  <c r="F12" i="12" s="1"/>
  <c r="E11" i="12"/>
  <c r="F11" i="12"/>
  <c r="D73" i="11"/>
  <c r="E73" i="11"/>
  <c r="F73" i="11" s="1"/>
  <c r="C73" i="11"/>
  <c r="F72" i="11"/>
  <c r="E72" i="11"/>
  <c r="E71" i="11"/>
  <c r="F71" i="11" s="1"/>
  <c r="E70" i="11"/>
  <c r="F70" i="11" s="1"/>
  <c r="F67" i="11"/>
  <c r="E67" i="11"/>
  <c r="F64" i="11"/>
  <c r="E64" i="11"/>
  <c r="E63" i="11"/>
  <c r="F63" i="11" s="1"/>
  <c r="D61" i="11"/>
  <c r="D65" i="11"/>
  <c r="E65" i="11"/>
  <c r="C61" i="11"/>
  <c r="C65" i="11"/>
  <c r="F60" i="11"/>
  <c r="E60" i="11"/>
  <c r="F59" i="11"/>
  <c r="E59" i="11"/>
  <c r="D56" i="11"/>
  <c r="D75" i="11"/>
  <c r="C56" i="11"/>
  <c r="E55" i="11"/>
  <c r="F55" i="11" s="1"/>
  <c r="F54" i="11"/>
  <c r="E54" i="11"/>
  <c r="F53" i="11"/>
  <c r="E53" i="11"/>
  <c r="E52" i="11"/>
  <c r="F52" i="11" s="1"/>
  <c r="E51" i="11"/>
  <c r="F51" i="11" s="1"/>
  <c r="A53" i="11"/>
  <c r="A54" i="11" s="1"/>
  <c r="A55" i="11" s="1"/>
  <c r="E50" i="11"/>
  <c r="F50" i="11"/>
  <c r="A50" i="11"/>
  <c r="A51" i="11" s="1"/>
  <c r="A52" i="11" s="1"/>
  <c r="E49" i="11"/>
  <c r="F49" i="11" s="1"/>
  <c r="F40" i="11"/>
  <c r="E40" i="11"/>
  <c r="D38" i="11"/>
  <c r="D41" i="11" s="1"/>
  <c r="E41" i="11" s="1"/>
  <c r="C38" i="11"/>
  <c r="C41" i="11" s="1"/>
  <c r="E37" i="11"/>
  <c r="F37" i="11" s="1"/>
  <c r="E36" i="11"/>
  <c r="F36" i="11" s="1"/>
  <c r="E33" i="11"/>
  <c r="F33" i="11" s="1"/>
  <c r="F32" i="11"/>
  <c r="E32" i="11"/>
  <c r="F31" i="11"/>
  <c r="E31" i="11"/>
  <c r="D29" i="11"/>
  <c r="E29" i="11"/>
  <c r="C29" i="11"/>
  <c r="F28" i="11"/>
  <c r="E28" i="11"/>
  <c r="F27" i="11"/>
  <c r="E27" i="11"/>
  <c r="F26" i="11"/>
  <c r="E26" i="11"/>
  <c r="F25" i="11"/>
  <c r="E25" i="11"/>
  <c r="D22" i="11"/>
  <c r="C22" i="11"/>
  <c r="C43" i="11" s="1"/>
  <c r="F21" i="11"/>
  <c r="E21" i="1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F13" i="11"/>
  <c r="E13" i="11"/>
  <c r="D120" i="10"/>
  <c r="C120" i="10"/>
  <c r="F120" i="10" s="1"/>
  <c r="F119" i="10"/>
  <c r="D119" i="10"/>
  <c r="E119" i="10"/>
  <c r="C119" i="10"/>
  <c r="D118" i="10"/>
  <c r="C118" i="10"/>
  <c r="F118" i="10" s="1"/>
  <c r="F117" i="10"/>
  <c r="D117" i="10"/>
  <c r="E117" i="10"/>
  <c r="C117" i="10"/>
  <c r="D116" i="10"/>
  <c r="E116" i="10" s="1"/>
  <c r="C116" i="10"/>
  <c r="F116" i="10" s="1"/>
  <c r="F115" i="10"/>
  <c r="D115" i="10"/>
  <c r="E115" i="10"/>
  <c r="C115" i="10"/>
  <c r="D114" i="10"/>
  <c r="C114" i="10"/>
  <c r="F114" i="10" s="1"/>
  <c r="F113" i="10"/>
  <c r="D113" i="10"/>
  <c r="E113" i="10"/>
  <c r="C113" i="10"/>
  <c r="C122" i="10" s="1"/>
  <c r="F122" i="10" s="1"/>
  <c r="D112" i="10"/>
  <c r="E112" i="10" s="1"/>
  <c r="C112" i="10"/>
  <c r="F112" i="10" s="1"/>
  <c r="C121" i="10"/>
  <c r="F121" i="10" s="1"/>
  <c r="D108" i="10"/>
  <c r="C108" i="10"/>
  <c r="F108" i="10" s="1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/>
  <c r="C96" i="10"/>
  <c r="F96" i="10" s="1"/>
  <c r="F95" i="10"/>
  <c r="D95" i="10"/>
  <c r="E95" i="10" s="1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D71" i="10"/>
  <c r="E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/>
  <c r="C48" i="10"/>
  <c r="F48" i="10" s="1"/>
  <c r="F47" i="10"/>
  <c r="D47" i="10"/>
  <c r="C47" i="10"/>
  <c r="E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D23" i="10"/>
  <c r="E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E205" i="9" s="1"/>
  <c r="F205" i="9"/>
  <c r="C205" i="9"/>
  <c r="D204" i="9"/>
  <c r="E204" i="9"/>
  <c r="C204" i="9"/>
  <c r="D203" i="9"/>
  <c r="E203" i="9"/>
  <c r="F203" i="9" s="1"/>
  <c r="C203" i="9"/>
  <c r="D202" i="9"/>
  <c r="C202" i="9"/>
  <c r="D201" i="9"/>
  <c r="E201" i="9"/>
  <c r="F201" i="9"/>
  <c r="C201" i="9"/>
  <c r="D200" i="9"/>
  <c r="C200" i="9"/>
  <c r="D199" i="9"/>
  <c r="D208" i="9" s="1"/>
  <c r="C199" i="9"/>
  <c r="C208" i="9" s="1"/>
  <c r="D198" i="9"/>
  <c r="D207" i="9" s="1"/>
  <c r="C198" i="9"/>
  <c r="D193" i="9"/>
  <c r="E193" i="9"/>
  <c r="F193" i="9"/>
  <c r="C193" i="9"/>
  <c r="D192" i="9"/>
  <c r="F192" i="9"/>
  <c r="C192" i="9"/>
  <c r="E192" i="9" s="1"/>
  <c r="E191" i="9"/>
  <c r="F191" i="9" s="1"/>
  <c r="F190" i="9"/>
  <c r="E190" i="9"/>
  <c r="E189" i="9"/>
  <c r="F189" i="9" s="1"/>
  <c r="E188" i="9"/>
  <c r="F188" i="9" s="1"/>
  <c r="F187" i="9"/>
  <c r="E187" i="9"/>
  <c r="E186" i="9"/>
  <c r="F186" i="9" s="1"/>
  <c r="E185" i="9"/>
  <c r="F185" i="9" s="1"/>
  <c r="F184" i="9"/>
  <c r="E184" i="9"/>
  <c r="F183" i="9"/>
  <c r="E183" i="9"/>
  <c r="D180" i="9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/>
  <c r="C167" i="9"/>
  <c r="F167" i="9" s="1"/>
  <c r="F166" i="9"/>
  <c r="D166" i="9"/>
  <c r="C166" i="9"/>
  <c r="E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C141" i="9"/>
  <c r="D140" i="9"/>
  <c r="C140" i="9"/>
  <c r="E139" i="9"/>
  <c r="F139" i="9" s="1"/>
  <c r="E138" i="9"/>
  <c r="F138" i="9" s="1"/>
  <c r="E137" i="9"/>
  <c r="F137" i="9" s="1"/>
  <c r="E136" i="9"/>
  <c r="F136" i="9" s="1"/>
  <c r="F135" i="9"/>
  <c r="E135" i="9"/>
  <c r="F134" i="9"/>
  <c r="E134" i="9"/>
  <c r="E133" i="9"/>
  <c r="F133" i="9" s="1"/>
  <c r="F132" i="9"/>
  <c r="E132" i="9"/>
  <c r="E131" i="9"/>
  <c r="F131" i="9" s="1"/>
  <c r="D128" i="9"/>
  <c r="E128" i="9"/>
  <c r="C128" i="9"/>
  <c r="D127" i="9"/>
  <c r="E127" i="9" s="1"/>
  <c r="C127" i="9"/>
  <c r="F126" i="9"/>
  <c r="E126" i="9"/>
  <c r="E125" i="9"/>
  <c r="F125" i="9" s="1"/>
  <c r="E124" i="9"/>
  <c r="F124" i="9" s="1"/>
  <c r="F123" i="9"/>
  <c r="E123" i="9"/>
  <c r="E122" i="9"/>
  <c r="F122" i="9" s="1"/>
  <c r="E121" i="9"/>
  <c r="F121" i="9" s="1"/>
  <c r="F120" i="9"/>
  <c r="E120" i="9"/>
  <c r="F119" i="9"/>
  <c r="E119" i="9"/>
  <c r="E118" i="9"/>
  <c r="F118" i="9" s="1"/>
  <c r="D115" i="9"/>
  <c r="E115" i="9"/>
  <c r="F115" i="9"/>
  <c r="C115" i="9"/>
  <c r="D114" i="9"/>
  <c r="E114" i="9"/>
  <c r="C114" i="9"/>
  <c r="E113" i="9"/>
  <c r="F113" i="9" s="1"/>
  <c r="E112" i="9"/>
  <c r="F112" i="9" s="1"/>
  <c r="E111" i="9"/>
  <c r="F111" i="9" s="1"/>
  <c r="F110" i="9"/>
  <c r="E110" i="9"/>
  <c r="E109" i="9"/>
  <c r="F109" i="9" s="1"/>
  <c r="F108" i="9"/>
  <c r="E108" i="9"/>
  <c r="F107" i="9"/>
  <c r="E107" i="9"/>
  <c r="E106" i="9"/>
  <c r="F106" i="9" s="1"/>
  <c r="E105" i="9"/>
  <c r="F105" i="9" s="1"/>
  <c r="D102" i="9"/>
  <c r="E102" i="9"/>
  <c r="C102" i="9"/>
  <c r="D101" i="9"/>
  <c r="E101" i="9"/>
  <c r="C101" i="9"/>
  <c r="E100" i="9"/>
  <c r="F100" i="9" s="1"/>
  <c r="F99" i="9"/>
  <c r="E99" i="9"/>
  <c r="F98" i="9"/>
  <c r="E98" i="9"/>
  <c r="F97" i="9"/>
  <c r="E97" i="9"/>
  <c r="E96" i="9"/>
  <c r="F96" i="9" s="1"/>
  <c r="F95" i="9"/>
  <c r="E95" i="9"/>
  <c r="F94" i="9"/>
  <c r="E94" i="9"/>
  <c r="E93" i="9"/>
  <c r="F93" i="9" s="1"/>
  <c r="E92" i="9"/>
  <c r="F92" i="9" s="1"/>
  <c r="D89" i="9"/>
  <c r="E89" i="9" s="1"/>
  <c r="F89" i="9"/>
  <c r="C89" i="9"/>
  <c r="D88" i="9"/>
  <c r="E88" i="9"/>
  <c r="C88" i="9"/>
  <c r="F87" i="9"/>
  <c r="E87" i="9"/>
  <c r="F86" i="9"/>
  <c r="E86" i="9"/>
  <c r="E85" i="9"/>
  <c r="F85" i="9" s="1"/>
  <c r="E84" i="9"/>
  <c r="F84" i="9" s="1"/>
  <c r="F83" i="9"/>
  <c r="E83" i="9"/>
  <c r="F82" i="9"/>
  <c r="E82" i="9"/>
  <c r="F81" i="9"/>
  <c r="E81" i="9"/>
  <c r="E80" i="9"/>
  <c r="F80" i="9" s="1"/>
  <c r="F79" i="9"/>
  <c r="E79" i="9"/>
  <c r="D76" i="9"/>
  <c r="E76" i="9" s="1"/>
  <c r="F76" i="9" s="1"/>
  <c r="C76" i="9"/>
  <c r="D75" i="9"/>
  <c r="E75" i="9"/>
  <c r="F75" i="9"/>
  <c r="C75" i="9"/>
  <c r="F74" i="9"/>
  <c r="E74" i="9"/>
  <c r="F73" i="9"/>
  <c r="E73" i="9"/>
  <c r="E72" i="9"/>
  <c r="F72" i="9" s="1"/>
  <c r="F71" i="9"/>
  <c r="E71" i="9"/>
  <c r="F70" i="9"/>
  <c r="E70" i="9"/>
  <c r="F69" i="9"/>
  <c r="E69" i="9"/>
  <c r="E68" i="9"/>
  <c r="F68" i="9" s="1"/>
  <c r="F67" i="9"/>
  <c r="E67" i="9"/>
  <c r="F66" i="9"/>
  <c r="E66" i="9"/>
  <c r="F63" i="9"/>
  <c r="D63" i="9"/>
  <c r="E63" i="9" s="1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C49" i="9"/>
  <c r="E48" i="9"/>
  <c r="F48" i="9" s="1"/>
  <c r="F47" i="9"/>
  <c r="E47" i="9"/>
  <c r="F46" i="9"/>
  <c r="E46" i="9"/>
  <c r="E45" i="9"/>
  <c r="F45" i="9" s="1"/>
  <c r="E44" i="9"/>
  <c r="F44" i="9" s="1"/>
  <c r="F43" i="9"/>
  <c r="E43" i="9"/>
  <c r="F42" i="9"/>
  <c r="E42" i="9"/>
  <c r="F41" i="9"/>
  <c r="E41" i="9"/>
  <c r="E40" i="9"/>
  <c r="F40" i="9" s="1"/>
  <c r="F37" i="9"/>
  <c r="D37" i="9"/>
  <c r="E37" i="9"/>
  <c r="C37" i="9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/>
  <c r="F23" i="9"/>
  <c r="C23" i="9"/>
  <c r="F22" i="9"/>
  <c r="E22" i="9"/>
  <c r="E21" i="9"/>
  <c r="F21" i="9" s="1"/>
  <c r="E20" i="9"/>
  <c r="F20" i="9" s="1"/>
  <c r="F19" i="9"/>
  <c r="E19" i="9"/>
  <c r="F18" i="9"/>
  <c r="E18" i="9"/>
  <c r="E17" i="9"/>
  <c r="F17" i="9" s="1"/>
  <c r="E16" i="9"/>
  <c r="F16" i="9" s="1"/>
  <c r="F15" i="9"/>
  <c r="E15" i="9"/>
  <c r="F14" i="9"/>
  <c r="E14" i="9"/>
  <c r="E191" i="8"/>
  <c r="D191" i="8"/>
  <c r="C191" i="8"/>
  <c r="E176" i="8"/>
  <c r="D176" i="8"/>
  <c r="C176" i="8"/>
  <c r="E164" i="8"/>
  <c r="E160" i="8" s="1"/>
  <c r="E166" i="8" s="1"/>
  <c r="D164" i="8"/>
  <c r="D160" i="8"/>
  <c r="D166" i="8" s="1"/>
  <c r="D152" i="8" s="1"/>
  <c r="C164" i="8"/>
  <c r="E162" i="8"/>
  <c r="D162" i="8"/>
  <c r="C162" i="8"/>
  <c r="E161" i="8"/>
  <c r="D161" i="8"/>
  <c r="C161" i="8"/>
  <c r="C166" i="8" s="1"/>
  <c r="C160" i="8"/>
  <c r="E147" i="8"/>
  <c r="D147" i="8"/>
  <c r="D143" i="8" s="1"/>
  <c r="D149" i="8" s="1"/>
  <c r="C147" i="8"/>
  <c r="C143" i="8" s="1"/>
  <c r="E145" i="8"/>
  <c r="D145" i="8"/>
  <c r="C145" i="8"/>
  <c r="E144" i="8"/>
  <c r="D144" i="8"/>
  <c r="C144" i="8"/>
  <c r="E143" i="8"/>
  <c r="E149" i="8"/>
  <c r="E126" i="8"/>
  <c r="D126" i="8"/>
  <c r="C126" i="8"/>
  <c r="E119" i="8"/>
  <c r="D119" i="8"/>
  <c r="C119" i="8"/>
  <c r="E108" i="8"/>
  <c r="D108" i="8"/>
  <c r="C108" i="8"/>
  <c r="C109" i="8" s="1"/>
  <c r="C106" i="8" s="1"/>
  <c r="E107" i="8"/>
  <c r="E109" i="8"/>
  <c r="E106" i="8" s="1"/>
  <c r="D107" i="8"/>
  <c r="D109" i="8" s="1"/>
  <c r="D106" i="8" s="1"/>
  <c r="C107" i="8"/>
  <c r="E102" i="8"/>
  <c r="E104" i="8" s="1"/>
  <c r="D102" i="8"/>
  <c r="D104" i="8" s="1"/>
  <c r="C102" i="8"/>
  <c r="C104" i="8" s="1"/>
  <c r="E100" i="8"/>
  <c r="D100" i="8"/>
  <c r="C100" i="8"/>
  <c r="E95" i="8"/>
  <c r="E94" i="8"/>
  <c r="D95" i="8"/>
  <c r="D94" i="8" s="1"/>
  <c r="C95" i="8"/>
  <c r="C94" i="8"/>
  <c r="E89" i="8"/>
  <c r="D89" i="8"/>
  <c r="D90" i="8" s="1"/>
  <c r="C89" i="8"/>
  <c r="E87" i="8"/>
  <c r="D87" i="8"/>
  <c r="C87" i="8"/>
  <c r="E84" i="8"/>
  <c r="D84" i="8"/>
  <c r="D79" i="8" s="1"/>
  <c r="C84" i="8"/>
  <c r="E83" i="8"/>
  <c r="D83" i="8"/>
  <c r="C83" i="8"/>
  <c r="C79" i="8" s="1"/>
  <c r="E77" i="8"/>
  <c r="E71" i="8" s="1"/>
  <c r="E75" i="8"/>
  <c r="E88" i="8"/>
  <c r="E90" i="8" s="1"/>
  <c r="E86" i="8" s="1"/>
  <c r="D75" i="8"/>
  <c r="D88" i="8" s="1"/>
  <c r="C75" i="8"/>
  <c r="C77" i="8" s="1"/>
  <c r="C71" i="8" s="1"/>
  <c r="C88" i="8"/>
  <c r="C90" i="8" s="1"/>
  <c r="C86" i="8" s="1"/>
  <c r="E74" i="8"/>
  <c r="D74" i="8"/>
  <c r="C74" i="8"/>
  <c r="E67" i="8"/>
  <c r="D67" i="8"/>
  <c r="C67" i="8"/>
  <c r="E38" i="8"/>
  <c r="E57" i="8"/>
  <c r="E62" i="8" s="1"/>
  <c r="D38" i="8"/>
  <c r="C38" i="8"/>
  <c r="C57" i="8"/>
  <c r="C62" i="8" s="1"/>
  <c r="E33" i="8"/>
  <c r="E34" i="8"/>
  <c r="D33" i="8"/>
  <c r="D34" i="8"/>
  <c r="E26" i="8"/>
  <c r="D26" i="8"/>
  <c r="C26" i="8"/>
  <c r="C15" i="8"/>
  <c r="E13" i="8"/>
  <c r="D13" i="8"/>
  <c r="C13" i="8"/>
  <c r="C25" i="8" s="1"/>
  <c r="C27" i="8"/>
  <c r="E186" i="7"/>
  <c r="F186" i="7" s="1"/>
  <c r="D183" i="7"/>
  <c r="C183" i="7"/>
  <c r="C188" i="7" s="1"/>
  <c r="F182" i="7"/>
  <c r="E182" i="7"/>
  <c r="F181" i="7"/>
  <c r="E181" i="7"/>
  <c r="F180" i="7"/>
  <c r="E180" i="7"/>
  <c r="F179" i="7"/>
  <c r="E179" i="7"/>
  <c r="F178" i="7"/>
  <c r="E178" i="7"/>
  <c r="F177" i="7"/>
  <c r="E177" i="7"/>
  <c r="E176" i="7"/>
  <c r="F176" i="7" s="1"/>
  <c r="F175" i="7"/>
  <c r="E175" i="7"/>
  <c r="F174" i="7"/>
  <c r="E174" i="7"/>
  <c r="E173" i="7"/>
  <c r="F173" i="7" s="1"/>
  <c r="F172" i="7"/>
  <c r="E172" i="7"/>
  <c r="F171" i="7"/>
  <c r="E171" i="7"/>
  <c r="F170" i="7"/>
  <c r="E170" i="7"/>
  <c r="D167" i="7"/>
  <c r="E167" i="7"/>
  <c r="C167" i="7"/>
  <c r="F166" i="7"/>
  <c r="E166" i="7"/>
  <c r="F165" i="7"/>
  <c r="E165" i="7"/>
  <c r="F164" i="7"/>
  <c r="E164" i="7"/>
  <c r="E163" i="7"/>
  <c r="F163" i="7" s="1"/>
  <c r="F162" i="7"/>
  <c r="E162" i="7"/>
  <c r="F161" i="7"/>
  <c r="E161" i="7"/>
  <c r="E160" i="7"/>
  <c r="F160" i="7" s="1"/>
  <c r="F159" i="7"/>
  <c r="E159" i="7"/>
  <c r="F158" i="7"/>
  <c r="E158" i="7"/>
  <c r="F157" i="7"/>
  <c r="E157" i="7"/>
  <c r="E156" i="7"/>
  <c r="F156" i="7" s="1"/>
  <c r="E155" i="7"/>
  <c r="F155" i="7" s="1"/>
  <c r="F154" i="7"/>
  <c r="E154" i="7"/>
  <c r="F153" i="7"/>
  <c r="E153" i="7"/>
  <c r="E152" i="7"/>
  <c r="F152" i="7" s="1"/>
  <c r="E151" i="7"/>
  <c r="F151" i="7" s="1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E143" i="7"/>
  <c r="F143" i="7" s="1"/>
  <c r="F142" i="7"/>
  <c r="E142" i="7"/>
  <c r="F141" i="7"/>
  <c r="E141" i="7"/>
  <c r="E140" i="7"/>
  <c r="F140" i="7" s="1"/>
  <c r="E139" i="7"/>
  <c r="F139" i="7" s="1"/>
  <c r="F138" i="7"/>
  <c r="E138" i="7"/>
  <c r="F137" i="7"/>
  <c r="E137" i="7"/>
  <c r="F136" i="7"/>
  <c r="E136" i="7"/>
  <c r="E135" i="7"/>
  <c r="F135" i="7" s="1"/>
  <c r="F134" i="7"/>
  <c r="E134" i="7"/>
  <c r="F133" i="7"/>
  <c r="E133" i="7"/>
  <c r="D130" i="7"/>
  <c r="E130" i="7" s="1"/>
  <c r="C130" i="7"/>
  <c r="F129" i="7"/>
  <c r="E129" i="7"/>
  <c r="F128" i="7"/>
  <c r="E128" i="7"/>
  <c r="E127" i="7"/>
  <c r="F127" i="7" s="1"/>
  <c r="E126" i="7"/>
  <c r="F126" i="7" s="1"/>
  <c r="F125" i="7"/>
  <c r="E125" i="7"/>
  <c r="F124" i="7"/>
  <c r="E124" i="7"/>
  <c r="D121" i="7"/>
  <c r="E121" i="7" s="1"/>
  <c r="C121" i="7"/>
  <c r="F121" i="7" s="1"/>
  <c r="F120" i="7"/>
  <c r="E120" i="7"/>
  <c r="F119" i="7"/>
  <c r="E119" i="7"/>
  <c r="E118" i="7"/>
  <c r="F118" i="7" s="1"/>
  <c r="E117" i="7"/>
  <c r="F117" i="7" s="1"/>
  <c r="F116" i="7"/>
  <c r="E116" i="7"/>
  <c r="F115" i="7"/>
  <c r="E115" i="7"/>
  <c r="E114" i="7"/>
  <c r="F114" i="7" s="1"/>
  <c r="E113" i="7"/>
  <c r="F113" i="7" s="1"/>
  <c r="F112" i="7"/>
  <c r="E112" i="7"/>
  <c r="F111" i="7"/>
  <c r="E111" i="7"/>
  <c r="F110" i="7"/>
  <c r="E110" i="7"/>
  <c r="E109" i="7"/>
  <c r="F109" i="7" s="1"/>
  <c r="F108" i="7"/>
  <c r="E108" i="7"/>
  <c r="F107" i="7"/>
  <c r="E107" i="7"/>
  <c r="E106" i="7"/>
  <c r="F106" i="7" s="1"/>
  <c r="E105" i="7"/>
  <c r="F105" i="7" s="1"/>
  <c r="F104" i="7"/>
  <c r="E104" i="7"/>
  <c r="F103" i="7"/>
  <c r="E103" i="7"/>
  <c r="F93" i="7"/>
  <c r="E93" i="7"/>
  <c r="D90" i="7"/>
  <c r="C90" i="7"/>
  <c r="E89" i="7"/>
  <c r="F89" i="7" s="1"/>
  <c r="F88" i="7"/>
  <c r="E88" i="7"/>
  <c r="F87" i="7"/>
  <c r="E87" i="7"/>
  <c r="F86" i="7"/>
  <c r="E86" i="7"/>
  <c r="E85" i="7"/>
  <c r="F85" i="7" s="1"/>
  <c r="F84" i="7"/>
  <c r="E84" i="7"/>
  <c r="E83" i="7"/>
  <c r="F83" i="7" s="1"/>
  <c r="E82" i="7"/>
  <c r="F82" i="7" s="1"/>
  <c r="E81" i="7"/>
  <c r="F81" i="7" s="1"/>
  <c r="F80" i="7"/>
  <c r="E80" i="7"/>
  <c r="F79" i="7"/>
  <c r="E79" i="7"/>
  <c r="E78" i="7"/>
  <c r="F78" i="7" s="1"/>
  <c r="E77" i="7"/>
  <c r="F77" i="7" s="1"/>
  <c r="E76" i="7"/>
  <c r="F76" i="7" s="1"/>
  <c r="F75" i="7"/>
  <c r="E75" i="7"/>
  <c r="E74" i="7"/>
  <c r="F74" i="7" s="1"/>
  <c r="E73" i="7"/>
  <c r="F73" i="7" s="1"/>
  <c r="E72" i="7"/>
  <c r="F72" i="7" s="1"/>
  <c r="E71" i="7"/>
  <c r="F71" i="7" s="1"/>
  <c r="E70" i="7"/>
  <c r="F70" i="7" s="1"/>
  <c r="E69" i="7"/>
  <c r="F69" i="7" s="1"/>
  <c r="F68" i="7"/>
  <c r="E68" i="7"/>
  <c r="E67" i="7"/>
  <c r="F67" i="7" s="1"/>
  <c r="E66" i="7"/>
  <c r="F66" i="7" s="1"/>
  <c r="E65" i="7"/>
  <c r="F65" i="7" s="1"/>
  <c r="F64" i="7"/>
  <c r="E64" i="7"/>
  <c r="F63" i="7"/>
  <c r="E63" i="7"/>
  <c r="E62" i="7"/>
  <c r="F62" i="7" s="1"/>
  <c r="D59" i="7"/>
  <c r="C59" i="7"/>
  <c r="E58" i="7"/>
  <c r="F58" i="7" s="1"/>
  <c r="E57" i="7"/>
  <c r="F57" i="7" s="1"/>
  <c r="E56" i="7"/>
  <c r="F56" i="7" s="1"/>
  <c r="F55" i="7"/>
  <c r="E55" i="7"/>
  <c r="E54" i="7"/>
  <c r="F54" i="7" s="1"/>
  <c r="E53" i="7"/>
  <c r="F53" i="7" s="1"/>
  <c r="E50" i="7"/>
  <c r="F50" i="7" s="1"/>
  <c r="E47" i="7"/>
  <c r="F47" i="7" s="1"/>
  <c r="F44" i="7"/>
  <c r="E44" i="7"/>
  <c r="D41" i="7"/>
  <c r="E41" i="7"/>
  <c r="C41" i="7"/>
  <c r="F40" i="7"/>
  <c r="E40" i="7"/>
  <c r="E39" i="7"/>
  <c r="F39" i="7" s="1"/>
  <c r="E38" i="7"/>
  <c r="F38" i="7" s="1"/>
  <c r="D35" i="7"/>
  <c r="C35" i="7"/>
  <c r="E34" i="7"/>
  <c r="F34" i="7" s="1"/>
  <c r="E33" i="7"/>
  <c r="F33" i="7" s="1"/>
  <c r="D30" i="7"/>
  <c r="E30" i="7"/>
  <c r="F30" i="7" s="1"/>
  <c r="C30" i="7"/>
  <c r="F29" i="7"/>
  <c r="E29" i="7"/>
  <c r="E28" i="7"/>
  <c r="F28" i="7" s="1"/>
  <c r="E27" i="7"/>
  <c r="F27" i="7" s="1"/>
  <c r="D24" i="7"/>
  <c r="D95" i="7" s="1"/>
  <c r="E24" i="7"/>
  <c r="F24" i="7" s="1"/>
  <c r="C24" i="7"/>
  <c r="E23" i="7"/>
  <c r="F23" i="7" s="1"/>
  <c r="E22" i="7"/>
  <c r="F22" i="7" s="1"/>
  <c r="E21" i="7"/>
  <c r="F21" i="7" s="1"/>
  <c r="D18" i="7"/>
  <c r="C18" i="7"/>
  <c r="E18" i="7" s="1"/>
  <c r="E17" i="7"/>
  <c r="F17" i="7" s="1"/>
  <c r="F16" i="7"/>
  <c r="E16" i="7"/>
  <c r="E15" i="7"/>
  <c r="F15" i="7" s="1"/>
  <c r="D179" i="6"/>
  <c r="C179" i="6"/>
  <c r="E178" i="6"/>
  <c r="F178" i="6" s="1"/>
  <c r="F177" i="6"/>
  <c r="E177" i="6"/>
  <c r="E176" i="6"/>
  <c r="F176" i="6" s="1"/>
  <c r="E175" i="6"/>
  <c r="F175" i="6" s="1"/>
  <c r="F174" i="6"/>
  <c r="E174" i="6"/>
  <c r="E173" i="6"/>
  <c r="F173" i="6" s="1"/>
  <c r="E172" i="6"/>
  <c r="F172" i="6" s="1"/>
  <c r="F171" i="6"/>
  <c r="E171" i="6"/>
  <c r="E170" i="6"/>
  <c r="F170" i="6" s="1"/>
  <c r="F169" i="6"/>
  <c r="E169" i="6"/>
  <c r="E168" i="6"/>
  <c r="F168" i="6" s="1"/>
  <c r="D166" i="6"/>
  <c r="E166" i="6"/>
  <c r="F166" i="6"/>
  <c r="C166" i="6"/>
  <c r="E165" i="6"/>
  <c r="F165" i="6" s="1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E157" i="6"/>
  <c r="F157" i="6" s="1"/>
  <c r="E156" i="6"/>
  <c r="F156" i="6" s="1"/>
  <c r="E155" i="6"/>
  <c r="F155" i="6" s="1"/>
  <c r="D153" i="6"/>
  <c r="E153" i="6" s="1"/>
  <c r="F153" i="6"/>
  <c r="C153" i="6"/>
  <c r="E152" i="6"/>
  <c r="F152" i="6" s="1"/>
  <c r="F151" i="6"/>
  <c r="E151" i="6"/>
  <c r="F150" i="6"/>
  <c r="E150" i="6"/>
  <c r="E149" i="6"/>
  <c r="F149" i="6" s="1"/>
  <c r="E148" i="6"/>
  <c r="F148" i="6" s="1"/>
  <c r="E147" i="6"/>
  <c r="F147" i="6" s="1"/>
  <c r="F146" i="6"/>
  <c r="E146" i="6"/>
  <c r="F145" i="6"/>
  <c r="E145" i="6"/>
  <c r="E144" i="6"/>
  <c r="F144" i="6" s="1"/>
  <c r="E143" i="6"/>
  <c r="F143" i="6" s="1"/>
  <c r="E142" i="6"/>
  <c r="F142" i="6" s="1"/>
  <c r="D137" i="6"/>
  <c r="C137" i="6"/>
  <c r="F136" i="6"/>
  <c r="E136" i="6"/>
  <c r="F135" i="6"/>
  <c r="E135" i="6"/>
  <c r="E134" i="6"/>
  <c r="F134" i="6" s="1"/>
  <c r="E133" i="6"/>
  <c r="F133" i="6" s="1"/>
  <c r="E132" i="6"/>
  <c r="F132" i="6" s="1"/>
  <c r="F131" i="6"/>
  <c r="E131" i="6"/>
  <c r="F130" i="6"/>
  <c r="E130" i="6"/>
  <c r="F129" i="6"/>
  <c r="E129" i="6"/>
  <c r="E128" i="6"/>
  <c r="F128" i="6" s="1"/>
  <c r="E127" i="6"/>
  <c r="F127" i="6" s="1"/>
  <c r="E126" i="6"/>
  <c r="F126" i="6" s="1"/>
  <c r="D124" i="6"/>
  <c r="C124" i="6"/>
  <c r="E123" i="6"/>
  <c r="F123" i="6" s="1"/>
  <c r="F122" i="6"/>
  <c r="E122" i="6"/>
  <c r="E121" i="6"/>
  <c r="F121" i="6" s="1"/>
  <c r="E120" i="6"/>
  <c r="F120" i="6" s="1"/>
  <c r="E119" i="6"/>
  <c r="F119" i="6" s="1"/>
  <c r="E118" i="6"/>
  <c r="F118" i="6" s="1"/>
  <c r="E117" i="6"/>
  <c r="F117" i="6" s="1"/>
  <c r="F116" i="6"/>
  <c r="E116" i="6"/>
  <c r="E115" i="6"/>
  <c r="F115" i="6" s="1"/>
  <c r="F114" i="6"/>
  <c r="E114" i="6"/>
  <c r="E113" i="6"/>
  <c r="F113" i="6" s="1"/>
  <c r="D111" i="6"/>
  <c r="E111" i="6"/>
  <c r="F111" i="6"/>
  <c r="C111" i="6"/>
  <c r="E110" i="6"/>
  <c r="F110" i="6" s="1"/>
  <c r="F109" i="6"/>
  <c r="E109" i="6"/>
  <c r="E108" i="6"/>
  <c r="F108" i="6" s="1"/>
  <c r="E107" i="6"/>
  <c r="F107" i="6" s="1"/>
  <c r="E106" i="6"/>
  <c r="F106" i="6" s="1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D94" i="6"/>
  <c r="E94" i="6" s="1"/>
  <c r="F94" i="6"/>
  <c r="C94" i="6"/>
  <c r="D93" i="6"/>
  <c r="C93" i="6"/>
  <c r="F93" i="6" s="1"/>
  <c r="D92" i="6"/>
  <c r="E92" i="6"/>
  <c r="F92" i="6"/>
  <c r="C92" i="6"/>
  <c r="D91" i="6"/>
  <c r="E91" i="6"/>
  <c r="C91" i="6"/>
  <c r="D90" i="6"/>
  <c r="C90" i="6"/>
  <c r="D89" i="6"/>
  <c r="C89" i="6"/>
  <c r="D88" i="6"/>
  <c r="E88" i="6"/>
  <c r="C88" i="6"/>
  <c r="F88" i="6" s="1"/>
  <c r="D87" i="6"/>
  <c r="E87" i="6" s="1"/>
  <c r="C87" i="6"/>
  <c r="F87" i="6" s="1"/>
  <c r="D86" i="6"/>
  <c r="C86" i="6"/>
  <c r="D85" i="6"/>
  <c r="C85" i="6"/>
  <c r="D84" i="6"/>
  <c r="C84" i="6"/>
  <c r="D81" i="6"/>
  <c r="E81" i="6" s="1"/>
  <c r="C81" i="6"/>
  <c r="F81" i="6" s="1"/>
  <c r="F80" i="6"/>
  <c r="E80" i="6"/>
  <c r="F79" i="6"/>
  <c r="E79" i="6"/>
  <c r="F78" i="6"/>
  <c r="E78" i="6"/>
  <c r="E77" i="6"/>
  <c r="F77" i="6" s="1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E65" i="6"/>
  <c r="F65" i="6" s="1"/>
  <c r="F64" i="6"/>
  <c r="E64" i="6"/>
  <c r="F63" i="6"/>
  <c r="E63" i="6"/>
  <c r="F62" i="6"/>
  <c r="E62" i="6"/>
  <c r="E61" i="6"/>
  <c r="F61" i="6" s="1"/>
  <c r="F60" i="6"/>
  <c r="E60" i="6"/>
  <c r="F59" i="6"/>
  <c r="E59" i="6"/>
  <c r="F58" i="6"/>
  <c r="E58" i="6"/>
  <c r="E57" i="6"/>
  <c r="F57" i="6" s="1"/>
  <c r="D51" i="6"/>
  <c r="E51" i="6" s="1"/>
  <c r="F51" i="6"/>
  <c r="C51" i="6"/>
  <c r="D50" i="6"/>
  <c r="C50" i="6"/>
  <c r="E50" i="6" s="1"/>
  <c r="D49" i="6"/>
  <c r="E49" i="6" s="1"/>
  <c r="F49" i="6"/>
  <c r="C49" i="6"/>
  <c r="D48" i="6"/>
  <c r="E48" i="6" s="1"/>
  <c r="F48" i="6"/>
  <c r="C48" i="6"/>
  <c r="D47" i="6"/>
  <c r="E47" i="6"/>
  <c r="F47" i="6" s="1"/>
  <c r="C47" i="6"/>
  <c r="D46" i="6"/>
  <c r="E46" i="6" s="1"/>
  <c r="C46" i="6"/>
  <c r="D45" i="6"/>
  <c r="E45" i="6"/>
  <c r="F45" i="6"/>
  <c r="C45" i="6"/>
  <c r="D44" i="6"/>
  <c r="C44" i="6"/>
  <c r="E44" i="6" s="1"/>
  <c r="D43" i="6"/>
  <c r="E43" i="6"/>
  <c r="F43" i="6"/>
  <c r="C43" i="6"/>
  <c r="D42" i="6"/>
  <c r="E42" i="6" s="1"/>
  <c r="F42" i="6" s="1"/>
  <c r="C42" i="6"/>
  <c r="D41" i="6"/>
  <c r="C41" i="6"/>
  <c r="D38" i="6"/>
  <c r="E38" i="6"/>
  <c r="C38" i="6"/>
  <c r="E37" i="6"/>
  <c r="F37" i="6" s="1"/>
  <c r="F36" i="6"/>
  <c r="E36" i="6"/>
  <c r="E35" i="6"/>
  <c r="F35" i="6" s="1"/>
  <c r="F34" i="6"/>
  <c r="E34" i="6"/>
  <c r="F33" i="6"/>
  <c r="E33" i="6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E25" i="6"/>
  <c r="F25" i="6" s="1"/>
  <c r="C25" i="6"/>
  <c r="F24" i="6"/>
  <c r="E24" i="6"/>
  <c r="F23" i="6"/>
  <c r="E23" i="6"/>
  <c r="E22" i="6"/>
  <c r="F22" i="6" s="1"/>
  <c r="F21" i="6"/>
  <c r="E21" i="6"/>
  <c r="F20" i="6"/>
  <c r="E20" i="6"/>
  <c r="E19" i="6"/>
  <c r="F19" i="6" s="1"/>
  <c r="F18" i="6"/>
  <c r="E18" i="6"/>
  <c r="F17" i="6"/>
  <c r="E17" i="6"/>
  <c r="E16" i="6"/>
  <c r="F16" i="6" s="1"/>
  <c r="E15" i="6"/>
  <c r="F15" i="6" s="1"/>
  <c r="E14" i="6"/>
  <c r="F14" i="6" s="1"/>
  <c r="E51" i="5"/>
  <c r="F51" i="5" s="1"/>
  <c r="F48" i="5"/>
  <c r="D48" i="5"/>
  <c r="E48" i="5"/>
  <c r="C48" i="5"/>
  <c r="F47" i="5"/>
  <c r="E47" i="5"/>
  <c r="F46" i="5"/>
  <c r="E46" i="5"/>
  <c r="D41" i="5"/>
  <c r="E41" i="5" s="1"/>
  <c r="F41" i="5"/>
  <c r="C41" i="5"/>
  <c r="E40" i="5"/>
  <c r="F40" i="5" s="1"/>
  <c r="F39" i="5"/>
  <c r="E39" i="5"/>
  <c r="F38" i="5"/>
  <c r="E38" i="5"/>
  <c r="D33" i="5"/>
  <c r="C33" i="5"/>
  <c r="E32" i="5"/>
  <c r="F32" i="5" s="1"/>
  <c r="F31" i="5"/>
  <c r="E31" i="5"/>
  <c r="F30" i="5"/>
  <c r="E30" i="5"/>
  <c r="F29" i="5"/>
  <c r="E29" i="5"/>
  <c r="E28" i="5"/>
  <c r="F28" i="5" s="1"/>
  <c r="F27" i="5"/>
  <c r="E27" i="5"/>
  <c r="F26" i="5"/>
  <c r="E26" i="5"/>
  <c r="E25" i="5"/>
  <c r="F25" i="5" s="1"/>
  <c r="E24" i="5"/>
  <c r="F24" i="5" s="1"/>
  <c r="F20" i="5"/>
  <c r="E20" i="5"/>
  <c r="F19" i="5"/>
  <c r="E19" i="5"/>
  <c r="E17" i="5"/>
  <c r="F17" i="5" s="1"/>
  <c r="D16" i="5"/>
  <c r="E16" i="5"/>
  <c r="F16" i="5" s="1"/>
  <c r="C16" i="5"/>
  <c r="C18" i="5"/>
  <c r="F15" i="5"/>
  <c r="E15" i="5"/>
  <c r="F14" i="5"/>
  <c r="E14" i="5"/>
  <c r="F13" i="5"/>
  <c r="E13" i="5"/>
  <c r="E12" i="5"/>
  <c r="F12" i="5" s="1"/>
  <c r="D73" i="4"/>
  <c r="E73" i="4"/>
  <c r="F73" i="4"/>
  <c r="C73" i="4"/>
  <c r="E72" i="4"/>
  <c r="F72" i="4" s="1"/>
  <c r="E71" i="4"/>
  <c r="F71" i="4" s="1"/>
  <c r="E70" i="4"/>
  <c r="F70" i="4" s="1"/>
  <c r="F67" i="4"/>
  <c r="E67" i="4"/>
  <c r="F64" i="4"/>
  <c r="E64" i="4"/>
  <c r="E63" i="4"/>
  <c r="F63" i="4" s="1"/>
  <c r="D61" i="4"/>
  <c r="D65" i="4"/>
  <c r="C61" i="4"/>
  <c r="F60" i="4"/>
  <c r="E60" i="4"/>
  <c r="E59" i="4"/>
  <c r="F59" i="4" s="1"/>
  <c r="D56" i="4"/>
  <c r="D75" i="4"/>
  <c r="C56" i="4"/>
  <c r="E56" i="4" s="1"/>
  <c r="F55" i="4"/>
  <c r="E55" i="4"/>
  <c r="F54" i="4"/>
  <c r="E54" i="4"/>
  <c r="F53" i="4"/>
  <c r="E53" i="4"/>
  <c r="F52" i="4"/>
  <c r="E52" i="4"/>
  <c r="E51" i="4"/>
  <c r="F51" i="4" s="1"/>
  <c r="E50" i="4"/>
  <c r="F50" i="4" s="1"/>
  <c r="A50" i="4"/>
  <c r="A51" i="4" s="1"/>
  <c r="A52" i="4" s="1"/>
  <c r="A53" i="4" s="1"/>
  <c r="A54" i="4" s="1"/>
  <c r="A55" i="4" s="1"/>
  <c r="F49" i="4"/>
  <c r="E49" i="4"/>
  <c r="F40" i="4"/>
  <c r="E40" i="4"/>
  <c r="D38" i="4"/>
  <c r="D41" i="4"/>
  <c r="C38" i="4"/>
  <c r="C41" i="4"/>
  <c r="E37" i="4"/>
  <c r="F37" i="4" s="1"/>
  <c r="E36" i="4"/>
  <c r="F36" i="4" s="1"/>
  <c r="F33" i="4"/>
  <c r="E33" i="4"/>
  <c r="E32" i="4"/>
  <c r="F32" i="4" s="1"/>
  <c r="E31" i="4"/>
  <c r="F31" i="4" s="1"/>
  <c r="D29" i="4"/>
  <c r="E29" i="4"/>
  <c r="F29" i="4"/>
  <c r="C29" i="4"/>
  <c r="E28" i="4"/>
  <c r="F28" i="4" s="1"/>
  <c r="F27" i="4"/>
  <c r="E27" i="4"/>
  <c r="F26" i="4"/>
  <c r="E26" i="4"/>
  <c r="F25" i="4"/>
  <c r="E25" i="4"/>
  <c r="D22" i="4"/>
  <c r="C22" i="4"/>
  <c r="E21" i="4"/>
  <c r="F21" i="4" s="1"/>
  <c r="E20" i="4"/>
  <c r="F20" i="4" s="1"/>
  <c r="F19" i="4"/>
  <c r="E19" i="4"/>
  <c r="F18" i="4"/>
  <c r="E18" i="4"/>
  <c r="E17" i="4"/>
  <c r="F17" i="4" s="1"/>
  <c r="F16" i="4"/>
  <c r="E16" i="4"/>
  <c r="F15" i="4"/>
  <c r="E15" i="4"/>
  <c r="F14" i="4"/>
  <c r="E14" i="4"/>
  <c r="E13" i="4"/>
  <c r="F13" i="4" s="1"/>
  <c r="C109" i="22"/>
  <c r="C108" i="22"/>
  <c r="E109" i="22"/>
  <c r="D22" i="22"/>
  <c r="E23" i="22"/>
  <c r="D33" i="22"/>
  <c r="C34" i="22"/>
  <c r="E34" i="22"/>
  <c r="C40" i="22"/>
  <c r="D101" i="22"/>
  <c r="C102" i="22"/>
  <c r="C103" i="22" s="1"/>
  <c r="E102" i="22"/>
  <c r="E103" i="22" s="1"/>
  <c r="E299" i="17"/>
  <c r="C22" i="22"/>
  <c r="E22" i="22"/>
  <c r="D23" i="22"/>
  <c r="F40" i="20"/>
  <c r="D41" i="20"/>
  <c r="E19" i="20"/>
  <c r="F19" i="20"/>
  <c r="C22" i="19"/>
  <c r="D283" i="18"/>
  <c r="E283" i="18" s="1"/>
  <c r="D22" i="18"/>
  <c r="E22" i="18" s="1"/>
  <c r="E21" i="18"/>
  <c r="C33" i="18"/>
  <c r="E33" i="18"/>
  <c r="E32" i="18"/>
  <c r="D43" i="18"/>
  <c r="E54" i="18"/>
  <c r="C289" i="18"/>
  <c r="C71" i="18"/>
  <c r="C65" i="18"/>
  <c r="E60" i="18"/>
  <c r="E240" i="18"/>
  <c r="D44" i="18"/>
  <c r="D157" i="18"/>
  <c r="E157" i="18" s="1"/>
  <c r="E156" i="18"/>
  <c r="C283" i="18"/>
  <c r="C144" i="18"/>
  <c r="C168" i="18" s="1"/>
  <c r="E151" i="18"/>
  <c r="C175" i="18"/>
  <c r="C261" i="18"/>
  <c r="E261" i="18" s="1"/>
  <c r="C189" i="18"/>
  <c r="E188" i="18"/>
  <c r="D260" i="18"/>
  <c r="E195" i="18"/>
  <c r="D217" i="18"/>
  <c r="E217" i="18" s="1"/>
  <c r="D239" i="18"/>
  <c r="E239" i="18" s="1"/>
  <c r="C242" i="18"/>
  <c r="E242" i="18" s="1"/>
  <c r="D243" i="18"/>
  <c r="E243" i="18" s="1"/>
  <c r="E139" i="18"/>
  <c r="C234" i="18"/>
  <c r="E205" i="18"/>
  <c r="C211" i="18"/>
  <c r="C235" i="18" s="1"/>
  <c r="E216" i="18"/>
  <c r="C241" i="18"/>
  <c r="E218" i="18"/>
  <c r="C222" i="18"/>
  <c r="C229" i="18"/>
  <c r="C252" i="18"/>
  <c r="E231" i="18"/>
  <c r="E245" i="18"/>
  <c r="E251" i="18"/>
  <c r="D302" i="18"/>
  <c r="D303" i="18" s="1"/>
  <c r="E302" i="18"/>
  <c r="E265" i="18"/>
  <c r="D320" i="18"/>
  <c r="D222" i="18"/>
  <c r="E314" i="18"/>
  <c r="E301" i="18"/>
  <c r="E324" i="18"/>
  <c r="D160" i="17"/>
  <c r="E137" i="17"/>
  <c r="F137" i="17" s="1"/>
  <c r="C138" i="17"/>
  <c r="D61" i="17"/>
  <c r="E17" i="17"/>
  <c r="F17" i="17"/>
  <c r="E20" i="17"/>
  <c r="F20" i="17" s="1"/>
  <c r="C21" i="17"/>
  <c r="E23" i="17"/>
  <c r="E24" i="17"/>
  <c r="F24" i="17" s="1"/>
  <c r="E29" i="17"/>
  <c r="F29" i="17"/>
  <c r="E30" i="17"/>
  <c r="F30" i="17"/>
  <c r="C31" i="17"/>
  <c r="F35" i="17"/>
  <c r="E36" i="17"/>
  <c r="F36" i="17" s="1"/>
  <c r="C37" i="17"/>
  <c r="E44" i="17"/>
  <c r="F44" i="17"/>
  <c r="E47" i="17"/>
  <c r="F47" i="17" s="1"/>
  <c r="C48" i="17"/>
  <c r="E52" i="17"/>
  <c r="F52" i="17" s="1"/>
  <c r="E53" i="17"/>
  <c r="F53" i="17"/>
  <c r="E58" i="17"/>
  <c r="F58" i="17"/>
  <c r="E59" i="17"/>
  <c r="F59" i="17"/>
  <c r="C60" i="17"/>
  <c r="E66" i="17"/>
  <c r="F66" i="17"/>
  <c r="E67" i="17"/>
  <c r="F67" i="17" s="1"/>
  <c r="C68" i="17"/>
  <c r="F88" i="17"/>
  <c r="D89" i="17"/>
  <c r="E95" i="17"/>
  <c r="F95" i="17" s="1"/>
  <c r="E101" i="17"/>
  <c r="F101" i="17"/>
  <c r="E102" i="17"/>
  <c r="F102" i="17" s="1"/>
  <c r="E110" i="17"/>
  <c r="F110" i="17" s="1"/>
  <c r="C193" i="17"/>
  <c r="C282" i="17"/>
  <c r="C192" i="17"/>
  <c r="E123" i="17"/>
  <c r="F123" i="17"/>
  <c r="E135" i="17"/>
  <c r="F135" i="17" s="1"/>
  <c r="D138" i="17"/>
  <c r="E138" i="17"/>
  <c r="D21" i="17"/>
  <c r="D126" i="17" s="1"/>
  <c r="E94" i="17"/>
  <c r="F94" i="17"/>
  <c r="E100" i="17"/>
  <c r="F100" i="17" s="1"/>
  <c r="C103" i="17"/>
  <c r="E109" i="17"/>
  <c r="F109" i="17" s="1"/>
  <c r="C111" i="17"/>
  <c r="E111" i="17"/>
  <c r="F111" i="17" s="1"/>
  <c r="E120" i="17"/>
  <c r="F120" i="17" s="1"/>
  <c r="E130" i="17"/>
  <c r="F130" i="17" s="1"/>
  <c r="E136" i="17"/>
  <c r="F136" i="17"/>
  <c r="F144" i="17"/>
  <c r="E145" i="17"/>
  <c r="F145" i="17" s="1"/>
  <c r="C146" i="17"/>
  <c r="E155" i="17"/>
  <c r="F155" i="17"/>
  <c r="E158" i="17"/>
  <c r="F158" i="17" s="1"/>
  <c r="C159" i="17"/>
  <c r="E164" i="17"/>
  <c r="F164" i="17" s="1"/>
  <c r="E165" i="17"/>
  <c r="F165" i="17"/>
  <c r="E170" i="17"/>
  <c r="F170" i="17"/>
  <c r="C172" i="17"/>
  <c r="E179" i="17"/>
  <c r="F179" i="17"/>
  <c r="E180" i="17"/>
  <c r="F180" i="17"/>
  <c r="C181" i="17"/>
  <c r="E181" i="17" s="1"/>
  <c r="E188" i="17"/>
  <c r="F188" i="17"/>
  <c r="E189" i="17"/>
  <c r="F189" i="17"/>
  <c r="C190" i="17"/>
  <c r="E191" i="17"/>
  <c r="F191" i="17"/>
  <c r="C199" i="17"/>
  <c r="E199" i="17" s="1"/>
  <c r="F199" i="17" s="1"/>
  <c r="E204" i="17"/>
  <c r="F204" i="17" s="1"/>
  <c r="C205" i="17"/>
  <c r="C215" i="17"/>
  <c r="E223" i="17"/>
  <c r="F223" i="17" s="1"/>
  <c r="F227" i="17"/>
  <c r="E230" i="17"/>
  <c r="F230" i="17"/>
  <c r="C254" i="17"/>
  <c r="C255" i="17"/>
  <c r="C261" i="17"/>
  <c r="C262" i="17"/>
  <c r="C264" i="17"/>
  <c r="C274" i="17"/>
  <c r="C278" i="17"/>
  <c r="C280" i="17"/>
  <c r="C290" i="17"/>
  <c r="E294" i="17"/>
  <c r="F294" i="17" s="1"/>
  <c r="E298" i="17"/>
  <c r="F298" i="17"/>
  <c r="D124" i="17"/>
  <c r="E124" i="17"/>
  <c r="F124" i="17" s="1"/>
  <c r="D277" i="17"/>
  <c r="D261" i="17"/>
  <c r="D214" i="17"/>
  <c r="D278" i="17"/>
  <c r="D288" i="17" s="1"/>
  <c r="D262" i="17"/>
  <c r="D263" i="17" s="1"/>
  <c r="D215" i="17"/>
  <c r="E215" i="17" s="1"/>
  <c r="D190" i="17"/>
  <c r="D280" i="17"/>
  <c r="E280" i="17" s="1"/>
  <c r="D264" i="17"/>
  <c r="D300" i="17" s="1"/>
  <c r="E300" i="17" s="1"/>
  <c r="F300" i="17" s="1"/>
  <c r="D290" i="17"/>
  <c r="E290" i="17"/>
  <c r="D274" i="17"/>
  <c r="E274" i="17" s="1"/>
  <c r="F274" i="17" s="1"/>
  <c r="D199" i="17"/>
  <c r="D200" i="17"/>
  <c r="D283" i="17"/>
  <c r="D267" i="17"/>
  <c r="D285" i="17"/>
  <c r="E285" i="17" s="1"/>
  <c r="F285" i="17" s="1"/>
  <c r="D269" i="17"/>
  <c r="D205" i="17"/>
  <c r="D206" i="17"/>
  <c r="E226" i="17"/>
  <c r="F226" i="17"/>
  <c r="E229" i="17"/>
  <c r="F229" i="17" s="1"/>
  <c r="E237" i="17"/>
  <c r="F237" i="17" s="1"/>
  <c r="C239" i="17"/>
  <c r="C306" i="17"/>
  <c r="E306" i="17" s="1"/>
  <c r="E250" i="17"/>
  <c r="F250" i="17"/>
  <c r="C269" i="17"/>
  <c r="E296" i="17"/>
  <c r="F296" i="17" s="1"/>
  <c r="E295" i="17"/>
  <c r="F295" i="17"/>
  <c r="E297" i="17"/>
  <c r="F297" i="17"/>
  <c r="F299" i="17"/>
  <c r="H40" i="14"/>
  <c r="H33" i="14"/>
  <c r="H36" i="14" s="1"/>
  <c r="H38" i="14"/>
  <c r="F36" i="14"/>
  <c r="F38" i="14" s="1"/>
  <c r="F40" i="14"/>
  <c r="I17" i="14"/>
  <c r="D31" i="14"/>
  <c r="F31" i="14"/>
  <c r="H17" i="14"/>
  <c r="D21" i="13"/>
  <c r="C20" i="13"/>
  <c r="C21" i="13"/>
  <c r="C22" i="13"/>
  <c r="D15" i="13"/>
  <c r="C17" i="13"/>
  <c r="C28" i="13"/>
  <c r="C70" i="13" s="1"/>
  <c r="C72" i="13" s="1"/>
  <c r="C69" i="13" s="1"/>
  <c r="D48" i="13"/>
  <c r="D42" i="13" s="1"/>
  <c r="D20" i="12"/>
  <c r="D34" i="12" s="1"/>
  <c r="D42" i="12" s="1"/>
  <c r="E42" i="12" s="1"/>
  <c r="E17" i="12"/>
  <c r="E15" i="12"/>
  <c r="F15" i="12"/>
  <c r="C17" i="12"/>
  <c r="E32" i="12"/>
  <c r="F32" i="12" s="1"/>
  <c r="E40" i="12"/>
  <c r="F40" i="12" s="1"/>
  <c r="E47" i="12"/>
  <c r="F41" i="11"/>
  <c r="F65" i="11"/>
  <c r="E22" i="11"/>
  <c r="F22" i="11" s="1"/>
  <c r="E38" i="11"/>
  <c r="F38" i="11"/>
  <c r="E56" i="11"/>
  <c r="F56" i="11"/>
  <c r="E61" i="11"/>
  <c r="F61" i="11"/>
  <c r="D121" i="10"/>
  <c r="E121" i="10" s="1"/>
  <c r="D122" i="10"/>
  <c r="E122" i="10" s="1"/>
  <c r="E198" i="9"/>
  <c r="F198" i="9" s="1"/>
  <c r="E199" i="9"/>
  <c r="F199" i="9" s="1"/>
  <c r="C21" i="8"/>
  <c r="E155" i="8"/>
  <c r="E153" i="8"/>
  <c r="E156" i="8"/>
  <c r="E154" i="8"/>
  <c r="D156" i="8"/>
  <c r="D154" i="8"/>
  <c r="D157" i="8"/>
  <c r="D155" i="8"/>
  <c r="D153" i="8"/>
  <c r="E140" i="8"/>
  <c r="E138" i="8"/>
  <c r="E136" i="8"/>
  <c r="E139" i="8"/>
  <c r="E137" i="8"/>
  <c r="E135" i="8"/>
  <c r="E141" i="8" s="1"/>
  <c r="D139" i="8"/>
  <c r="D137" i="8"/>
  <c r="D140" i="8"/>
  <c r="D138" i="8"/>
  <c r="C155" i="8"/>
  <c r="C156" i="8"/>
  <c r="C152" i="8"/>
  <c r="C43" i="8"/>
  <c r="E43" i="8"/>
  <c r="D49" i="8"/>
  <c r="C53" i="8"/>
  <c r="E53" i="8"/>
  <c r="D57" i="8"/>
  <c r="D62" i="8" s="1"/>
  <c r="D77" i="8"/>
  <c r="D71" i="8"/>
  <c r="C49" i="8"/>
  <c r="E49" i="8"/>
  <c r="E90" i="7"/>
  <c r="F90" i="7" s="1"/>
  <c r="E183" i="7"/>
  <c r="E84" i="6"/>
  <c r="F84" i="6" s="1"/>
  <c r="D18" i="5"/>
  <c r="E38" i="4"/>
  <c r="F38" i="4" s="1"/>
  <c r="F56" i="4"/>
  <c r="E61" i="4"/>
  <c r="E53" i="22"/>
  <c r="E45" i="22"/>
  <c r="E39" i="22"/>
  <c r="E35" i="22"/>
  <c r="E29" i="22"/>
  <c r="E111" i="22"/>
  <c r="E54" i="22"/>
  <c r="E46" i="22"/>
  <c r="E40" i="22"/>
  <c r="E36" i="22"/>
  <c r="E30" i="22"/>
  <c r="E113" i="22" s="1"/>
  <c r="D46" i="22"/>
  <c r="D40" i="22"/>
  <c r="D30" i="22"/>
  <c r="D111" i="22"/>
  <c r="C45" i="22"/>
  <c r="D45" i="22"/>
  <c r="D223" i="18"/>
  <c r="D252" i="18"/>
  <c r="E252" i="18" s="1"/>
  <c r="C180" i="18"/>
  <c r="C145" i="18"/>
  <c r="C181" i="18" s="1"/>
  <c r="D284" i="18"/>
  <c r="E284" i="18"/>
  <c r="D306" i="18"/>
  <c r="D310" i="18" s="1"/>
  <c r="D241" i="18"/>
  <c r="E241" i="18"/>
  <c r="E260" i="18"/>
  <c r="D258" i="18"/>
  <c r="D101" i="18"/>
  <c r="D100" i="18"/>
  <c r="D98" i="18"/>
  <c r="D96" i="18"/>
  <c r="D89" i="18"/>
  <c r="D87" i="18"/>
  <c r="D85" i="18"/>
  <c r="D83" i="18"/>
  <c r="D91" i="18" s="1"/>
  <c r="D99" i="18"/>
  <c r="D95" i="18"/>
  <c r="D88" i="18"/>
  <c r="D84" i="18"/>
  <c r="D90" i="18" s="1"/>
  <c r="D97" i="18"/>
  <c r="D86" i="18"/>
  <c r="F280" i="17"/>
  <c r="D255" i="17"/>
  <c r="D254" i="17"/>
  <c r="D216" i="17"/>
  <c r="F290" i="17"/>
  <c r="C300" i="17"/>
  <c r="C263" i="17"/>
  <c r="C173" i="17"/>
  <c r="C279" i="17"/>
  <c r="E146" i="17"/>
  <c r="F146" i="17"/>
  <c r="C32" i="17"/>
  <c r="D90" i="17"/>
  <c r="E37" i="17"/>
  <c r="F37" i="17"/>
  <c r="D105" i="17"/>
  <c r="D106" i="17" s="1"/>
  <c r="E32" i="17"/>
  <c r="D286" i="17"/>
  <c r="E262" i="17"/>
  <c r="D271" i="17"/>
  <c r="D268" i="17"/>
  <c r="E261" i="17"/>
  <c r="F261" i="17" s="1"/>
  <c r="C281" i="17"/>
  <c r="C272" i="17"/>
  <c r="F181" i="17"/>
  <c r="D161" i="17"/>
  <c r="D91" i="17"/>
  <c r="D92" i="17" s="1"/>
  <c r="C194" i="17"/>
  <c r="C196" i="17" s="1"/>
  <c r="C160" i="17"/>
  <c r="C126" i="17"/>
  <c r="C266" i="17"/>
  <c r="E68" i="17"/>
  <c r="F138" i="17"/>
  <c r="C207" i="17"/>
  <c r="E103" i="17"/>
  <c r="F103" i="17" s="1"/>
  <c r="D125" i="17"/>
  <c r="D24" i="13"/>
  <c r="D20" i="13" s="1"/>
  <c r="D17" i="13"/>
  <c r="D28" i="13"/>
  <c r="F17" i="12"/>
  <c r="C20" i="12"/>
  <c r="C34" i="12" s="1"/>
  <c r="C42" i="12" s="1"/>
  <c r="D21" i="5"/>
  <c r="D35" i="5" s="1"/>
  <c r="E56" i="22"/>
  <c r="E48" i="22"/>
  <c r="D38" i="22"/>
  <c r="E55" i="22"/>
  <c r="E47" i="22"/>
  <c r="E37" i="22"/>
  <c r="E112" i="22"/>
  <c r="D102" i="18"/>
  <c r="C169" i="18"/>
  <c r="D162" i="17"/>
  <c r="C208" i="17"/>
  <c r="C210" i="17"/>
  <c r="C140" i="17"/>
  <c r="E34" i="12"/>
  <c r="F34" i="12" s="1"/>
  <c r="C141" i="17"/>
  <c r="C322" i="17" s="1"/>
  <c r="D49" i="12"/>
  <c r="E49" i="12" s="1"/>
  <c r="F49" i="12" s="1"/>
  <c r="C49" i="12"/>
  <c r="F272" i="17" l="1"/>
  <c r="E310" i="18"/>
  <c r="E126" i="17"/>
  <c r="D127" i="17"/>
  <c r="F126" i="17"/>
  <c r="D43" i="5"/>
  <c r="C39" i="22"/>
  <c r="C110" i="22"/>
  <c r="C35" i="22"/>
  <c r="C29" i="22"/>
  <c r="C53" i="22"/>
  <c r="C207" i="9"/>
  <c r="I31" i="14"/>
  <c r="D70" i="13"/>
  <c r="D72" i="13" s="1"/>
  <c r="D69" i="13" s="1"/>
  <c r="D22" i="13"/>
  <c r="D324" i="17"/>
  <c r="E278" i="17"/>
  <c r="F278" i="17" s="1"/>
  <c r="E269" i="17"/>
  <c r="F269" i="17" s="1"/>
  <c r="D270" i="17"/>
  <c r="C61" i="17"/>
  <c r="E60" i="17"/>
  <c r="F60" i="17" s="1"/>
  <c r="E48" i="17"/>
  <c r="C195" i="17"/>
  <c r="C90" i="17"/>
  <c r="C223" i="18"/>
  <c r="E222" i="18"/>
  <c r="C246" i="18"/>
  <c r="C66" i="18"/>
  <c r="C295" i="18" s="1"/>
  <c r="C294" i="18"/>
  <c r="E124" i="6"/>
  <c r="F124" i="6" s="1"/>
  <c r="E233" i="18"/>
  <c r="D253" i="18"/>
  <c r="C306" i="18"/>
  <c r="C310" i="18" s="1"/>
  <c r="E303" i="18"/>
  <c r="E105" i="17"/>
  <c r="C125" i="17"/>
  <c r="D56" i="22"/>
  <c r="D48" i="22"/>
  <c r="D113" i="22"/>
  <c r="F183" i="7"/>
  <c r="D110" i="22"/>
  <c r="D39" i="22"/>
  <c r="D35" i="22"/>
  <c r="D29" i="22"/>
  <c r="D53" i="22"/>
  <c r="E41" i="4"/>
  <c r="F41" i="4" s="1"/>
  <c r="D43" i="4"/>
  <c r="D52" i="6"/>
  <c r="E41" i="6"/>
  <c r="F41" i="6" s="1"/>
  <c r="F89" i="6"/>
  <c r="E89" i="6"/>
  <c r="C154" i="8"/>
  <c r="C157" i="8"/>
  <c r="C153" i="8"/>
  <c r="C158" i="8" s="1"/>
  <c r="E108" i="22"/>
  <c r="E110" i="22"/>
  <c r="E254" i="17"/>
  <c r="F254" i="17" s="1"/>
  <c r="E205" i="17"/>
  <c r="F205" i="17"/>
  <c r="E18" i="5"/>
  <c r="F18" i="5" s="1"/>
  <c r="C127" i="17"/>
  <c r="E160" i="17"/>
  <c r="F160" i="17" s="1"/>
  <c r="E255" i="17"/>
  <c r="E264" i="17"/>
  <c r="F264" i="17" s="1"/>
  <c r="D284" i="17"/>
  <c r="E277" i="17"/>
  <c r="F277" i="17" s="1"/>
  <c r="C288" i="17"/>
  <c r="E21" i="17"/>
  <c r="F21" i="17" s="1"/>
  <c r="D49" i="17"/>
  <c r="D104" i="17"/>
  <c r="D86" i="8"/>
  <c r="E76" i="17"/>
  <c r="F76" i="17" s="1"/>
  <c r="D77" i="17"/>
  <c r="E77" i="17" s="1"/>
  <c r="E89" i="17"/>
  <c r="F89" i="17" s="1"/>
  <c r="C91" i="17"/>
  <c r="C287" i="17"/>
  <c r="C283" i="17"/>
  <c r="C214" i="17"/>
  <c r="E311" i="17"/>
  <c r="F311" i="17"/>
  <c r="C111" i="22"/>
  <c r="C36" i="22"/>
  <c r="C54" i="22"/>
  <c r="C30" i="22"/>
  <c r="C46" i="22"/>
  <c r="D113" i="17"/>
  <c r="E31" i="17"/>
  <c r="F31" i="17" s="1"/>
  <c r="D139" i="17"/>
  <c r="E90" i="17"/>
  <c r="F44" i="6"/>
  <c r="D95" i="6"/>
  <c r="E86" i="6"/>
  <c r="F86" i="6" s="1"/>
  <c r="F24" i="9"/>
  <c r="E140" i="9"/>
  <c r="F140" i="9"/>
  <c r="F255" i="17"/>
  <c r="F68" i="17"/>
  <c r="C43" i="4"/>
  <c r="E22" i="4"/>
  <c r="F22" i="4"/>
  <c r="E95" i="7"/>
  <c r="D140" i="17"/>
  <c r="D62" i="17"/>
  <c r="E20" i="12"/>
  <c r="F20" i="12" s="1"/>
  <c r="C265" i="17"/>
  <c r="C105" i="17"/>
  <c r="F32" i="17"/>
  <c r="C62" i="17"/>
  <c r="C175" i="17"/>
  <c r="D287" i="17"/>
  <c r="D103" i="18"/>
  <c r="D158" i="8"/>
  <c r="C267" i="17"/>
  <c r="F262" i="17"/>
  <c r="F215" i="17"/>
  <c r="C254" i="18"/>
  <c r="D109" i="22"/>
  <c r="D25" i="8"/>
  <c r="D27" i="8" s="1"/>
  <c r="D15" i="8"/>
  <c r="E79" i="8"/>
  <c r="E129" i="17"/>
  <c r="F129" i="17" s="1"/>
  <c r="D172" i="17"/>
  <c r="E171" i="17"/>
  <c r="F171" i="17" s="1"/>
  <c r="E326" i="18"/>
  <c r="D330" i="18"/>
  <c r="E330" i="18" s="1"/>
  <c r="E306" i="18"/>
  <c r="D279" i="17"/>
  <c r="E279" i="17" s="1"/>
  <c r="F279" i="17" s="1"/>
  <c r="F18" i="7"/>
  <c r="F42" i="12"/>
  <c r="F48" i="17"/>
  <c r="C49" i="17"/>
  <c r="D304" i="17"/>
  <c r="C21" i="5"/>
  <c r="E206" i="17"/>
  <c r="E263" i="17"/>
  <c r="F263" i="17" s="1"/>
  <c r="C206" i="17"/>
  <c r="E159" i="17"/>
  <c r="F159" i="17" s="1"/>
  <c r="C161" i="17"/>
  <c r="E161" i="17" s="1"/>
  <c r="C284" i="17"/>
  <c r="E43" i="20"/>
  <c r="E179" i="6"/>
  <c r="F179" i="6" s="1"/>
  <c r="E15" i="8"/>
  <c r="E25" i="8"/>
  <c r="E27" i="8" s="1"/>
  <c r="E72" i="10"/>
  <c r="F72" i="10"/>
  <c r="D54" i="22"/>
  <c r="D36" i="22"/>
  <c r="E85" i="6"/>
  <c r="F85" i="6" s="1"/>
  <c r="E152" i="8"/>
  <c r="E157" i="8"/>
  <c r="F23" i="17"/>
  <c r="C76" i="18"/>
  <c r="C77" i="18" s="1"/>
  <c r="E70" i="18"/>
  <c r="D163" i="18"/>
  <c r="E163" i="18" s="1"/>
  <c r="D144" i="18"/>
  <c r="D175" i="18"/>
  <c r="E175" i="18" s="1"/>
  <c r="C33" i="19"/>
  <c r="C37" i="19"/>
  <c r="C38" i="19" s="1"/>
  <c r="C127" i="19" s="1"/>
  <c r="C129" i="19" s="1"/>
  <c r="C133" i="19" s="1"/>
  <c r="C39" i="20"/>
  <c r="E38" i="22"/>
  <c r="D272" i="17"/>
  <c r="E272" i="17" s="1"/>
  <c r="F38" i="6"/>
  <c r="E59" i="7"/>
  <c r="F59" i="7" s="1"/>
  <c r="C95" i="7"/>
  <c r="C24" i="8"/>
  <c r="C20" i="8" s="1"/>
  <c r="C17" i="8"/>
  <c r="D135" i="8"/>
  <c r="D141" i="8" s="1"/>
  <c r="D136" i="8"/>
  <c r="F127" i="9"/>
  <c r="F206" i="9"/>
  <c r="E206" i="9"/>
  <c r="C48" i="13"/>
  <c r="C42" i="13" s="1"/>
  <c r="C59" i="13"/>
  <c r="C61" i="13" s="1"/>
  <c r="C57" i="13" s="1"/>
  <c r="E200" i="17"/>
  <c r="C65" i="4"/>
  <c r="F61" i="4"/>
  <c r="E33" i="5"/>
  <c r="F33" i="5" s="1"/>
  <c r="F137" i="6"/>
  <c r="F35" i="7"/>
  <c r="D43" i="8"/>
  <c r="D53" i="8"/>
  <c r="E192" i="17"/>
  <c r="F192" i="17" s="1"/>
  <c r="D193" i="17"/>
  <c r="E198" i="17"/>
  <c r="F198" i="17" s="1"/>
  <c r="C200" i="17"/>
  <c r="E190" i="17"/>
  <c r="F190" i="17" s="1"/>
  <c r="C52" i="6"/>
  <c r="F46" i="6"/>
  <c r="E90" i="6"/>
  <c r="F90" i="6" s="1"/>
  <c r="E137" i="6"/>
  <c r="E35" i="7"/>
  <c r="C320" i="18"/>
  <c r="E320" i="18" s="1"/>
  <c r="E316" i="18"/>
  <c r="F50" i="6"/>
  <c r="C95" i="6"/>
  <c r="F91" i="6"/>
  <c r="E93" i="6"/>
  <c r="F41" i="7"/>
  <c r="F101" i="9"/>
  <c r="E200" i="9"/>
  <c r="F200" i="9" s="1"/>
  <c r="E24" i="10"/>
  <c r="F24" i="10"/>
  <c r="F100" i="15"/>
  <c r="E164" i="18"/>
  <c r="F45" i="20"/>
  <c r="C46" i="20"/>
  <c r="C98" i="22"/>
  <c r="D188" i="7"/>
  <c r="E188" i="7" s="1"/>
  <c r="F188" i="7" s="1"/>
  <c r="E24" i="9"/>
  <c r="F88" i="9"/>
  <c r="F102" i="9"/>
  <c r="F114" i="9"/>
  <c r="F141" i="9"/>
  <c r="E179" i="9"/>
  <c r="E15" i="13"/>
  <c r="E25" i="13"/>
  <c r="E27" i="13" s="1"/>
  <c r="F16" i="15"/>
  <c r="F130" i="7"/>
  <c r="C149" i="8"/>
  <c r="E59" i="13"/>
  <c r="E61" i="13" s="1"/>
  <c r="E57" i="13" s="1"/>
  <c r="E48" i="13"/>
  <c r="E42" i="13" s="1"/>
  <c r="E230" i="18"/>
  <c r="F23" i="20"/>
  <c r="E25" i="20"/>
  <c r="F25" i="20" s="1"/>
  <c r="E88" i="22"/>
  <c r="F167" i="7"/>
  <c r="E49" i="9"/>
  <c r="F49" i="9" s="1"/>
  <c r="E208" i="9"/>
  <c r="F208" i="9" s="1"/>
  <c r="E202" i="9"/>
  <c r="F202" i="9" s="1"/>
  <c r="E19" i="21"/>
  <c r="F19" i="21" s="1"/>
  <c r="F128" i="9"/>
  <c r="E114" i="10"/>
  <c r="C43" i="18"/>
  <c r="E41" i="18"/>
  <c r="E69" i="18"/>
  <c r="D210" i="18"/>
  <c r="D229" i="18"/>
  <c r="E229" i="18" s="1"/>
  <c r="E288" i="18"/>
  <c r="E120" i="10"/>
  <c r="C75" i="11"/>
  <c r="F17" i="16"/>
  <c r="F85" i="17"/>
  <c r="D65" i="18"/>
  <c r="D246" i="18" s="1"/>
  <c r="E246" i="18" s="1"/>
  <c r="D71" i="18"/>
  <c r="E71" i="18" s="1"/>
  <c r="D289" i="18"/>
  <c r="E289" i="18" s="1"/>
  <c r="D76" i="18"/>
  <c r="E290" i="18"/>
  <c r="E20" i="20"/>
  <c r="F20" i="20" s="1"/>
  <c r="F33" i="20"/>
  <c r="E36" i="20"/>
  <c r="F36" i="20" s="1"/>
  <c r="E180" i="9"/>
  <c r="E118" i="10"/>
  <c r="D43" i="11"/>
  <c r="E43" i="11" s="1"/>
  <c r="F43" i="11" s="1"/>
  <c r="E50" i="13"/>
  <c r="D239" i="17"/>
  <c r="E239" i="17" s="1"/>
  <c r="F239" i="17" s="1"/>
  <c r="E72" i="18"/>
  <c r="E75" i="18"/>
  <c r="D244" i="18"/>
  <c r="E244" i="18" s="1"/>
  <c r="E220" i="18"/>
  <c r="E276" i="18"/>
  <c r="F204" i="9"/>
  <c r="E60" i="10"/>
  <c r="E108" i="10"/>
  <c r="F29" i="11"/>
  <c r="C253" i="18"/>
  <c r="D102" i="22"/>
  <c r="D103" i="22" s="1"/>
  <c r="G33" i="14"/>
  <c r="C63" i="17" l="1"/>
  <c r="E49" i="17"/>
  <c r="D50" i="17"/>
  <c r="E24" i="13"/>
  <c r="E17" i="13"/>
  <c r="E28" i="13" s="1"/>
  <c r="E70" i="13" s="1"/>
  <c r="E72" i="13" s="1"/>
  <c r="E69" i="13" s="1"/>
  <c r="D194" i="17"/>
  <c r="E193" i="17"/>
  <c r="F193" i="17" s="1"/>
  <c r="D282" i="17"/>
  <c r="D266" i="17"/>
  <c r="E144" i="18"/>
  <c r="D168" i="18"/>
  <c r="E168" i="18" s="1"/>
  <c r="D145" i="18"/>
  <c r="D180" i="18"/>
  <c r="E180" i="18" s="1"/>
  <c r="D207" i="17"/>
  <c r="E172" i="17"/>
  <c r="F172" i="17" s="1"/>
  <c r="D173" i="17"/>
  <c r="E62" i="17"/>
  <c r="F62" i="17" s="1"/>
  <c r="D63" i="17"/>
  <c r="E63" i="17" s="1"/>
  <c r="D47" i="22"/>
  <c r="D112" i="22"/>
  <c r="D55" i="22"/>
  <c r="D37" i="22"/>
  <c r="D234" i="18"/>
  <c r="E234" i="18" s="1"/>
  <c r="E210" i="18"/>
  <c r="D211" i="18"/>
  <c r="F46" i="20"/>
  <c r="E65" i="4"/>
  <c r="F65" i="4" s="1"/>
  <c r="C75" i="4"/>
  <c r="C35" i="5"/>
  <c r="C106" i="17"/>
  <c r="F105" i="17"/>
  <c r="D141" i="17"/>
  <c r="E140" i="17"/>
  <c r="F140" i="17" s="1"/>
  <c r="E95" i="6"/>
  <c r="F125" i="17"/>
  <c r="E125" i="17"/>
  <c r="D50" i="5"/>
  <c r="F49" i="17"/>
  <c r="C50" i="17"/>
  <c r="F43" i="4"/>
  <c r="G36" i="14"/>
  <c r="G38" i="14" s="1"/>
  <c r="G40" i="14" s="1"/>
  <c r="I33" i="14"/>
  <c r="I36" i="14" s="1"/>
  <c r="I38" i="14" s="1"/>
  <c r="I40" i="14" s="1"/>
  <c r="D66" i="18"/>
  <c r="E65" i="18"/>
  <c r="D294" i="18"/>
  <c r="E294" i="18" s="1"/>
  <c r="E46" i="20"/>
  <c r="F43" i="20"/>
  <c r="C271" i="17"/>
  <c r="C268" i="17"/>
  <c r="F267" i="17"/>
  <c r="E267" i="17"/>
  <c r="C270" i="17"/>
  <c r="E214" i="17"/>
  <c r="F214" i="17" s="1"/>
  <c r="C216" i="17"/>
  <c r="C304" i="17"/>
  <c r="C209" i="17"/>
  <c r="C104" i="17"/>
  <c r="C174" i="17"/>
  <c r="C139" i="17"/>
  <c r="E61" i="17"/>
  <c r="F61" i="17" s="1"/>
  <c r="C112" i="8"/>
  <c r="C111" i="8" s="1"/>
  <c r="C28" i="8"/>
  <c r="C114" i="18"/>
  <c r="C111" i="18"/>
  <c r="C112" i="18"/>
  <c r="C109" i="18"/>
  <c r="C126" i="18"/>
  <c r="C123" i="18"/>
  <c r="C115" i="18"/>
  <c r="C125" i="18"/>
  <c r="C110" i="18"/>
  <c r="C121" i="18"/>
  <c r="C124" i="18"/>
  <c r="C122" i="18"/>
  <c r="C128" i="18" s="1"/>
  <c r="C113" i="18"/>
  <c r="C127" i="18"/>
  <c r="F284" i="17"/>
  <c r="F283" i="17"/>
  <c r="C286" i="17"/>
  <c r="E283" i="17"/>
  <c r="E270" i="17"/>
  <c r="C37" i="22"/>
  <c r="C55" i="22"/>
  <c r="C47" i="22"/>
  <c r="C112" i="22"/>
  <c r="D77" i="18"/>
  <c r="E76" i="18"/>
  <c r="D259" i="18"/>
  <c r="F95" i="6"/>
  <c r="C41" i="20"/>
  <c r="E39" i="20"/>
  <c r="E41" i="20" s="1"/>
  <c r="F39" i="20"/>
  <c r="D24" i="8"/>
  <c r="D17" i="8"/>
  <c r="C56" i="22"/>
  <c r="C113" i="22"/>
  <c r="C38" i="22"/>
  <c r="C48" i="22"/>
  <c r="C289" i="17"/>
  <c r="C291" i="17"/>
  <c r="E127" i="17"/>
  <c r="F127" i="17" s="1"/>
  <c r="D148" i="17"/>
  <c r="E148" i="17" s="1"/>
  <c r="E75" i="11"/>
  <c r="F75" i="11" s="1"/>
  <c r="F95" i="7"/>
  <c r="E21" i="8"/>
  <c r="D273" i="17"/>
  <c r="E207" i="9"/>
  <c r="F207" i="9" s="1"/>
  <c r="D20" i="8"/>
  <c r="D21" i="8"/>
  <c r="D291" i="17"/>
  <c r="E287" i="17"/>
  <c r="F287" i="17" s="1"/>
  <c r="D289" i="17"/>
  <c r="E289" i="17" s="1"/>
  <c r="E21" i="5"/>
  <c r="F21" i="5" s="1"/>
  <c r="C92" i="17"/>
  <c r="E91" i="17"/>
  <c r="F91" i="17" s="1"/>
  <c r="E284" i="17"/>
  <c r="C148" i="17"/>
  <c r="E43" i="4"/>
  <c r="E253" i="18"/>
  <c r="D254" i="18"/>
  <c r="E254" i="18" s="1"/>
  <c r="E223" i="18"/>
  <c r="C247" i="18"/>
  <c r="E288" i="17"/>
  <c r="F288" i="17" s="1"/>
  <c r="E22" i="13"/>
  <c r="E20" i="13"/>
  <c r="E21" i="13"/>
  <c r="C259" i="18"/>
  <c r="C263" i="18" s="1"/>
  <c r="E43" i="18"/>
  <c r="C44" i="18"/>
  <c r="C139" i="8"/>
  <c r="C140" i="8"/>
  <c r="C138" i="8"/>
  <c r="C137" i="8"/>
  <c r="C135" i="8"/>
  <c r="C136" i="8"/>
  <c r="F52" i="6"/>
  <c r="C162" i="17"/>
  <c r="C197" i="17" s="1"/>
  <c r="F161" i="17"/>
  <c r="E52" i="6"/>
  <c r="F200" i="17"/>
  <c r="E158" i="8"/>
  <c r="E24" i="8"/>
  <c r="E20" i="8" s="1"/>
  <c r="E17" i="8"/>
  <c r="F206" i="17"/>
  <c r="C176" i="17"/>
  <c r="F90" i="17"/>
  <c r="D105" i="18"/>
  <c r="E28" i="8" l="1"/>
  <c r="E112" i="8"/>
  <c r="E111" i="8" s="1"/>
  <c r="F139" i="17"/>
  <c r="F75" i="4"/>
  <c r="E75" i="4"/>
  <c r="D263" i="18"/>
  <c r="E259" i="18"/>
  <c r="C70" i="17"/>
  <c r="D169" i="18"/>
  <c r="E169" i="18" s="1"/>
  <c r="D181" i="18"/>
  <c r="E181" i="18" s="1"/>
  <c r="E145" i="18"/>
  <c r="C258" i="18"/>
  <c r="C99" i="18"/>
  <c r="E99" i="18" s="1"/>
  <c r="C87" i="18"/>
  <c r="E87" i="18" s="1"/>
  <c r="C97" i="18"/>
  <c r="E97" i="18" s="1"/>
  <c r="C83" i="18"/>
  <c r="C88" i="18"/>
  <c r="E88" i="18" s="1"/>
  <c r="C96" i="18"/>
  <c r="E44" i="18"/>
  <c r="C84" i="18"/>
  <c r="C98" i="18"/>
  <c r="E98" i="18" s="1"/>
  <c r="C100" i="18"/>
  <c r="E100" i="18" s="1"/>
  <c r="C86" i="18"/>
  <c r="E86" i="18" s="1"/>
  <c r="C89" i="18"/>
  <c r="E89" i="18" s="1"/>
  <c r="C85" i="18"/>
  <c r="E85" i="18" s="1"/>
  <c r="C101" i="18"/>
  <c r="E101" i="18" s="1"/>
  <c r="C95" i="18"/>
  <c r="C324" i="17"/>
  <c r="C113" i="17"/>
  <c r="E92" i="17"/>
  <c r="F92" i="17" s="1"/>
  <c r="E286" i="17"/>
  <c r="F286" i="17" s="1"/>
  <c r="F104" i="17"/>
  <c r="C141" i="8"/>
  <c r="E273" i="17"/>
  <c r="D115" i="18"/>
  <c r="E115" i="18" s="1"/>
  <c r="D114" i="18"/>
  <c r="E114" i="18" s="1"/>
  <c r="D113" i="18"/>
  <c r="E113" i="18" s="1"/>
  <c r="D112" i="18"/>
  <c r="E112" i="18" s="1"/>
  <c r="D109" i="18"/>
  <c r="E77" i="18"/>
  <c r="D124" i="18"/>
  <c r="E124" i="18" s="1"/>
  <c r="D123" i="18"/>
  <c r="E123" i="18" s="1"/>
  <c r="D126" i="18"/>
  <c r="E126" i="18" s="1"/>
  <c r="D122" i="18"/>
  <c r="D111" i="18"/>
  <c r="E111" i="18" s="1"/>
  <c r="D127" i="18"/>
  <c r="E127" i="18" s="1"/>
  <c r="D125" i="18"/>
  <c r="E125" i="18" s="1"/>
  <c r="D121" i="18"/>
  <c r="D110" i="18"/>
  <c r="C116" i="18"/>
  <c r="C117" i="18" s="1"/>
  <c r="C131" i="18" s="1"/>
  <c r="F270" i="17"/>
  <c r="E141" i="17"/>
  <c r="F141" i="17" s="1"/>
  <c r="D322" i="17"/>
  <c r="D70" i="17"/>
  <c r="E70" i="17" s="1"/>
  <c r="E50" i="17"/>
  <c r="F50" i="17" s="1"/>
  <c r="C305" i="17"/>
  <c r="F291" i="17"/>
  <c r="C99" i="8"/>
  <c r="C101" i="8" s="1"/>
  <c r="C98" i="8" s="1"/>
  <c r="C22" i="8"/>
  <c r="E66" i="18"/>
  <c r="D295" i="18"/>
  <c r="E295" i="18" s="1"/>
  <c r="D247" i="18"/>
  <c r="E247" i="18" s="1"/>
  <c r="D235" i="18"/>
  <c r="E235" i="18" s="1"/>
  <c r="E211" i="18"/>
  <c r="E266" i="17"/>
  <c r="F266" i="17" s="1"/>
  <c r="D265" i="17"/>
  <c r="E265" i="17" s="1"/>
  <c r="F265" i="17" s="1"/>
  <c r="C129" i="18"/>
  <c r="C211" i="17"/>
  <c r="D28" i="8"/>
  <c r="D112" i="8"/>
  <c r="D111" i="8" s="1"/>
  <c r="E104" i="17"/>
  <c r="F304" i="17"/>
  <c r="E282" i="17"/>
  <c r="F282" i="17" s="1"/>
  <c r="D281" i="17"/>
  <c r="E281" i="17" s="1"/>
  <c r="F281" i="17" s="1"/>
  <c r="E304" i="17"/>
  <c r="F289" i="17"/>
  <c r="E216" i="17"/>
  <c r="F216" i="17" s="1"/>
  <c r="F268" i="17"/>
  <c r="E268" i="17"/>
  <c r="C43" i="5"/>
  <c r="F35" i="5"/>
  <c r="E35" i="5"/>
  <c r="C183" i="17"/>
  <c r="C323" i="17"/>
  <c r="E162" i="17"/>
  <c r="F162" i="17" s="1"/>
  <c r="F148" i="17"/>
  <c r="E106" i="17"/>
  <c r="F106" i="17"/>
  <c r="E173" i="17"/>
  <c r="F173" i="17" s="1"/>
  <c r="D174" i="17"/>
  <c r="E174" i="17" s="1"/>
  <c r="F174" i="17" s="1"/>
  <c r="D175" i="17"/>
  <c r="E139" i="17"/>
  <c r="E291" i="17"/>
  <c r="D305" i="17"/>
  <c r="F41" i="20"/>
  <c r="C273" i="17"/>
  <c r="E271" i="17"/>
  <c r="F271" i="17" s="1"/>
  <c r="D208" i="17"/>
  <c r="E207" i="17"/>
  <c r="F207" i="17" s="1"/>
  <c r="E194" i="17"/>
  <c r="F194" i="17" s="1"/>
  <c r="D195" i="17"/>
  <c r="E195" i="17" s="1"/>
  <c r="F195" i="17" s="1"/>
  <c r="D196" i="17"/>
  <c r="F63" i="17"/>
  <c r="C325" i="17" l="1"/>
  <c r="F324" i="17"/>
  <c r="E324" i="17"/>
  <c r="C90" i="18"/>
  <c r="E90" i="18" s="1"/>
  <c r="E84" i="18"/>
  <c r="C267" i="18"/>
  <c r="E258" i="18"/>
  <c r="C264" i="18"/>
  <c r="C266" i="18" s="1"/>
  <c r="E263" i="18"/>
  <c r="D264" i="18"/>
  <c r="F273" i="17"/>
  <c r="D99" i="8"/>
  <c r="D101" i="8" s="1"/>
  <c r="D98" i="8" s="1"/>
  <c r="D22" i="8"/>
  <c r="C309" i="17"/>
  <c r="D116" i="18"/>
  <c r="E116" i="18" s="1"/>
  <c r="E110" i="18"/>
  <c r="E95" i="18"/>
  <c r="C103" i="18"/>
  <c r="E103" i="18" s="1"/>
  <c r="D129" i="18"/>
  <c r="E129" i="18" s="1"/>
  <c r="E121" i="18"/>
  <c r="C50" i="5"/>
  <c r="F43" i="5"/>
  <c r="E43" i="5"/>
  <c r="D117" i="18"/>
  <c r="E109" i="18"/>
  <c r="E305" i="17"/>
  <c r="F305" i="17" s="1"/>
  <c r="D309" i="17"/>
  <c r="E322" i="17"/>
  <c r="F322" i="17" s="1"/>
  <c r="C91" i="18"/>
  <c r="E83" i="18"/>
  <c r="F70" i="17"/>
  <c r="D128" i="18"/>
  <c r="E128" i="18" s="1"/>
  <c r="E122" i="18"/>
  <c r="E113" i="17"/>
  <c r="F113" i="17" s="1"/>
  <c r="E99" i="8"/>
  <c r="E101" i="8" s="1"/>
  <c r="E98" i="8" s="1"/>
  <c r="E22" i="8"/>
  <c r="C102" i="18"/>
  <c r="E102" i="18" s="1"/>
  <c r="E96" i="18"/>
  <c r="E196" i="17"/>
  <c r="F196" i="17" s="1"/>
  <c r="D197" i="17"/>
  <c r="E197" i="17" s="1"/>
  <c r="F197" i="17" s="1"/>
  <c r="E208" i="17"/>
  <c r="F208" i="17" s="1"/>
  <c r="D209" i="17"/>
  <c r="E209" i="17" s="1"/>
  <c r="F209" i="17" s="1"/>
  <c r="D210" i="17"/>
  <c r="D176" i="17"/>
  <c r="E175" i="17"/>
  <c r="F175" i="17" s="1"/>
  <c r="C105" i="18" l="1"/>
  <c r="E105" i="18" s="1"/>
  <c r="E91" i="18"/>
  <c r="C310" i="17"/>
  <c r="F50" i="5"/>
  <c r="E50" i="5"/>
  <c r="C268" i="18"/>
  <c r="C269" i="18"/>
  <c r="E117" i="18"/>
  <c r="D131" i="18"/>
  <c r="E131" i="18" s="1"/>
  <c r="D211" i="17"/>
  <c r="E211" i="17" s="1"/>
  <c r="F211" i="17" s="1"/>
  <c r="E210" i="17"/>
  <c r="F210" i="17" s="1"/>
  <c r="E309" i="17"/>
  <c r="F309" i="17" s="1"/>
  <c r="D310" i="17"/>
  <c r="D266" i="18"/>
  <c r="E264" i="18"/>
  <c r="E176" i="17"/>
  <c r="F176" i="17" s="1"/>
  <c r="D183" i="17"/>
  <c r="E183" i="17" s="1"/>
  <c r="F183" i="17" s="1"/>
  <c r="D323" i="17"/>
  <c r="D312" i="17" l="1"/>
  <c r="E310" i="17"/>
  <c r="C271" i="18"/>
  <c r="E266" i="18"/>
  <c r="D267" i="18"/>
  <c r="C312" i="17"/>
  <c r="F310" i="17"/>
  <c r="E323" i="17"/>
  <c r="F323" i="17" s="1"/>
  <c r="D325" i="17"/>
  <c r="E325" i="17" s="1"/>
  <c r="F325" i="17" s="1"/>
  <c r="C313" i="17" l="1"/>
  <c r="D269" i="18"/>
  <c r="E269" i="18" s="1"/>
  <c r="D268" i="18"/>
  <c r="E267" i="18"/>
  <c r="E312" i="17"/>
  <c r="F312" i="17" s="1"/>
  <c r="D313" i="17"/>
  <c r="D315" i="17" l="1"/>
  <c r="D314" i="17"/>
  <c r="E313" i="17"/>
  <c r="F313" i="17" s="1"/>
  <c r="D251" i="17"/>
  <c r="D256" i="17"/>
  <c r="D271" i="18"/>
  <c r="E271" i="18" s="1"/>
  <c r="E268" i="18"/>
  <c r="C251" i="17"/>
  <c r="C256" i="17"/>
  <c r="C314" i="17"/>
  <c r="C315" i="17"/>
  <c r="D318" i="17" l="1"/>
  <c r="E314" i="17"/>
  <c r="F314" i="17" s="1"/>
  <c r="D257" i="17"/>
  <c r="E257" i="17" s="1"/>
  <c r="E256" i="17"/>
  <c r="F256" i="17" s="1"/>
  <c r="E251" i="17"/>
  <c r="F251" i="17" s="1"/>
  <c r="C318" i="17"/>
  <c r="C257" i="17"/>
  <c r="E315" i="17"/>
  <c r="F315" i="17" s="1"/>
  <c r="E318" i="17" l="1"/>
  <c r="F318" i="17" s="1"/>
  <c r="F257" i="17"/>
</calcChain>
</file>

<file path=xl/sharedStrings.xml><?xml version="1.0" encoding="utf-8"?>
<sst xmlns="http://schemas.openxmlformats.org/spreadsheetml/2006/main" count="2333" uniqueCount="1008">
  <si>
    <t>SAINT VINCENT`S MEDICAL CENTER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</si>
  <si>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</si>
  <si>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</si>
  <si>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</si>
  <si>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</si>
  <si>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</si>
  <si>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</si>
  <si>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</si>
  <si>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</si>
  <si>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</si>
  <si>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</si>
  <si>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</si>
  <si>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</si>
  <si>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</si>
  <si>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</si>
  <si>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</si>
  <si>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</si>
  <si>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</si>
  <si>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</si>
  <si>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</si>
  <si>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</si>
  <si>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</si>
  <si>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</si>
  <si>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</si>
  <si>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</si>
  <si>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</si>
  <si>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</si>
  <si>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</si>
  <si>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</si>
  <si>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</si>
  <si>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</si>
  <si>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</si>
  <si>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</si>
  <si>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</si>
  <si>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</si>
  <si>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</si>
  <si>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</si>
  <si>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</si>
  <si>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</si>
  <si>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</si>
  <si>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</si>
  <si>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</si>
  <si>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</si>
  <si>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</si>
  <si>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</si>
  <si>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</si>
  <si>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</si>
  <si>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</si>
  <si>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</si>
  <si>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</si>
  <si>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</si>
  <si>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</si>
  <si>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</si>
  <si>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</si>
  <si>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</si>
  <si>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</si>
  <si>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</si>
  <si>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</si>
  <si>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</si>
  <si>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</si>
  <si>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</si>
  <si>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</si>
  <si>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</si>
  <si>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</si>
  <si>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</si>
  <si>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</si>
  <si>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</si>
  <si>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</si>
  <si>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</si>
  <si>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</si>
  <si>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</si>
  <si>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</si>
  <si>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</si>
  <si>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</si>
  <si>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</si>
  <si>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</si>
  <si>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</si>
  <si>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</si>
  <si>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</si>
  <si>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</si>
  <si>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</si>
  <si>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</si>
  <si>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</si>
  <si>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</si>
  <si>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</si>
  <si>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</si>
  <si>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</si>
  <si>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</si>
  <si>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</si>
  <si>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</si>
  <si>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</si>
  <si>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</si>
  <si>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</si>
  <si>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</si>
  <si>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</si>
  <si>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</si>
  <si>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</si>
  <si>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</si>
  <si>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</si>
  <si>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</si>
  <si>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</si>
  <si>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</si>
  <si>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</si>
  <si>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</si>
  <si>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</si>
  <si>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</si>
  <si>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</si>
  <si>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</si>
  <si>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</si>
  <si>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</si>
  <si>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</si>
  <si>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</si>
  <si>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</si>
  <si>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</si>
  <si>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</si>
  <si>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</si>
  <si>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</si>
  <si>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</si>
  <si>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</si>
  <si>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</si>
  <si>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</si>
  <si>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</si>
  <si>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</si>
  <si>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</si>
  <si>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</si>
  <si>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</si>
  <si>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</si>
  <si>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</si>
  <si>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</si>
  <si>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</si>
  <si>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</si>
  <si>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</si>
  <si>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</si>
  <si>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</si>
  <si>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</si>
  <si>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</si>
  <si>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</si>
  <si>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</si>
  <si>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</si>
  <si>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</si>
  <si>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</si>
  <si>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</si>
  <si>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</si>
  <si>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</si>
  <si>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</si>
  <si>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</si>
  <si>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</si>
  <si>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</si>
  <si>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</si>
  <si>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</si>
  <si>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</si>
  <si>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</si>
  <si>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</si>
  <si>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</si>
  <si>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</si>
  <si>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</si>
  <si>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</si>
  <si>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</si>
  <si>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</si>
  <si>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</si>
  <si>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</si>
  <si>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</si>
  <si>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</si>
  <si>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</si>
  <si>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</si>
  <si>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</si>
  <si>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</si>
  <si>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</si>
  <si>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</si>
  <si>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</si>
  <si>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</si>
  <si>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</si>
  <si>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</si>
  <si>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</si>
  <si>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</si>
  <si>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</si>
  <si>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</si>
  <si>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</si>
  <si>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</si>
  <si>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</si>
  <si>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</si>
  <si>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</si>
  <si>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</si>
  <si>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</si>
  <si>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</si>
  <si>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</si>
  <si>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</si>
  <si>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</si>
  <si>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</si>
  <si>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</si>
  <si>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</si>
  <si>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</si>
  <si>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</si>
  <si>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</si>
  <si>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</si>
  <si>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</si>
  <si>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</si>
  <si>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</si>
  <si>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</si>
  <si>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</si>
  <si>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</si>
  <si>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</si>
  <si>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</si>
  <si>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</si>
  <si>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</si>
  <si>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</si>
  <si>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</si>
  <si>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</si>
  <si>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</si>
  <si>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</si>
  <si>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</si>
  <si>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</si>
  <si>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</si>
  <si>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</si>
  <si>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</si>
  <si>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</si>
  <si>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</si>
  <si>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</si>
  <si>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</si>
  <si>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</si>
  <si>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</si>
  <si>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</si>
  <si>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</si>
  <si>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</si>
  <si>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</si>
  <si>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</si>
  <si>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</si>
  <si>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</si>
  <si>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</si>
  <si>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</si>
  <si>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</si>
  <si>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</si>
  <si>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</si>
  <si>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</si>
  <si>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</si>
  <si>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</si>
  <si>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</si>
  <si>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</si>
  <si>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</si>
  <si>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</si>
  <si>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</si>
  <si>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</si>
  <si>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</si>
  <si>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</si>
  <si>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</si>
  <si>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</si>
  <si>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</si>
  <si>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</si>
  <si>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</si>
  <si>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</si>
  <si>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</si>
  <si>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</si>
  <si>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</si>
  <si>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</si>
  <si>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</si>
  <si>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</si>
  <si>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</si>
  <si>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</si>
  <si>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</si>
  <si>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</si>
  <si>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</si>
  <si>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</si>
  <si>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</si>
  <si>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</si>
  <si>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</si>
  <si>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</si>
  <si>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</si>
  <si>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</si>
  <si>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</si>
  <si>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</si>
  <si>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</si>
  <si>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</si>
  <si>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</si>
  <si>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</si>
  <si>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</si>
  <si>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</si>
  <si>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</si>
  <si>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</si>
  <si>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</si>
  <si>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</si>
  <si>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</si>
  <si>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</si>
  <si>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</si>
  <si>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</si>
  <si>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</si>
  <si>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</si>
  <si>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</si>
  <si>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</si>
  <si>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</si>
  <si>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</si>
  <si>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</si>
  <si>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</si>
  <si>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</si>
  <si>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</si>
  <si>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</si>
  <si>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</si>
  <si>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</si>
  <si>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</si>
  <si>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</si>
  <si>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</si>
  <si>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</si>
  <si>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</si>
  <si>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</si>
  <si>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</si>
  <si>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</si>
  <si>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</si>
  <si>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</si>
  <si>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</si>
  <si>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</si>
  <si>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</si>
  <si>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</si>
  <si>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</si>
  <si>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</si>
  <si>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</si>
  <si>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</si>
  <si>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</si>
  <si>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</si>
  <si>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</si>
  <si>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</si>
  <si>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</si>
  <si>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</si>
  <si>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</si>
  <si>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</si>
  <si>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</si>
  <si>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</si>
  <si>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</si>
  <si>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</si>
  <si>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</si>
  <si>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</si>
  <si>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</si>
  <si>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</si>
  <si>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</si>
  <si>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</si>
  <si>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</si>
  <si>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</si>
  <si>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</si>
  <si>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</si>
  <si>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</si>
  <si>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</si>
  <si>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</si>
  <si>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</si>
  <si>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</si>
  <si>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</si>
  <si>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</si>
  <si>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</si>
  <si>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</si>
  <si>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</si>
  <si>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</si>
  <si>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</si>
  <si>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</si>
  <si>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</si>
  <si>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</si>
  <si>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</si>
  <si>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</si>
  <si>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</si>
  <si>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</si>
  <si>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</si>
  <si>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</si>
  <si>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</si>
  <si>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</si>
  <si>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</si>
  <si>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</si>
  <si>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</si>
  <si>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</si>
  <si>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</si>
  <si>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</si>
  <si>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</si>
  <si>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</si>
  <si>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</si>
  <si>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</si>
  <si>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</si>
  <si>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</si>
  <si>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</si>
  <si>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</si>
  <si>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</si>
  <si>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</si>
  <si>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</si>
  <si>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</si>
  <si>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</si>
  <si>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</si>
  <si>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</si>
  <si>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</si>
  <si>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</si>
  <si>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</si>
  <si>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</si>
  <si>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</si>
  <si>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</si>
  <si>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</si>
  <si>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</si>
  <si>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</si>
  <si>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</si>
  <si>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</si>
  <si>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</si>
  <si>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</si>
  <si>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</si>
  <si>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</si>
  <si>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</si>
  <si>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</si>
  <si>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</si>
  <si>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</si>
  <si>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</si>
  <si>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</si>
  <si>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</si>
  <si>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</si>
  <si>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</si>
  <si>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</si>
  <si>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</si>
  <si>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</si>
  <si>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</si>
  <si>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</si>
  <si>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</si>
  <si>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</si>
  <si>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</si>
  <si>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</si>
  <si>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</si>
  <si>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</si>
  <si>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</si>
  <si>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</si>
  <si>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</si>
  <si>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</si>
  <si>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</si>
  <si>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</si>
  <si>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</si>
  <si>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</si>
  <si>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</si>
  <si>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</si>
  <si>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</si>
  <si>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</si>
  <si>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</si>
  <si>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</si>
  <si>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</si>
  <si>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</si>
  <si>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</si>
  <si>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</si>
  <si>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</si>
  <si>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</si>
  <si>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</si>
  <si>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</si>
  <si>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</si>
  <si>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</si>
  <si>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</si>
  <si>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</si>
  <si>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</si>
  <si>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</si>
  <si>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</si>
  <si>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</si>
  <si>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</si>
  <si>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</si>
  <si>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</si>
  <si>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</si>
  <si>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</si>
  <si>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</si>
  <si>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</si>
  <si>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</si>
  <si>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</si>
  <si>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</si>
  <si>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</si>
  <si>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</si>
  <si>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</si>
  <si>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</si>
  <si>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</si>
  <si>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</si>
  <si>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</si>
  <si>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</si>
  <si>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</si>
  <si>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</si>
  <si>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</si>
  <si>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</si>
  <si>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</si>
  <si>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</si>
  <si>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</si>
  <si>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</si>
  <si>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</si>
  <si>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</si>
  <si>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</si>
  <si>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</si>
  <si>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</si>
  <si>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</si>
  <si>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</si>
  <si>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</si>
  <si>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</si>
  <si>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</si>
  <si>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</si>
  <si>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</si>
  <si>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</si>
  <si>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</si>
  <si>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</si>
  <si>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</si>
  <si>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</si>
  <si>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</si>
  <si>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</si>
  <si>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</si>
  <si>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</si>
  <si>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</si>
  <si>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</si>
  <si>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</si>
  <si>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</si>
  <si>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</si>
  <si>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</si>
  <si>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</si>
  <si>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ST VINCENTS HEALTH SERVICES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</si>
  <si>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</si>
  <si>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</si>
  <si>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</si>
  <si>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</si>
  <si>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</si>
  <si>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</si>
  <si>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</si>
  <si>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</si>
  <si>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</si>
  <si>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</si>
  <si>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</si>
  <si>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</si>
  <si>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</si>
  <si>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</si>
  <si>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</si>
  <si>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</si>
  <si>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</si>
  <si>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</si>
  <si>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</si>
  <si>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</si>
  <si>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</si>
  <si>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</si>
  <si>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</si>
  <si>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</si>
  <si>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</si>
  <si>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</si>
  <si>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</si>
  <si>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</si>
  <si>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</si>
  <si>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</si>
  <si>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</si>
  <si>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</si>
  <si>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</si>
  <si>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</si>
  <si>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</si>
  <si>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</si>
  <si>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</si>
  <si>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</si>
  <si>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</si>
  <si>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</si>
  <si>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</si>
  <si>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</si>
  <si>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</si>
  <si>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</si>
  <si>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</si>
  <si>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</si>
  <si>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</si>
  <si>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</si>
  <si>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</si>
  <si>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</si>
  <si>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</si>
  <si>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</si>
  <si>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</si>
  <si>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</si>
  <si>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</si>
  <si>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</si>
  <si>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</si>
  <si>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</si>
  <si>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</si>
  <si>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</si>
  <si>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</si>
  <si>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</si>
  <si>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</si>
  <si>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</si>
  <si>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</si>
  <si>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</si>
  <si>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</si>
  <si>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</si>
  <si>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</si>
  <si>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</si>
  <si>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</si>
  <si>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</si>
  <si>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</si>
  <si>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</si>
  <si>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</si>
  <si>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</si>
  <si>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</si>
  <si>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</si>
  <si>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</si>
  <si>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</si>
  <si>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</si>
  <si>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</si>
  <si>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</si>
  <si>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</si>
  <si>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</si>
  <si>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</si>
  <si>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</si>
  <si>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</si>
  <si>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</si>
  <si>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</si>
  <si>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</si>
  <si>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</si>
  <si>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</si>
  <si>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</si>
  <si>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</si>
  <si>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</si>
  <si>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</si>
  <si>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</si>
  <si>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</si>
  <si>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</si>
  <si>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</si>
  <si>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</si>
  <si>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</si>
  <si>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</si>
  <si>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</si>
  <si>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</si>
  <si>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</si>
  <si>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</si>
  <si>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</si>
  <si>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</si>
  <si>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</si>
  <si>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</si>
  <si>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</si>
  <si>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</si>
  <si>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</si>
  <si>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</si>
  <si>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</si>
  <si>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</si>
  <si>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</si>
  <si>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</si>
  <si>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St. Vincents Medical Center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</si>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</sst>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activeCell="M14" sqref="M14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654000</v>
      </c>
      <c r="D13" s="22">
        <v>529000</v>
      </c>
      <c r="E13" s="22">
        <f t="shared" ref="E13:E22" si="0">D13-C13</f>
        <v>-125000</v>
      </c>
      <c r="F13" s="23">
        <f t="shared" ref="F13:F22" si="1">IF(C13=0,0,E13/C13)</f>
        <v>-0.19113149847094801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61867000</v>
      </c>
      <c r="D15" s="22">
        <v>60164000</v>
      </c>
      <c r="E15" s="22">
        <f t="shared" si="0"/>
        <v>-1703000</v>
      </c>
      <c r="F15" s="23">
        <f t="shared" si="1"/>
        <v>-2.752679134271906E-2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5579000</v>
      </c>
      <c r="D17" s="22">
        <v>36604000</v>
      </c>
      <c r="E17" s="22">
        <f t="shared" si="0"/>
        <v>31025000</v>
      </c>
      <c r="F17" s="23">
        <f t="shared" si="1"/>
        <v>5.5610324430901592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4081000</v>
      </c>
      <c r="D19" s="22">
        <v>4341000</v>
      </c>
      <c r="E19" s="22">
        <f t="shared" si="0"/>
        <v>260000</v>
      </c>
      <c r="F19" s="23">
        <f t="shared" si="1"/>
        <v>6.3709875030629748E-2</v>
      </c>
    </row>
    <row r="20" spans="1:11" ht="24" customHeight="1" x14ac:dyDescent="0.2">
      <c r="A20" s="20">
        <v>8</v>
      </c>
      <c r="B20" s="21" t="s">
        <v>23</v>
      </c>
      <c r="C20" s="22">
        <v>2778000</v>
      </c>
      <c r="D20" s="22">
        <v>3026000</v>
      </c>
      <c r="E20" s="22">
        <f t="shared" si="0"/>
        <v>248000</v>
      </c>
      <c r="F20" s="23">
        <f t="shared" si="1"/>
        <v>8.9272858171346295E-2</v>
      </c>
    </row>
    <row r="21" spans="1:11" ht="24" customHeight="1" x14ac:dyDescent="0.2">
      <c r="A21" s="20">
        <v>9</v>
      </c>
      <c r="B21" s="21" t="s">
        <v>24</v>
      </c>
      <c r="C21" s="22">
        <v>3955000</v>
      </c>
      <c r="D21" s="22">
        <v>3289000</v>
      </c>
      <c r="E21" s="22">
        <f t="shared" si="0"/>
        <v>-666000</v>
      </c>
      <c r="F21" s="23">
        <f t="shared" si="1"/>
        <v>-0.16839443742098609</v>
      </c>
    </row>
    <row r="22" spans="1:11" ht="24" customHeight="1" x14ac:dyDescent="0.25">
      <c r="A22" s="24"/>
      <c r="B22" s="25" t="s">
        <v>25</v>
      </c>
      <c r="C22" s="26">
        <f>SUM(C13:C21)</f>
        <v>78914000</v>
      </c>
      <c r="D22" s="26">
        <f>SUM(D13:D21)</f>
        <v>107953000</v>
      </c>
      <c r="E22" s="26">
        <f t="shared" si="0"/>
        <v>29039000</v>
      </c>
      <c r="F22" s="27">
        <f t="shared" si="1"/>
        <v>0.3679828674252984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290000</v>
      </c>
      <c r="D28" s="22">
        <v>281000</v>
      </c>
      <c r="E28" s="22">
        <f>D28-C28</f>
        <v>-9000</v>
      </c>
      <c r="F28" s="23">
        <f>IF(C28=0,0,E28/C28)</f>
        <v>-3.1034482758620689E-2</v>
      </c>
    </row>
    <row r="29" spans="1:11" ht="24" customHeight="1" x14ac:dyDescent="0.25">
      <c r="A29" s="24"/>
      <c r="B29" s="25" t="s">
        <v>32</v>
      </c>
      <c r="C29" s="26">
        <f>SUM(C25:C28)</f>
        <v>290000</v>
      </c>
      <c r="D29" s="26">
        <f>SUM(D25:D28)</f>
        <v>281000</v>
      </c>
      <c r="E29" s="26">
        <f>D29-C29</f>
        <v>-9000</v>
      </c>
      <c r="F29" s="27">
        <f>IF(C29=0,0,E29/C29)</f>
        <v>-3.1034482758620689E-2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21811000</v>
      </c>
      <c r="D31" s="22">
        <v>21792000</v>
      </c>
      <c r="E31" s="22">
        <f>D31-C31</f>
        <v>-19000</v>
      </c>
      <c r="F31" s="23">
        <f>IF(C31=0,0,E31/C31)</f>
        <v>-8.7112007702535416E-4</v>
      </c>
    </row>
    <row r="32" spans="1:11" ht="24" customHeight="1" x14ac:dyDescent="0.2">
      <c r="A32" s="20">
        <v>6</v>
      </c>
      <c r="B32" s="21" t="s">
        <v>34</v>
      </c>
      <c r="C32" s="22">
        <v>351018000</v>
      </c>
      <c r="D32" s="22">
        <v>283140000</v>
      </c>
      <c r="E32" s="22">
        <f>D32-C32</f>
        <v>-67878000</v>
      </c>
      <c r="F32" s="23">
        <f>IF(C32=0,0,E32/C32)</f>
        <v>-0.1933746987333983</v>
      </c>
    </row>
    <row r="33" spans="1:8" ht="24" customHeight="1" x14ac:dyDescent="0.2">
      <c r="A33" s="20">
        <v>7</v>
      </c>
      <c r="B33" s="21" t="s">
        <v>35</v>
      </c>
      <c r="C33" s="22">
        <v>44314000</v>
      </c>
      <c r="D33" s="22">
        <v>35732000</v>
      </c>
      <c r="E33" s="22">
        <f>D33-C33</f>
        <v>-8582000</v>
      </c>
      <c r="F33" s="23">
        <f>IF(C33=0,0,E33/C33)</f>
        <v>-0.19366340208511984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434189000</v>
      </c>
      <c r="D36" s="22">
        <v>441826000</v>
      </c>
      <c r="E36" s="22">
        <f>D36-C36</f>
        <v>7637000</v>
      </c>
      <c r="F36" s="23">
        <f>IF(C36=0,0,E36/C36)</f>
        <v>1.7589114417914779E-2</v>
      </c>
    </row>
    <row r="37" spans="1:8" ht="24" customHeight="1" x14ac:dyDescent="0.2">
      <c r="A37" s="20">
        <v>2</v>
      </c>
      <c r="B37" s="21" t="s">
        <v>39</v>
      </c>
      <c r="C37" s="22">
        <v>258287000</v>
      </c>
      <c r="D37" s="22">
        <v>276770000</v>
      </c>
      <c r="E37" s="22">
        <f>D37-C37</f>
        <v>18483000</v>
      </c>
      <c r="F37" s="23">
        <f>IF(C37=0,0,E37/C37)</f>
        <v>7.155993139414682E-2</v>
      </c>
    </row>
    <row r="38" spans="1:8" ht="24" customHeight="1" x14ac:dyDescent="0.25">
      <c r="A38" s="24"/>
      <c r="B38" s="25" t="s">
        <v>40</v>
      </c>
      <c r="C38" s="26">
        <f>C36-C37</f>
        <v>175902000</v>
      </c>
      <c r="D38" s="26">
        <f>D36-D37</f>
        <v>165056000</v>
      </c>
      <c r="E38" s="26">
        <f>D38-C38</f>
        <v>-10846000</v>
      </c>
      <c r="F38" s="27">
        <f>IF(C38=0,0,E38/C38)</f>
        <v>-6.1659333037714183E-2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1646000</v>
      </c>
      <c r="D40" s="22">
        <v>6387000</v>
      </c>
      <c r="E40" s="22">
        <f>D40-C40</f>
        <v>4741000</v>
      </c>
      <c r="F40" s="23">
        <f>IF(C40=0,0,E40/C40)</f>
        <v>2.8803159173754556</v>
      </c>
    </row>
    <row r="41" spans="1:8" ht="24" customHeight="1" x14ac:dyDescent="0.25">
      <c r="A41" s="24"/>
      <c r="B41" s="25" t="s">
        <v>42</v>
      </c>
      <c r="C41" s="26">
        <f>+C38+C40</f>
        <v>177548000</v>
      </c>
      <c r="D41" s="26">
        <f>+D38+D40</f>
        <v>171443000</v>
      </c>
      <c r="E41" s="26">
        <f>D41-C41</f>
        <v>-6105000</v>
      </c>
      <c r="F41" s="27">
        <f>IF(C41=0,0,E41/C41)</f>
        <v>-3.4385067700002256E-2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673895000</v>
      </c>
      <c r="D43" s="26">
        <f>D22+D29+D31+D32+D33+D41</f>
        <v>620341000</v>
      </c>
      <c r="E43" s="26">
        <f>D43-C43</f>
        <v>-53554000</v>
      </c>
      <c r="F43" s="27">
        <f>IF(C43=0,0,E43/C43)</f>
        <v>-7.9469353534304302E-2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19930000</v>
      </c>
      <c r="D49" s="22">
        <v>16818000</v>
      </c>
      <c r="E49" s="22">
        <f t="shared" ref="E49:E56" si="2">D49-C49</f>
        <v>-3112000</v>
      </c>
      <c r="F49" s="23">
        <f t="shared" ref="F49:F56" si="3">IF(C49=0,0,E49/C49)</f>
        <v>-0.15614651279478173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23808000</v>
      </c>
      <c r="D50" s="22">
        <v>18444000</v>
      </c>
      <c r="E50" s="22">
        <f t="shared" si="2"/>
        <v>-5364000</v>
      </c>
      <c r="F50" s="23">
        <f t="shared" si="3"/>
        <v>-0.22530241935483872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10642000</v>
      </c>
      <c r="D51" s="22">
        <v>9476000</v>
      </c>
      <c r="E51" s="22">
        <f t="shared" si="2"/>
        <v>-1166000</v>
      </c>
      <c r="F51" s="23">
        <f t="shared" si="3"/>
        <v>-0.10956587107686525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885000</v>
      </c>
      <c r="D53" s="22">
        <v>1614000</v>
      </c>
      <c r="E53" s="22">
        <f t="shared" si="2"/>
        <v>729000</v>
      </c>
      <c r="F53" s="23">
        <f t="shared" si="3"/>
        <v>0.82372881355932204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55265000</v>
      </c>
      <c r="D56" s="26">
        <f>SUM(D49:D55)</f>
        <v>46352000</v>
      </c>
      <c r="E56" s="26">
        <f t="shared" si="2"/>
        <v>-8913000</v>
      </c>
      <c r="F56" s="27">
        <f t="shared" si="3"/>
        <v>-0.16127748122681626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56503000</v>
      </c>
      <c r="D59" s="22">
        <v>54935000</v>
      </c>
      <c r="E59" s="22">
        <f>D59-C59</f>
        <v>-1568000</v>
      </c>
      <c r="F59" s="23">
        <f>IF(C59=0,0,E59/C59)</f>
        <v>-2.7750738898819533E-2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56503000</v>
      </c>
      <c r="D61" s="26">
        <f>SUM(D59:D60)</f>
        <v>54935000</v>
      </c>
      <c r="E61" s="26">
        <f>D61-C61</f>
        <v>-1568000</v>
      </c>
      <c r="F61" s="27">
        <f>IF(C61=0,0,E61/C61)</f>
        <v>-2.7750738898819533E-2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4978000</v>
      </c>
      <c r="D63" s="22">
        <v>4069000</v>
      </c>
      <c r="E63" s="22">
        <f>D63-C63</f>
        <v>-909000</v>
      </c>
      <c r="F63" s="23">
        <f>IF(C63=0,0,E63/C63)</f>
        <v>-0.18260345520289273</v>
      </c>
    </row>
    <row r="64" spans="1:6" ht="24" customHeight="1" x14ac:dyDescent="0.2">
      <c r="A64" s="20">
        <v>4</v>
      </c>
      <c r="B64" s="21" t="s">
        <v>60</v>
      </c>
      <c r="C64" s="22">
        <v>12176000</v>
      </c>
      <c r="D64" s="22">
        <v>12545000</v>
      </c>
      <c r="E64" s="22">
        <f>D64-C64</f>
        <v>369000</v>
      </c>
      <c r="F64" s="23">
        <f>IF(C64=0,0,E64/C64)</f>
        <v>3.0305519053876479E-2</v>
      </c>
    </row>
    <row r="65" spans="1:6" ht="24" customHeight="1" x14ac:dyDescent="0.25">
      <c r="A65" s="24"/>
      <c r="B65" s="25" t="s">
        <v>61</v>
      </c>
      <c r="C65" s="26">
        <f>SUM(C61:C64)</f>
        <v>73657000</v>
      </c>
      <c r="D65" s="26">
        <f>SUM(D61:D64)</f>
        <v>71549000</v>
      </c>
      <c r="E65" s="26">
        <f>D65-C65</f>
        <v>-2108000</v>
      </c>
      <c r="F65" s="27">
        <f>IF(C65=0,0,E65/C65)</f>
        <v>-2.8619140068153741E-2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522872000</v>
      </c>
      <c r="D70" s="22">
        <v>480367000</v>
      </c>
      <c r="E70" s="22">
        <f>D70-C70</f>
        <v>-42505000</v>
      </c>
      <c r="F70" s="23">
        <f>IF(C70=0,0,E70/C70)</f>
        <v>-8.1291405927263263E-2</v>
      </c>
    </row>
    <row r="71" spans="1:6" ht="24" customHeight="1" x14ac:dyDescent="0.2">
      <c r="A71" s="20">
        <v>2</v>
      </c>
      <c r="B71" s="21" t="s">
        <v>65</v>
      </c>
      <c r="C71" s="22">
        <v>12248000</v>
      </c>
      <c r="D71" s="22">
        <v>12151000</v>
      </c>
      <c r="E71" s="22">
        <f>D71-C71</f>
        <v>-97000</v>
      </c>
      <c r="F71" s="23">
        <f>IF(C71=0,0,E71/C71)</f>
        <v>-7.9196603527106474E-3</v>
      </c>
    </row>
    <row r="72" spans="1:6" ht="24" customHeight="1" x14ac:dyDescent="0.2">
      <c r="A72" s="20">
        <v>3</v>
      </c>
      <c r="B72" s="21" t="s">
        <v>66</v>
      </c>
      <c r="C72" s="22">
        <v>9853000</v>
      </c>
      <c r="D72" s="22">
        <v>9922000</v>
      </c>
      <c r="E72" s="22">
        <f>D72-C72</f>
        <v>69000</v>
      </c>
      <c r="F72" s="23">
        <f>IF(C72=0,0,E72/C72)</f>
        <v>7.002943266010352E-3</v>
      </c>
    </row>
    <row r="73" spans="1:6" ht="24" customHeight="1" x14ac:dyDescent="0.25">
      <c r="A73" s="20"/>
      <c r="B73" s="25" t="s">
        <v>67</v>
      </c>
      <c r="C73" s="26">
        <f>SUM(C70:C72)</f>
        <v>544973000</v>
      </c>
      <c r="D73" s="26">
        <f>SUM(D70:D72)</f>
        <v>502440000</v>
      </c>
      <c r="E73" s="26">
        <f>D73-C73</f>
        <v>-42533000</v>
      </c>
      <c r="F73" s="27">
        <f>IF(C73=0,0,E73/C73)</f>
        <v>-7.8046068337330479E-2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673895000</v>
      </c>
      <c r="D75" s="26">
        <f>D56+D65+D67+D73</f>
        <v>620341000</v>
      </c>
      <c r="E75" s="26">
        <f>D75-C75</f>
        <v>-53554000</v>
      </c>
      <c r="F75" s="27">
        <f>IF(C75=0,0,E75/C75)</f>
        <v>-7.9469353534304302E-2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FILING&amp;RSAINT VINCENT`S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tabSelected="1" zoomScale="70" zoomScaleSheetLayoutView="75" workbookViewId="0">
      <selection activeCell="M14" sqref="M14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433357000</v>
      </c>
      <c r="D11" s="76">
        <v>431702000</v>
      </c>
      <c r="E11" s="76">
        <v>442387000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41260000</v>
      </c>
      <c r="D12" s="185">
        <v>48756000</v>
      </c>
      <c r="E12" s="185">
        <v>46108000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474617000</v>
      </c>
      <c r="D13" s="76">
        <f>+D11+D12</f>
        <v>480458000</v>
      </c>
      <c r="E13" s="76">
        <f>+E11+E12</f>
        <v>488495000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456701000</v>
      </c>
      <c r="D14" s="185">
        <v>464057000</v>
      </c>
      <c r="E14" s="185">
        <v>508201000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17916000</v>
      </c>
      <c r="D15" s="76">
        <f>+D13-D14</f>
        <v>16401000</v>
      </c>
      <c r="E15" s="76">
        <f>+E13-E14</f>
        <v>-19706000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27179000</v>
      </c>
      <c r="D16" s="185">
        <v>25040000</v>
      </c>
      <c r="E16" s="185">
        <v>-13177000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45095000</v>
      </c>
      <c r="D17" s="76">
        <f>D15+D16</f>
        <v>41441000</v>
      </c>
      <c r="E17" s="76">
        <f>E15+E16</f>
        <v>-32883000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3.5703752122376427E-2</v>
      </c>
      <c r="D20" s="189">
        <f>IF(+D27=0,0,+D24/+D27)</f>
        <v>3.2445232226438088E-2</v>
      </c>
      <c r="E20" s="189">
        <f>IF(+E27=0,0,+E24/+E27)</f>
        <v>-4.1458560374317825E-2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5.4163444905898014E-2</v>
      </c>
      <c r="D21" s="189">
        <f>IF(+D27=0,0,+D26/+D27)</f>
        <v>4.953530973416314E-2</v>
      </c>
      <c r="E21" s="189">
        <f>IF(+E27=0,0,+E26/+E27)</f>
        <v>-2.772249315195301E-2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8.9867197028274434E-2</v>
      </c>
      <c r="D22" s="189">
        <f>IF(+D27=0,0,+D28/+D27)</f>
        <v>8.1980541960601228E-2</v>
      </c>
      <c r="E22" s="189">
        <f>IF(+E27=0,0,+E28/+E27)</f>
        <v>-6.9181053526270839E-2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17916000</v>
      </c>
      <c r="D24" s="76">
        <f>+D15</f>
        <v>16401000</v>
      </c>
      <c r="E24" s="76">
        <f>+E15</f>
        <v>-19706000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474617000</v>
      </c>
      <c r="D25" s="76">
        <f>+D13</f>
        <v>480458000</v>
      </c>
      <c r="E25" s="76">
        <f>+E13</f>
        <v>488495000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27179000</v>
      </c>
      <c r="D26" s="76">
        <f>+D16</f>
        <v>25040000</v>
      </c>
      <c r="E26" s="76">
        <f>+E16</f>
        <v>-13177000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501796000</v>
      </c>
      <c r="D27" s="76">
        <f>SUM(D25:D26)</f>
        <v>505498000</v>
      </c>
      <c r="E27" s="76">
        <f>SUM(E25:E26)</f>
        <v>475318000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45095000</v>
      </c>
      <c r="D28" s="76">
        <f>+D17</f>
        <v>41441000</v>
      </c>
      <c r="E28" s="76">
        <f>+E17</f>
        <v>-32883000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569055000</v>
      </c>
      <c r="D31" s="76">
        <v>596405000</v>
      </c>
      <c r="E31" s="76">
        <v>533334000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596123000</v>
      </c>
      <c r="D32" s="76">
        <v>624918000</v>
      </c>
      <c r="E32" s="76">
        <v>561618000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31797000</v>
      </c>
      <c r="D33" s="76">
        <f>+D32-C32</f>
        <v>28795000</v>
      </c>
      <c r="E33" s="76">
        <f>+E32-D32</f>
        <v>-63300000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1.0563</v>
      </c>
      <c r="D34" s="193">
        <f>IF(C32=0,0,+D33/C32)</f>
        <v>4.8303789654148555E-2</v>
      </c>
      <c r="E34" s="193">
        <f>IF(D32=0,0,+E33/D32)</f>
        <v>-0.10129328967960596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1.1834019546073935</v>
      </c>
      <c r="D38" s="338">
        <f>IF(+D40=0,0,+D39/+D40)</f>
        <v>1.2910278964563962</v>
      </c>
      <c r="E38" s="338">
        <f>IF(+E40=0,0,+E39/+E40)</f>
        <v>1.5423630939013826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80766000</v>
      </c>
      <c r="D39" s="341">
        <v>92466000</v>
      </c>
      <c r="E39" s="341">
        <v>96154000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68249000</v>
      </c>
      <c r="D40" s="341">
        <v>71622000</v>
      </c>
      <c r="E40" s="341">
        <v>62342000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4.2422330367850067</v>
      </c>
      <c r="D42" s="343">
        <f>IF((D48/365)=0,0,+D45/(D48/365))</f>
        <v>2.7674704469998965</v>
      </c>
      <c r="E42" s="343">
        <f>IF((E48/365)=0,0,+E45/(E48/365))</f>
        <v>5.6476596221994191</v>
      </c>
    </row>
    <row r="43" spans="1:14" ht="24" customHeight="1" x14ac:dyDescent="0.2">
      <c r="A43" s="339">
        <v>5</v>
      </c>
      <c r="B43" s="344" t="s">
        <v>16</v>
      </c>
      <c r="C43" s="345">
        <v>5001000</v>
      </c>
      <c r="D43" s="345">
        <v>3300000</v>
      </c>
      <c r="E43" s="345">
        <v>7449000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5001000</v>
      </c>
      <c r="D45" s="341">
        <f>+D43+D44</f>
        <v>3300000</v>
      </c>
      <c r="E45" s="341">
        <f>+E43+E44</f>
        <v>7449000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456701000</v>
      </c>
      <c r="D46" s="341">
        <f>+D14</f>
        <v>464057000</v>
      </c>
      <c r="E46" s="341">
        <f>+E14</f>
        <v>508201000</v>
      </c>
    </row>
    <row r="47" spans="1:14" ht="24" customHeight="1" x14ac:dyDescent="0.2">
      <c r="A47" s="339">
        <v>9</v>
      </c>
      <c r="B47" s="340" t="s">
        <v>356</v>
      </c>
      <c r="C47" s="341">
        <v>26417000</v>
      </c>
      <c r="D47" s="341">
        <v>28822000</v>
      </c>
      <c r="E47" s="341">
        <v>26783000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430284000</v>
      </c>
      <c r="D48" s="341">
        <f>+D46-D47</f>
        <v>435235000</v>
      </c>
      <c r="E48" s="341">
        <f>+E46-E47</f>
        <v>481418000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42.417983325526073</v>
      </c>
      <c r="D50" s="350">
        <f>IF((D55/365)=0,0,+D54/(D55/365))</f>
        <v>48.148155440558533</v>
      </c>
      <c r="E50" s="350">
        <f>IF((E55/365)=0,0,+E54/(E55/365))</f>
        <v>50.342437729860954</v>
      </c>
    </row>
    <row r="51" spans="1:5" ht="24" customHeight="1" x14ac:dyDescent="0.2">
      <c r="A51" s="339">
        <v>12</v>
      </c>
      <c r="B51" s="344" t="s">
        <v>359</v>
      </c>
      <c r="C51" s="351">
        <v>56043000</v>
      </c>
      <c r="D51" s="351">
        <v>67589000</v>
      </c>
      <c r="E51" s="351">
        <v>70492000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5681000</v>
      </c>
      <c r="D53" s="341">
        <v>10642000</v>
      </c>
      <c r="E53" s="341">
        <v>9476000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50362000</v>
      </c>
      <c r="D54" s="352">
        <f>+D51+D52-D53</f>
        <v>56947000</v>
      </c>
      <c r="E54" s="352">
        <f>+E51+E52-E53</f>
        <v>61016000</v>
      </c>
    </row>
    <row r="55" spans="1:5" ht="24" customHeight="1" x14ac:dyDescent="0.2">
      <c r="A55" s="339">
        <v>16</v>
      </c>
      <c r="B55" s="340" t="s">
        <v>75</v>
      </c>
      <c r="C55" s="341">
        <f>+C11</f>
        <v>433357000</v>
      </c>
      <c r="D55" s="341">
        <f>+D11</f>
        <v>431702000</v>
      </c>
      <c r="E55" s="341">
        <f>+E11</f>
        <v>442387000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57.894053694769035</v>
      </c>
      <c r="D57" s="355">
        <f>IF((D61/365)=0,0,+D58/(D61/365))</f>
        <v>60.06417222879594</v>
      </c>
      <c r="E57" s="355">
        <f>IF((E61/365)=0,0,+E58/(E61/365))</f>
        <v>47.266263413499281</v>
      </c>
    </row>
    <row r="58" spans="1:5" ht="24" customHeight="1" x14ac:dyDescent="0.2">
      <c r="A58" s="339">
        <v>18</v>
      </c>
      <c r="B58" s="340" t="s">
        <v>54</v>
      </c>
      <c r="C58" s="353">
        <f>+C40</f>
        <v>68249000</v>
      </c>
      <c r="D58" s="353">
        <f>+D40</f>
        <v>71622000</v>
      </c>
      <c r="E58" s="353">
        <f>+E40</f>
        <v>62342000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456701000</v>
      </c>
      <c r="D59" s="353">
        <f t="shared" si="0"/>
        <v>464057000</v>
      </c>
      <c r="E59" s="353">
        <f t="shared" si="0"/>
        <v>508201000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26417000</v>
      </c>
      <c r="D60" s="356">
        <f t="shared" si="0"/>
        <v>28822000</v>
      </c>
      <c r="E60" s="356">
        <f t="shared" si="0"/>
        <v>26783000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430284000</v>
      </c>
      <c r="D61" s="353">
        <f>+D59-D60</f>
        <v>435235000</v>
      </c>
      <c r="E61" s="353">
        <f>+E59-E60</f>
        <v>481418000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80.255337023060562</v>
      </c>
      <c r="D65" s="357">
        <f>IF(D67=0,0,(D66/D67)*100)</f>
        <v>80.964288120397384</v>
      </c>
      <c r="E65" s="357">
        <f>IF(E67=0,0,(E66/E67)*100)</f>
        <v>80.081504845232061</v>
      </c>
    </row>
    <row r="66" spans="1:5" ht="24" customHeight="1" x14ac:dyDescent="0.2">
      <c r="A66" s="339">
        <v>2</v>
      </c>
      <c r="B66" s="340" t="s">
        <v>67</v>
      </c>
      <c r="C66" s="353">
        <f>+C32</f>
        <v>596123000</v>
      </c>
      <c r="D66" s="353">
        <f>+D32</f>
        <v>624918000</v>
      </c>
      <c r="E66" s="353">
        <f>+E32</f>
        <v>561618000</v>
      </c>
    </row>
    <row r="67" spans="1:5" ht="24" customHeight="1" x14ac:dyDescent="0.2">
      <c r="A67" s="339">
        <v>3</v>
      </c>
      <c r="B67" s="340" t="s">
        <v>43</v>
      </c>
      <c r="C67" s="353">
        <v>742783000</v>
      </c>
      <c r="D67" s="353">
        <v>771844000</v>
      </c>
      <c r="E67" s="353">
        <v>701308000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56.873816984523373</v>
      </c>
      <c r="D69" s="357">
        <f>IF(D75=0,0,(D72/D75)*100)</f>
        <v>54.839414634146344</v>
      </c>
      <c r="E69" s="357">
        <f>IF(E75=0,0,(E72/E75)*100)</f>
        <v>-5.2013608806500846</v>
      </c>
    </row>
    <row r="70" spans="1:5" ht="24" customHeight="1" x14ac:dyDescent="0.2">
      <c r="A70" s="339">
        <v>5</v>
      </c>
      <c r="B70" s="340" t="s">
        <v>366</v>
      </c>
      <c r="C70" s="353">
        <f>+C28</f>
        <v>45095000</v>
      </c>
      <c r="D70" s="353">
        <f>+D28</f>
        <v>41441000</v>
      </c>
      <c r="E70" s="353">
        <f>+E28</f>
        <v>-32883000</v>
      </c>
    </row>
    <row r="71" spans="1:5" ht="24" customHeight="1" x14ac:dyDescent="0.2">
      <c r="A71" s="339">
        <v>6</v>
      </c>
      <c r="B71" s="340" t="s">
        <v>356</v>
      </c>
      <c r="C71" s="356">
        <f>+C47</f>
        <v>26417000</v>
      </c>
      <c r="D71" s="356">
        <f>+D47</f>
        <v>28822000</v>
      </c>
      <c r="E71" s="356">
        <f>+E47</f>
        <v>26783000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71512000</v>
      </c>
      <c r="D72" s="353">
        <f>+D70+D71</f>
        <v>70263000</v>
      </c>
      <c r="E72" s="353">
        <f>+E70+E71</f>
        <v>-6100000</v>
      </c>
    </row>
    <row r="73" spans="1:5" ht="24" customHeight="1" x14ac:dyDescent="0.2">
      <c r="A73" s="339">
        <v>8</v>
      </c>
      <c r="B73" s="340" t="s">
        <v>54</v>
      </c>
      <c r="C73" s="341">
        <f>+C40</f>
        <v>68249000</v>
      </c>
      <c r="D73" s="341">
        <f>+D40</f>
        <v>71622000</v>
      </c>
      <c r="E73" s="341">
        <f>+E40</f>
        <v>62342000</v>
      </c>
    </row>
    <row r="74" spans="1:5" ht="24" customHeight="1" x14ac:dyDescent="0.2">
      <c r="A74" s="339">
        <v>9</v>
      </c>
      <c r="B74" s="340" t="s">
        <v>58</v>
      </c>
      <c r="C74" s="353">
        <v>57489000</v>
      </c>
      <c r="D74" s="353">
        <v>56503000</v>
      </c>
      <c r="E74" s="353">
        <v>54935000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125738000</v>
      </c>
      <c r="D75" s="341">
        <f>+D73+D74</f>
        <v>128125000</v>
      </c>
      <c r="E75" s="341">
        <f>+E73+E74</f>
        <v>117277000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8.7955851483754888</v>
      </c>
      <c r="D77" s="359">
        <f>IF(D80=0,0,(D78/D80)*100)</f>
        <v>8.2919369963649494</v>
      </c>
      <c r="E77" s="359">
        <f>IF(E80=0,0,(E78/E80)*100)</f>
        <v>8.9100207119258208</v>
      </c>
    </row>
    <row r="78" spans="1:5" ht="24" customHeight="1" x14ac:dyDescent="0.2">
      <c r="A78" s="339">
        <v>12</v>
      </c>
      <c r="B78" s="340" t="s">
        <v>58</v>
      </c>
      <c r="C78" s="341">
        <f>+C74</f>
        <v>57489000</v>
      </c>
      <c r="D78" s="341">
        <f>+D74</f>
        <v>56503000</v>
      </c>
      <c r="E78" s="341">
        <f>+E74</f>
        <v>54935000</v>
      </c>
    </row>
    <row r="79" spans="1:5" ht="24" customHeight="1" x14ac:dyDescent="0.2">
      <c r="A79" s="339">
        <v>13</v>
      </c>
      <c r="B79" s="340" t="s">
        <v>67</v>
      </c>
      <c r="C79" s="341">
        <f>+C32</f>
        <v>596123000</v>
      </c>
      <c r="D79" s="341">
        <f>+D32</f>
        <v>624918000</v>
      </c>
      <c r="E79" s="341">
        <f>+E32</f>
        <v>561618000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653612000</v>
      </c>
      <c r="D80" s="341">
        <f>+D78+D79</f>
        <v>681421000</v>
      </c>
      <c r="E80" s="341">
        <f>+E78+E79</f>
        <v>616553000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r:id="rId1"/>
  <headerFooter>
    <oddHeader>_x000D_
                &amp;L&amp;8OFFICE OF HEALTH CARE ACCESS&amp;C&amp;8TWELVE MONTHS ACTUAL FILING&amp;R&amp;8ST VINCENTS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="75" zoomScaleSheetLayoutView="75" workbookViewId="0">
      <selection activeCell="M14" sqref="M14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66834</v>
      </c>
      <c r="D11" s="376">
        <v>12739</v>
      </c>
      <c r="E11" s="376">
        <v>13910</v>
      </c>
      <c r="F11" s="377">
        <v>243</v>
      </c>
      <c r="G11" s="377">
        <v>253</v>
      </c>
      <c r="H11" s="378">
        <f>IF(F11=0,0,$C11/(F11*365))</f>
        <v>0.7535261288685946</v>
      </c>
      <c r="I11" s="378">
        <f>IF(G11=0,0,$C11/(G11*365))</f>
        <v>0.72374248741133795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7400</v>
      </c>
      <c r="D13" s="376">
        <v>526</v>
      </c>
      <c r="E13" s="376">
        <v>0</v>
      </c>
      <c r="F13" s="377">
        <v>30</v>
      </c>
      <c r="G13" s="377">
        <v>30</v>
      </c>
      <c r="H13" s="378">
        <f>IF(F13=0,0,$C13/(F13*365))</f>
        <v>0.67579908675799083</v>
      </c>
      <c r="I13" s="378">
        <f>IF(G13=0,0,$C13/(G13*365))</f>
        <v>0.67579908675799083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3949</v>
      </c>
      <c r="D15" s="376">
        <v>485</v>
      </c>
      <c r="E15" s="376">
        <v>488</v>
      </c>
      <c r="F15" s="377">
        <v>17</v>
      </c>
      <c r="G15" s="377">
        <v>17</v>
      </c>
      <c r="H15" s="378">
        <f t="shared" ref="H15:I17" si="0">IF(F15=0,0,$C15/(F15*365))</f>
        <v>0.63642224012892823</v>
      </c>
      <c r="I15" s="378">
        <f t="shared" si="0"/>
        <v>0.63642224012892823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23996</v>
      </c>
      <c r="D16" s="376">
        <v>2277</v>
      </c>
      <c r="E16" s="376">
        <v>1643</v>
      </c>
      <c r="F16" s="377">
        <v>75</v>
      </c>
      <c r="G16" s="377">
        <v>75</v>
      </c>
      <c r="H16" s="378">
        <f t="shared" si="0"/>
        <v>0.87656621004566215</v>
      </c>
      <c r="I16" s="378">
        <f t="shared" si="0"/>
        <v>0.87656621004566215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27945</v>
      </c>
      <c r="D17" s="381">
        <f>SUM(D15:D16)</f>
        <v>2762</v>
      </c>
      <c r="E17" s="381">
        <f>SUM(E15:E16)</f>
        <v>2131</v>
      </c>
      <c r="F17" s="381">
        <f>SUM(F15:F16)</f>
        <v>92</v>
      </c>
      <c r="G17" s="381">
        <f>SUM(G15:G16)</f>
        <v>92</v>
      </c>
      <c r="H17" s="382">
        <f t="shared" si="0"/>
        <v>0.8321917808219178</v>
      </c>
      <c r="I17" s="382">
        <f t="shared" si="0"/>
        <v>0.8321917808219178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3115</v>
      </c>
      <c r="D19" s="376">
        <v>229</v>
      </c>
      <c r="E19" s="376">
        <v>230</v>
      </c>
      <c r="F19" s="377">
        <v>10</v>
      </c>
      <c r="G19" s="377">
        <v>10</v>
      </c>
      <c r="H19" s="378">
        <f>IF(F19=0,0,$C19/(F19*365))</f>
        <v>0.85342465753424657</v>
      </c>
      <c r="I19" s="378">
        <f>IF(G19=0,0,$C19/(G19*365))</f>
        <v>0.85342465753424657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2821</v>
      </c>
      <c r="D21" s="376">
        <v>1037</v>
      </c>
      <c r="E21" s="376">
        <v>1018</v>
      </c>
      <c r="F21" s="377">
        <v>22</v>
      </c>
      <c r="G21" s="377">
        <v>26</v>
      </c>
      <c r="H21" s="378">
        <f>IF(F21=0,0,$C21/(F21*365))</f>
        <v>0.35130759651307597</v>
      </c>
      <c r="I21" s="378">
        <f>IF(G21=0,0,$C21/(G21*365))</f>
        <v>0.29726027397260274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3030</v>
      </c>
      <c r="D23" s="376">
        <v>1015</v>
      </c>
      <c r="E23" s="376">
        <v>1010</v>
      </c>
      <c r="F23" s="377">
        <v>27</v>
      </c>
      <c r="G23" s="377">
        <v>35</v>
      </c>
      <c r="H23" s="378">
        <f>IF(F23=0,0,$C23/(F23*365))</f>
        <v>0.30745814307458141</v>
      </c>
      <c r="I23" s="378">
        <f>IF(G23=0,0,$C23/(G23*365))</f>
        <v>0.23718199608610568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108115</v>
      </c>
      <c r="D31" s="384">
        <f>SUM(D10:D29)-D13-D17-D23</f>
        <v>16767</v>
      </c>
      <c r="E31" s="384">
        <f>SUM(E10:E29)-E17-E23</f>
        <v>17289</v>
      </c>
      <c r="F31" s="384">
        <f>SUM(F10:F29)-F17-F23</f>
        <v>397</v>
      </c>
      <c r="G31" s="384">
        <f>SUM(G10:G29)-G17-G23</f>
        <v>411</v>
      </c>
      <c r="H31" s="385">
        <f>IF(F31=0,0,$C31/(F31*365))</f>
        <v>0.74610952003036468</v>
      </c>
      <c r="I31" s="385">
        <f>IF(G31=0,0,$C31/(G31*365))</f>
        <v>0.72069459720694595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111145</v>
      </c>
      <c r="D33" s="384">
        <f>SUM(D10:D29)-D13-D17</f>
        <v>17782</v>
      </c>
      <c r="E33" s="384">
        <f>SUM(E10:E29)-E17</f>
        <v>18299</v>
      </c>
      <c r="F33" s="384">
        <f>SUM(F10:F29)-F17</f>
        <v>424</v>
      </c>
      <c r="G33" s="384">
        <f>SUM(G10:G29)-G17</f>
        <v>446</v>
      </c>
      <c r="H33" s="385">
        <f>IF(F33=0,0,$C33/(F33*365))</f>
        <v>0.71817653140346338</v>
      </c>
      <c r="I33" s="385">
        <f>IF(G33=0,0,$C33/(G33*365))</f>
        <v>0.68275078321764238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111145</v>
      </c>
      <c r="D36" s="384">
        <f t="shared" si="1"/>
        <v>17782</v>
      </c>
      <c r="E36" s="384">
        <f t="shared" si="1"/>
        <v>18299</v>
      </c>
      <c r="F36" s="384">
        <f t="shared" si="1"/>
        <v>424</v>
      </c>
      <c r="G36" s="384">
        <f t="shared" si="1"/>
        <v>446</v>
      </c>
      <c r="H36" s="387">
        <f t="shared" si="1"/>
        <v>0.71817653140346338</v>
      </c>
      <c r="I36" s="387">
        <f t="shared" si="1"/>
        <v>0.68275078321764238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110756</v>
      </c>
      <c r="D37" s="384">
        <v>18356</v>
      </c>
      <c r="E37" s="384">
        <v>18648</v>
      </c>
      <c r="F37" s="386">
        <v>424</v>
      </c>
      <c r="G37" s="386">
        <v>446</v>
      </c>
      <c r="H37" s="385">
        <f>IF(F37=0,0,$C37/(F37*365))</f>
        <v>0.71566296200568624</v>
      </c>
      <c r="I37" s="385">
        <f>IF(G37=0,0,$C37/(G37*365))</f>
        <v>0.68036120154800661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389</v>
      </c>
      <c r="D38" s="384">
        <f t="shared" si="2"/>
        <v>-574</v>
      </c>
      <c r="E38" s="384">
        <f t="shared" si="2"/>
        <v>-349</v>
      </c>
      <c r="F38" s="384">
        <f t="shared" si="2"/>
        <v>0</v>
      </c>
      <c r="G38" s="384">
        <f t="shared" si="2"/>
        <v>0</v>
      </c>
      <c r="H38" s="387">
        <f t="shared" si="2"/>
        <v>2.5135693977771378E-3</v>
      </c>
      <c r="I38" s="387">
        <f t="shared" si="2"/>
        <v>2.3895816696357652E-3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3.5122250713279643E-3</v>
      </c>
      <c r="D40" s="389">
        <f t="shared" si="3"/>
        <v>-3.1270429287426453E-2</v>
      </c>
      <c r="E40" s="389">
        <f t="shared" si="3"/>
        <v>-1.8715143715143715E-2</v>
      </c>
      <c r="F40" s="389">
        <f t="shared" si="3"/>
        <v>0</v>
      </c>
      <c r="G40" s="389">
        <f t="shared" si="3"/>
        <v>0</v>
      </c>
      <c r="H40" s="389">
        <f t="shared" si="3"/>
        <v>3.5122250713278723E-3</v>
      </c>
      <c r="I40" s="389">
        <f t="shared" si="3"/>
        <v>3.5122250713280206E-3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520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r:id="rId1"/>
  <headerFooter>
    <oddHeader>&amp;LOFFICE OF HEALTH CARE ACCESS&amp;CTWELVE MONTHS ACTUAL FILING&amp;RSAINT VINCENT`S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zoomScaleSheetLayoutView="90" workbookViewId="0">
      <selection activeCell="M14" sqref="M14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12350</v>
      </c>
      <c r="D12" s="409">
        <v>13040</v>
      </c>
      <c r="E12" s="409">
        <f>+D12-C12</f>
        <v>690</v>
      </c>
      <c r="F12" s="410">
        <f>IF(C12=0,0,+E12/C12)</f>
        <v>5.5870445344129556E-2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6161</v>
      </c>
      <c r="D13" s="409">
        <v>5984</v>
      </c>
      <c r="E13" s="409">
        <f>+D13-C13</f>
        <v>-177</v>
      </c>
      <c r="F13" s="410">
        <f>IF(C13=0,0,+E13/C13)</f>
        <v>-2.8729102418438564E-2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13544</v>
      </c>
      <c r="D14" s="409">
        <v>14273</v>
      </c>
      <c r="E14" s="409">
        <f>+D14-C14</f>
        <v>729</v>
      </c>
      <c r="F14" s="410">
        <f>IF(C14=0,0,+E14/C14)</f>
        <v>5.3824571766095688E-2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32055</v>
      </c>
      <c r="D16" s="401">
        <f>SUM(D12:D15)</f>
        <v>33297</v>
      </c>
      <c r="E16" s="401">
        <f>+D16-C16</f>
        <v>1242</v>
      </c>
      <c r="F16" s="402">
        <f>IF(C16=0,0,+E16/C16)</f>
        <v>3.8745905474964905E-2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1727</v>
      </c>
      <c r="D19" s="409">
        <v>1752</v>
      </c>
      <c r="E19" s="409">
        <f>+D19-C19</f>
        <v>25</v>
      </c>
      <c r="F19" s="410">
        <f>IF(C19=0,0,+E19/C19)</f>
        <v>1.4475969889982629E-2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1899</v>
      </c>
      <c r="D20" s="409">
        <v>1968</v>
      </c>
      <c r="E20" s="409">
        <f>+D20-C20</f>
        <v>69</v>
      </c>
      <c r="F20" s="410">
        <f>IF(C20=0,0,+E20/C20)</f>
        <v>3.6334913112164295E-2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251</v>
      </c>
      <c r="D21" s="409">
        <v>207</v>
      </c>
      <c r="E21" s="409">
        <f>+D21-C21</f>
        <v>-44</v>
      </c>
      <c r="F21" s="410">
        <f>IF(C21=0,0,+E21/C21)</f>
        <v>-0.1752988047808765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3877</v>
      </c>
      <c r="D23" s="401">
        <f>SUM(D19:D22)</f>
        <v>3927</v>
      </c>
      <c r="E23" s="401">
        <f>+D23-C23</f>
        <v>50</v>
      </c>
      <c r="F23" s="402">
        <f>IF(C23=0,0,+E23/C23)</f>
        <v>1.2896569512509672E-2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3</v>
      </c>
      <c r="D27" s="409">
        <v>3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3</v>
      </c>
      <c r="D30" s="401">
        <f>SUM(D26:D29)</f>
        <v>3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28</v>
      </c>
      <c r="D33" s="409">
        <v>13</v>
      </c>
      <c r="E33" s="409">
        <f>+D33-C33</f>
        <v>-15</v>
      </c>
      <c r="F33" s="410">
        <f>IF(C33=0,0,+E33/C33)</f>
        <v>-0.5357142857142857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584</v>
      </c>
      <c r="D34" s="409">
        <v>529</v>
      </c>
      <c r="E34" s="409">
        <f>+D34-C34</f>
        <v>-55</v>
      </c>
      <c r="F34" s="410">
        <f>IF(C34=0,0,+E34/C34)</f>
        <v>-9.4178082191780824E-2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612</v>
      </c>
      <c r="D37" s="401">
        <f>SUM(D33:D36)</f>
        <v>542</v>
      </c>
      <c r="E37" s="401">
        <f>+D37-C37</f>
        <v>-70</v>
      </c>
      <c r="F37" s="402">
        <f>IF(C37=0,0,+E37/C37)</f>
        <v>-0.11437908496732026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1141</v>
      </c>
      <c r="D43" s="409">
        <v>549</v>
      </c>
      <c r="E43" s="409">
        <f>+D43-C43</f>
        <v>-592</v>
      </c>
      <c r="F43" s="410">
        <f>IF(C43=0,0,+E43/C43)</f>
        <v>-0.51884312007011391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14696</v>
      </c>
      <c r="D44" s="409">
        <v>6134</v>
      </c>
      <c r="E44" s="409">
        <f>+D44-C44</f>
        <v>-8562</v>
      </c>
      <c r="F44" s="410">
        <f>IF(C44=0,0,+E44/C44)</f>
        <v>-0.58260751224823082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15837</v>
      </c>
      <c r="D45" s="401">
        <f>SUM(D43:D44)</f>
        <v>6683</v>
      </c>
      <c r="E45" s="401">
        <f>+D45-C45</f>
        <v>-9154</v>
      </c>
      <c r="F45" s="402">
        <f>IF(C45=0,0,+E45/C45)</f>
        <v>-0.57801351266022605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706</v>
      </c>
      <c r="D48" s="409">
        <v>685</v>
      </c>
      <c r="E48" s="409">
        <f>+D48-C48</f>
        <v>-21</v>
      </c>
      <c r="F48" s="410">
        <f>IF(C48=0,0,+E48/C48)</f>
        <v>-2.9745042492917848E-2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686</v>
      </c>
      <c r="D49" s="409">
        <v>659</v>
      </c>
      <c r="E49" s="409">
        <f>+D49-C49</f>
        <v>-27</v>
      </c>
      <c r="F49" s="410">
        <f>IF(C49=0,0,+E49/C49)</f>
        <v>-3.9358600583090382E-2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1392</v>
      </c>
      <c r="D50" s="401">
        <f>SUM(D48:D49)</f>
        <v>1344</v>
      </c>
      <c r="E50" s="401">
        <f>+D50-C50</f>
        <v>-48</v>
      </c>
      <c r="F50" s="402">
        <f>IF(C50=0,0,+E50/C50)</f>
        <v>-3.4482758620689655E-2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567</v>
      </c>
      <c r="D53" s="409">
        <v>751</v>
      </c>
      <c r="E53" s="409">
        <f>+D53-C53</f>
        <v>184</v>
      </c>
      <c r="F53" s="410">
        <f>IF(C53=0,0,+E53/C53)</f>
        <v>0.32451499118165783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428</v>
      </c>
      <c r="D54" s="409">
        <v>494</v>
      </c>
      <c r="E54" s="409">
        <f>+D54-C54</f>
        <v>66</v>
      </c>
      <c r="F54" s="410">
        <f>IF(C54=0,0,+E54/C54)</f>
        <v>0.1542056074766355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995</v>
      </c>
      <c r="D55" s="401">
        <f>SUM(D53:D54)</f>
        <v>1245</v>
      </c>
      <c r="E55" s="401">
        <f>+D55-C55</f>
        <v>250</v>
      </c>
      <c r="F55" s="402">
        <f>IF(C55=0,0,+E55/C55)</f>
        <v>0.25125628140703515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419</v>
      </c>
      <c r="D58" s="409">
        <v>456</v>
      </c>
      <c r="E58" s="409">
        <f>+D58-C58</f>
        <v>37</v>
      </c>
      <c r="F58" s="410">
        <f>IF(C58=0,0,+E58/C58)</f>
        <v>8.83054892601432E-2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289</v>
      </c>
      <c r="D59" s="409">
        <v>418</v>
      </c>
      <c r="E59" s="409">
        <f>+D59-C59</f>
        <v>129</v>
      </c>
      <c r="F59" s="410">
        <f>IF(C59=0,0,+E59/C59)</f>
        <v>0.44636678200692043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708</v>
      </c>
      <c r="D60" s="401">
        <f>SUM(D58:D59)</f>
        <v>874</v>
      </c>
      <c r="E60" s="401">
        <f>SUM(E58:E59)</f>
        <v>166</v>
      </c>
      <c r="F60" s="402">
        <f>IF(C60=0,0,+E60/C60)</f>
        <v>0.2344632768361582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5182</v>
      </c>
      <c r="D63" s="409">
        <v>2283</v>
      </c>
      <c r="E63" s="409">
        <f>+D63-C63</f>
        <v>-2899</v>
      </c>
      <c r="F63" s="410">
        <f>IF(C63=0,0,+E63/C63)</f>
        <v>-0.559436510999614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3503</v>
      </c>
      <c r="D64" s="409">
        <v>3200</v>
      </c>
      <c r="E64" s="409">
        <f>+D64-C64</f>
        <v>-303</v>
      </c>
      <c r="F64" s="410">
        <f>IF(C64=0,0,+E64/C64)</f>
        <v>-8.6497288038823866E-2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8685</v>
      </c>
      <c r="D65" s="401">
        <f>SUM(D63:D64)</f>
        <v>5483</v>
      </c>
      <c r="E65" s="401">
        <f>+D65-C65</f>
        <v>-3202</v>
      </c>
      <c r="F65" s="402">
        <f>IF(C65=0,0,+E65/C65)</f>
        <v>-0.36868163500287854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1955</v>
      </c>
      <c r="D68" s="409">
        <v>1170</v>
      </c>
      <c r="E68" s="409">
        <f>+D68-C68</f>
        <v>-785</v>
      </c>
      <c r="F68" s="410">
        <f>IF(C68=0,0,+E68/C68)</f>
        <v>-0.40153452685421998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5065</v>
      </c>
      <c r="D69" s="409">
        <v>3384</v>
      </c>
      <c r="E69" s="409">
        <f>+D69-C69</f>
        <v>-1681</v>
      </c>
      <c r="F69" s="412">
        <f>IF(C69=0,0,+E69/C69)</f>
        <v>-0.33188548864758144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7020</v>
      </c>
      <c r="D70" s="401">
        <f>SUM(D68:D69)</f>
        <v>4554</v>
      </c>
      <c r="E70" s="401">
        <f>+D70-C70</f>
        <v>-2466</v>
      </c>
      <c r="F70" s="402">
        <f>IF(C70=0,0,+E70/C70)</f>
        <v>-0.35128205128205126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13155</v>
      </c>
      <c r="D73" s="376">
        <v>11960</v>
      </c>
      <c r="E73" s="409">
        <f>+D73-C73</f>
        <v>-1195</v>
      </c>
      <c r="F73" s="410">
        <f>IF(C73=0,0,+E73/C73)</f>
        <v>-9.0839984796655268E-2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57689</v>
      </c>
      <c r="D74" s="376">
        <v>54306</v>
      </c>
      <c r="E74" s="409">
        <f>+D74-C74</f>
        <v>-3383</v>
      </c>
      <c r="F74" s="410">
        <f>IF(C74=0,0,+E74/C74)</f>
        <v>-5.8642028809651754E-2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70844</v>
      </c>
      <c r="D75" s="401">
        <f>SUM(D73:D74)</f>
        <v>66266</v>
      </c>
      <c r="E75" s="401">
        <f>SUM(E73:E74)</f>
        <v>-4578</v>
      </c>
      <c r="F75" s="402">
        <f>IF(C75=0,0,+E75/C75)</f>
        <v>-6.4620857094461068E-2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18590</v>
      </c>
      <c r="D81" s="376">
        <v>18224</v>
      </c>
      <c r="E81" s="409">
        <f t="shared" si="0"/>
        <v>-366</v>
      </c>
      <c r="F81" s="410">
        <f t="shared" si="1"/>
        <v>-1.968800430338892E-2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47258</v>
      </c>
      <c r="D84" s="376">
        <v>23530</v>
      </c>
      <c r="E84" s="409">
        <f t="shared" si="0"/>
        <v>-23728</v>
      </c>
      <c r="F84" s="410">
        <f t="shared" si="1"/>
        <v>-0.50209488340598418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15070</v>
      </c>
      <c r="D91" s="376">
        <v>14471</v>
      </c>
      <c r="E91" s="409">
        <f t="shared" si="0"/>
        <v>-599</v>
      </c>
      <c r="F91" s="410">
        <f t="shared" si="1"/>
        <v>-3.9747843397478437E-2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80918</v>
      </c>
      <c r="D92" s="381">
        <f>SUM(D79:D91)</f>
        <v>56225</v>
      </c>
      <c r="E92" s="401">
        <f t="shared" si="0"/>
        <v>-24693</v>
      </c>
      <c r="F92" s="402">
        <f t="shared" si="1"/>
        <v>-0.30516078004893843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9305</v>
      </c>
      <c r="D95" s="414">
        <v>7156</v>
      </c>
      <c r="E95" s="415">
        <f t="shared" ref="E95:E100" si="2">+D95-C95</f>
        <v>-2149</v>
      </c>
      <c r="F95" s="412">
        <f t="shared" ref="F95:F100" si="3">IF(C95=0,0,+E95/C95)</f>
        <v>-0.23095110155830198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5346</v>
      </c>
      <c r="D96" s="414">
        <v>4722</v>
      </c>
      <c r="E96" s="409">
        <f t="shared" si="2"/>
        <v>-624</v>
      </c>
      <c r="F96" s="410">
        <f t="shared" si="3"/>
        <v>-0.11672278338945005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2815</v>
      </c>
      <c r="D97" s="414">
        <v>2101</v>
      </c>
      <c r="E97" s="409">
        <f t="shared" si="2"/>
        <v>-714</v>
      </c>
      <c r="F97" s="410">
        <f t="shared" si="3"/>
        <v>-0.25364120781527533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3184</v>
      </c>
      <c r="D98" s="414">
        <v>247</v>
      </c>
      <c r="E98" s="409">
        <f t="shared" si="2"/>
        <v>-2937</v>
      </c>
      <c r="F98" s="410">
        <f t="shared" si="3"/>
        <v>-0.92242462311557794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79469</v>
      </c>
      <c r="D99" s="414">
        <v>81707</v>
      </c>
      <c r="E99" s="409">
        <f t="shared" si="2"/>
        <v>2238</v>
      </c>
      <c r="F99" s="410">
        <f t="shared" si="3"/>
        <v>2.8161924775698701E-2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100119</v>
      </c>
      <c r="D100" s="381">
        <f>SUM(D95:D99)</f>
        <v>95933</v>
      </c>
      <c r="E100" s="401">
        <f t="shared" si="2"/>
        <v>-4186</v>
      </c>
      <c r="F100" s="402">
        <f t="shared" si="3"/>
        <v>-4.1810245807489085E-2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936.7</v>
      </c>
      <c r="D104" s="416">
        <v>912.7</v>
      </c>
      <c r="E104" s="417">
        <f>+D104-C104</f>
        <v>-24</v>
      </c>
      <c r="F104" s="410">
        <f>IF(C104=0,0,+E104/C104)</f>
        <v>-2.5621863990605315E-2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65.2</v>
      </c>
      <c r="D105" s="416">
        <v>64.400000000000006</v>
      </c>
      <c r="E105" s="417">
        <f>+D105-C105</f>
        <v>-0.79999999999999716</v>
      </c>
      <c r="F105" s="410">
        <f>IF(C105=0,0,+E105/C105)</f>
        <v>-1.2269938650306704E-2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1279.9000000000001</v>
      </c>
      <c r="D106" s="416">
        <v>1206.4000000000001</v>
      </c>
      <c r="E106" s="417">
        <f>+D106-C106</f>
        <v>-73.5</v>
      </c>
      <c r="F106" s="410">
        <f>IF(C106=0,0,+E106/C106)</f>
        <v>-5.7426361434487067E-2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2281.8000000000002</v>
      </c>
      <c r="D107" s="418">
        <f>SUM(D104:D106)</f>
        <v>2183.5</v>
      </c>
      <c r="E107" s="418">
        <f>+D107-C107</f>
        <v>-98.300000000000182</v>
      </c>
      <c r="F107" s="402">
        <f>IF(C107=0,0,+E107/C107)</f>
        <v>-4.3080024542028299E-2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FILING&amp;RSAINT VINCENT`S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4" zoomScale="75" zoomScaleSheetLayoutView="90" workbookViewId="0">
      <selection activeCell="M14" sqref="M14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3503</v>
      </c>
      <c r="D12" s="409">
        <v>3200</v>
      </c>
      <c r="E12" s="409">
        <f>+D12-C12</f>
        <v>-303</v>
      </c>
      <c r="F12" s="410">
        <f>IF(C12=0,0,+E12/C12)</f>
        <v>-8.6497288038823866E-2</v>
      </c>
    </row>
    <row r="13" spans="1:6" ht="15.75" customHeight="1" x14ac:dyDescent="0.25">
      <c r="A13" s="374"/>
      <c r="B13" s="399" t="s">
        <v>622</v>
      </c>
      <c r="C13" s="401">
        <f>SUM(C11:C12)</f>
        <v>3503</v>
      </c>
      <c r="D13" s="401">
        <f>SUM(D11:D12)</f>
        <v>3200</v>
      </c>
      <c r="E13" s="401">
        <f>+D13-C13</f>
        <v>-303</v>
      </c>
      <c r="F13" s="402">
        <f>IF(C13=0,0,+E13/C13)</f>
        <v>-8.6497288038823866E-2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5065</v>
      </c>
      <c r="D16" s="409">
        <v>3384</v>
      </c>
      <c r="E16" s="409">
        <f>+D16-C16</f>
        <v>-1681</v>
      </c>
      <c r="F16" s="410">
        <f>IF(C16=0,0,+E16/C16)</f>
        <v>-0.33188548864758144</v>
      </c>
    </row>
    <row r="17" spans="1:6" ht="15.75" customHeight="1" x14ac:dyDescent="0.25">
      <c r="A17" s="374"/>
      <c r="B17" s="399" t="s">
        <v>623</v>
      </c>
      <c r="C17" s="401">
        <f>SUM(C15:C16)</f>
        <v>5065</v>
      </c>
      <c r="D17" s="401">
        <f>SUM(D15:D16)</f>
        <v>3384</v>
      </c>
      <c r="E17" s="401">
        <f>+D17-C17</f>
        <v>-1681</v>
      </c>
      <c r="F17" s="402">
        <f>IF(C17=0,0,+E17/C17)</f>
        <v>-0.33188548864758144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57689</v>
      </c>
      <c r="D20" s="409">
        <v>54306</v>
      </c>
      <c r="E20" s="409">
        <f>+D20-C20</f>
        <v>-3383</v>
      </c>
      <c r="F20" s="410">
        <f>IF(C20=0,0,+E20/C20)</f>
        <v>-5.8642028809651754E-2</v>
      </c>
    </row>
    <row r="21" spans="1:6" ht="15.75" customHeight="1" x14ac:dyDescent="0.25">
      <c r="A21" s="374"/>
      <c r="B21" s="399" t="s">
        <v>625</v>
      </c>
      <c r="C21" s="401">
        <f>SUM(C19:C20)</f>
        <v>57689</v>
      </c>
      <c r="D21" s="401">
        <f>SUM(D19:D20)</f>
        <v>54306</v>
      </c>
      <c r="E21" s="401">
        <f>+D21-C21</f>
        <v>-3383</v>
      </c>
      <c r="F21" s="402">
        <f>IF(C21=0,0,+E21/C21)</f>
        <v>-5.8642028809651754E-2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r:id="rId1"/>
  <headerFooter>
    <oddHeader>&amp;LOFFICE OF HEALTH CARE ACCESS&amp;CTWELVE MONTHS ACTUAL FILING&amp;RSAINT VINCENT`S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abSelected="1" topLeftCell="A286" zoomScale="85" zoomScaleSheetLayoutView="80" workbookViewId="0">
      <selection activeCell="M14" sqref="M14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421061707</v>
      </c>
      <c r="D15" s="448">
        <v>442950139</v>
      </c>
      <c r="E15" s="448">
        <f t="shared" ref="E15:E24" si="0">D15-C15</f>
        <v>21888432</v>
      </c>
      <c r="F15" s="449">
        <f t="shared" ref="F15:F24" si="1">IF(C15=0,0,E15/C15)</f>
        <v>5.1983905532402168E-2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120638609</v>
      </c>
      <c r="D16" s="448">
        <v>102623605</v>
      </c>
      <c r="E16" s="448">
        <f t="shared" si="0"/>
        <v>-18015004</v>
      </c>
      <c r="F16" s="449">
        <f t="shared" si="1"/>
        <v>-0.14933033586287456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0.28651052089141887</v>
      </c>
      <c r="D17" s="453">
        <f>IF(LN_IA1=0,0,LN_IA2/LN_IA1)</f>
        <v>0.23168206975097033</v>
      </c>
      <c r="E17" s="454">
        <f t="shared" si="0"/>
        <v>-5.4828451140448542E-2</v>
      </c>
      <c r="F17" s="449">
        <f t="shared" si="1"/>
        <v>-0.19136627503192913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8674</v>
      </c>
      <c r="D18" s="456">
        <v>8262</v>
      </c>
      <c r="E18" s="456">
        <f t="shared" si="0"/>
        <v>-412</v>
      </c>
      <c r="F18" s="449">
        <f t="shared" si="1"/>
        <v>-4.7498270694028129E-2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1.5561</v>
      </c>
      <c r="D19" s="459">
        <v>1.5427</v>
      </c>
      <c r="E19" s="460">
        <f t="shared" si="0"/>
        <v>-1.3400000000000079E-2</v>
      </c>
      <c r="F19" s="449">
        <f t="shared" si="1"/>
        <v>-8.611271769166557E-3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13497.6114</v>
      </c>
      <c r="D20" s="463">
        <f>LN_IA4*LN_IA5</f>
        <v>12745.787399999999</v>
      </c>
      <c r="E20" s="463">
        <f t="shared" si="0"/>
        <v>-751.82400000000052</v>
      </c>
      <c r="F20" s="449">
        <f t="shared" si="1"/>
        <v>-5.5700521945682965E-2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8937.7746495205811</v>
      </c>
      <c r="D21" s="465">
        <f>IF(LN_IA6=0,0,LN_IA2/LN_IA6)</f>
        <v>8051.5704349501393</v>
      </c>
      <c r="E21" s="465">
        <f t="shared" si="0"/>
        <v>-886.20421457044176</v>
      </c>
      <c r="F21" s="449">
        <f t="shared" si="1"/>
        <v>-9.9152669352429626E-2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57146</v>
      </c>
      <c r="D22" s="456">
        <v>55120</v>
      </c>
      <c r="E22" s="456">
        <f t="shared" si="0"/>
        <v>-2026</v>
      </c>
      <c r="F22" s="449">
        <f t="shared" si="1"/>
        <v>-3.5453050082245474E-2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2111.0595492247926</v>
      </c>
      <c r="D23" s="465">
        <f>IF(LN_IA8=0,0,LN_IA2/LN_IA8)</f>
        <v>1861.8215711175617</v>
      </c>
      <c r="E23" s="465">
        <f t="shared" si="0"/>
        <v>-249.2379781072309</v>
      </c>
      <c r="F23" s="449">
        <f t="shared" si="1"/>
        <v>-0.11806297846915507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6.5881946045653681</v>
      </c>
      <c r="D24" s="466">
        <f>IF(LN_IA4=0,0,LN_IA8/LN_IA4)</f>
        <v>6.6715081094166058</v>
      </c>
      <c r="E24" s="466">
        <f t="shared" si="0"/>
        <v>8.3313504851237674E-2</v>
      </c>
      <c r="F24" s="449">
        <f t="shared" si="1"/>
        <v>1.2645877945606614E-2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152320573</v>
      </c>
      <c r="D27" s="448">
        <v>169245131</v>
      </c>
      <c r="E27" s="448">
        <f t="shared" ref="E27:E32" si="2">D27-C27</f>
        <v>16924558</v>
      </c>
      <c r="F27" s="449">
        <f t="shared" ref="F27:F32" si="3">IF(C27=0,0,E27/C27)</f>
        <v>0.11111143863672308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36017165</v>
      </c>
      <c r="D28" s="448">
        <v>43570129</v>
      </c>
      <c r="E28" s="448">
        <f t="shared" si="2"/>
        <v>7552964</v>
      </c>
      <c r="F28" s="449">
        <f t="shared" si="3"/>
        <v>0.20970456725286402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0.23645633869825319</v>
      </c>
      <c r="D29" s="453">
        <f>IF(LN_IA11=0,0,LN_IA12/LN_IA11)</f>
        <v>0.25743800570546399</v>
      </c>
      <c r="E29" s="454">
        <f t="shared" si="2"/>
        <v>2.0981667007210797E-2</v>
      </c>
      <c r="F29" s="449">
        <f t="shared" si="3"/>
        <v>8.8733789598196958E-2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0.36175356359347111</v>
      </c>
      <c r="D30" s="453">
        <f>IF(LN_IA1=0,0,LN_IA11/LN_IA1)</f>
        <v>0.38208619006664313</v>
      </c>
      <c r="E30" s="454">
        <f t="shared" si="2"/>
        <v>2.0332626473172022E-2</v>
      </c>
      <c r="F30" s="449">
        <f t="shared" si="3"/>
        <v>5.6205739264040197E-2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3137.8504106097685</v>
      </c>
      <c r="D31" s="463">
        <f>LN_IA14*LN_IA4</f>
        <v>3156.7961023306057</v>
      </c>
      <c r="E31" s="463">
        <f t="shared" si="2"/>
        <v>18.945691720837203</v>
      </c>
      <c r="F31" s="449">
        <f t="shared" si="3"/>
        <v>6.0377931518907392E-3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11478.292552831064</v>
      </c>
      <c r="D32" s="465">
        <f>IF(LN_IA15=0,0,LN_IA12/LN_IA15)</f>
        <v>13802.009248501339</v>
      </c>
      <c r="E32" s="465">
        <f t="shared" si="2"/>
        <v>2323.7166956702749</v>
      </c>
      <c r="F32" s="449">
        <f t="shared" si="3"/>
        <v>0.20244445634879218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573382280</v>
      </c>
      <c r="D35" s="448">
        <f>LN_IA1+LN_IA11</f>
        <v>612195270</v>
      </c>
      <c r="E35" s="448">
        <f>D35-C35</f>
        <v>38812990</v>
      </c>
      <c r="F35" s="449">
        <f>IF(C35=0,0,E35/C35)</f>
        <v>6.7691296633722267E-2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156655774</v>
      </c>
      <c r="D36" s="448">
        <f>LN_IA2+LN_IA12</f>
        <v>146193734</v>
      </c>
      <c r="E36" s="448">
        <f>D36-C36</f>
        <v>-10462040</v>
      </c>
      <c r="F36" s="449">
        <f>IF(C36=0,0,E36/C36)</f>
        <v>-6.6783622032342074E-2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416726506</v>
      </c>
      <c r="D37" s="448">
        <f>LN_IA17-LN_IA18</f>
        <v>466001536</v>
      </c>
      <c r="E37" s="448">
        <f>D37-C37</f>
        <v>49275030</v>
      </c>
      <c r="F37" s="449">
        <f>IF(C37=0,0,E37/C37)</f>
        <v>0.11824309058949084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188632348</v>
      </c>
      <c r="D42" s="448">
        <v>217174512</v>
      </c>
      <c r="E42" s="448">
        <f t="shared" ref="E42:E53" si="4">D42-C42</f>
        <v>28542164</v>
      </c>
      <c r="F42" s="449">
        <f t="shared" ref="F42:F53" si="5">IF(C42=0,0,E42/C42)</f>
        <v>0.15131107841588232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94288743</v>
      </c>
      <c r="D43" s="448">
        <v>100502649</v>
      </c>
      <c r="E43" s="448">
        <f t="shared" si="4"/>
        <v>6213906</v>
      </c>
      <c r="F43" s="449">
        <f t="shared" si="5"/>
        <v>6.5902946653981803E-2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0.49985457955493401</v>
      </c>
      <c r="D44" s="453">
        <f>IF(LN_IB1=0,0,LN_IB2/LN_IB1)</f>
        <v>0.46277368404999569</v>
      </c>
      <c r="E44" s="454">
        <f t="shared" si="4"/>
        <v>-3.7080895504938316E-2</v>
      </c>
      <c r="F44" s="449">
        <f t="shared" si="5"/>
        <v>-7.4183366566241749E-2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5420</v>
      </c>
      <c r="D45" s="456">
        <v>5278</v>
      </c>
      <c r="E45" s="456">
        <f t="shared" si="4"/>
        <v>-142</v>
      </c>
      <c r="F45" s="449">
        <f t="shared" si="5"/>
        <v>-2.6199261992619925E-2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1.3435999999999999</v>
      </c>
      <c r="D46" s="459">
        <v>1.4165000000000001</v>
      </c>
      <c r="E46" s="460">
        <f t="shared" si="4"/>
        <v>7.2900000000000187E-2</v>
      </c>
      <c r="F46" s="449">
        <f t="shared" si="5"/>
        <v>5.4257219410538994E-2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7282.3119999999999</v>
      </c>
      <c r="D47" s="463">
        <f>LN_IB4*LN_IB5</f>
        <v>7476.2870000000003</v>
      </c>
      <c r="E47" s="463">
        <f t="shared" si="4"/>
        <v>193.97500000000036</v>
      </c>
      <c r="F47" s="449">
        <f t="shared" si="5"/>
        <v>2.6636458311591206E-2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12947.638469760703</v>
      </c>
      <c r="D48" s="465">
        <f>IF(LN_IB6=0,0,LN_IB2/LN_IB6)</f>
        <v>13442.855925675405</v>
      </c>
      <c r="E48" s="465">
        <f t="shared" si="4"/>
        <v>495.21745591470244</v>
      </c>
      <c r="F48" s="449">
        <f t="shared" si="5"/>
        <v>3.8247704944132183E-2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-4009.8638202401216</v>
      </c>
      <c r="D49" s="465">
        <f>LN_IA7-LN_IB7</f>
        <v>-5391.2854907252658</v>
      </c>
      <c r="E49" s="465">
        <f t="shared" si="4"/>
        <v>-1381.4216704851442</v>
      </c>
      <c r="F49" s="449">
        <f t="shared" si="5"/>
        <v>0.34450588159934592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-29201079.416500479</v>
      </c>
      <c r="D50" s="479">
        <f>LN_IB8*LN_IB6</f>
        <v>-40306797.627597928</v>
      </c>
      <c r="E50" s="479">
        <f t="shared" si="4"/>
        <v>-11105718.211097449</v>
      </c>
      <c r="F50" s="449">
        <f t="shared" si="5"/>
        <v>0.38031875646425617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24995</v>
      </c>
      <c r="D51" s="456">
        <v>25540</v>
      </c>
      <c r="E51" s="456">
        <f t="shared" si="4"/>
        <v>545</v>
      </c>
      <c r="F51" s="449">
        <f t="shared" si="5"/>
        <v>2.1804360872174435E-2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3772.3041808361672</v>
      </c>
      <c r="D52" s="465">
        <f>IF(LN_IB10=0,0,LN_IB2/LN_IB10)</f>
        <v>3935.1076350822241</v>
      </c>
      <c r="E52" s="465">
        <f t="shared" si="4"/>
        <v>162.80345424605684</v>
      </c>
      <c r="F52" s="449">
        <f t="shared" si="5"/>
        <v>4.3157562710112604E-2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4.6116236162361623</v>
      </c>
      <c r="D53" s="466">
        <f>IF(LN_IB4=0,0,LN_IB10/LN_IB4)</f>
        <v>4.8389541492989769</v>
      </c>
      <c r="E53" s="466">
        <f t="shared" si="4"/>
        <v>0.22733053306281459</v>
      </c>
      <c r="F53" s="449">
        <f t="shared" si="5"/>
        <v>4.9295118591736548E-2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190549095</v>
      </c>
      <c r="D56" s="448">
        <v>189860192</v>
      </c>
      <c r="E56" s="448">
        <f t="shared" ref="E56:E63" si="6">D56-C56</f>
        <v>-688903</v>
      </c>
      <c r="F56" s="449">
        <f t="shared" ref="F56:F63" si="7">IF(C56=0,0,E56/C56)</f>
        <v>-3.6153569766363886E-3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91285443</v>
      </c>
      <c r="D57" s="448">
        <v>82668755</v>
      </c>
      <c r="E57" s="448">
        <f t="shared" si="6"/>
        <v>-8616688</v>
      </c>
      <c r="F57" s="449">
        <f t="shared" si="7"/>
        <v>-9.4392793821463955E-2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0.47906521413812014</v>
      </c>
      <c r="D58" s="453">
        <f>IF(LN_IB13=0,0,LN_IB14/LN_IB13)</f>
        <v>0.43541910565433328</v>
      </c>
      <c r="E58" s="454">
        <f t="shared" si="6"/>
        <v>-4.3646108483786861E-2</v>
      </c>
      <c r="F58" s="449">
        <f t="shared" si="7"/>
        <v>-9.1106820524028229E-2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1.0101612847442263</v>
      </c>
      <c r="D59" s="453">
        <f>IF(LN_IB1=0,0,LN_IB13/LN_IB1)</f>
        <v>0.87422870322830515</v>
      </c>
      <c r="E59" s="454">
        <f t="shared" si="6"/>
        <v>-0.13593258151592114</v>
      </c>
      <c r="F59" s="449">
        <f t="shared" si="7"/>
        <v>-0.13456522593848899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5475.0741633137068</v>
      </c>
      <c r="D60" s="463">
        <f>LN_IB16*LN_IB4</f>
        <v>4614.179095638995</v>
      </c>
      <c r="E60" s="463">
        <f t="shared" si="6"/>
        <v>-860.89506767471175</v>
      </c>
      <c r="F60" s="449">
        <f t="shared" si="7"/>
        <v>-0.15723897832165032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16672.914425829596</v>
      </c>
      <c r="D61" s="465">
        <f>IF(LN_IB17=0,0,LN_IB14/LN_IB17)</f>
        <v>17916.243233413465</v>
      </c>
      <c r="E61" s="465">
        <f t="shared" si="6"/>
        <v>1243.3288075838682</v>
      </c>
      <c r="F61" s="449">
        <f t="shared" si="7"/>
        <v>7.4571774065949101E-2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-5194.6218729985321</v>
      </c>
      <c r="D62" s="465">
        <f>LN_IA16-LN_IB18</f>
        <v>-4114.2339849121254</v>
      </c>
      <c r="E62" s="465">
        <f t="shared" si="6"/>
        <v>1080.3878880864067</v>
      </c>
      <c r="F62" s="449">
        <f t="shared" si="7"/>
        <v>-0.20798200802684527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-28440940.005038518</v>
      </c>
      <c r="D63" s="448">
        <f>LN_IB19*LN_IB17</f>
        <v>-18983812.447749048</v>
      </c>
      <c r="E63" s="448">
        <f t="shared" si="6"/>
        <v>9457127.55728947</v>
      </c>
      <c r="F63" s="449">
        <f t="shared" si="7"/>
        <v>-0.3325181078970692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379181443</v>
      </c>
      <c r="D66" s="448">
        <f>LN_IB1+LN_IB13</f>
        <v>407034704</v>
      </c>
      <c r="E66" s="448">
        <f>D66-C66</f>
        <v>27853261</v>
      </c>
      <c r="F66" s="449">
        <f>IF(C66=0,0,E66/C66)</f>
        <v>7.3456287258234845E-2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185574186</v>
      </c>
      <c r="D67" s="448">
        <f>LN_IB2+LN_IB14</f>
        <v>183171404</v>
      </c>
      <c r="E67" s="448">
        <f>D67-C67</f>
        <v>-2402782</v>
      </c>
      <c r="F67" s="449">
        <f>IF(C67=0,0,E67/C67)</f>
        <v>-1.2947824542794978E-2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193607257</v>
      </c>
      <c r="D68" s="448">
        <f>LN_IB21-LN_IB22</f>
        <v>223863300</v>
      </c>
      <c r="E68" s="448">
        <f>D68-C68</f>
        <v>30256043</v>
      </c>
      <c r="F68" s="449">
        <f>IF(C68=0,0,E68/C68)</f>
        <v>0.15627535593874975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-57642019.421538994</v>
      </c>
      <c r="D70" s="441">
        <f>LN_IB9+LN_IB20</f>
        <v>-59290610.075346977</v>
      </c>
      <c r="E70" s="448">
        <f>D70-C70</f>
        <v>-1648590.6538079828</v>
      </c>
      <c r="F70" s="449">
        <f>IF(C70=0,0,E70/C70)</f>
        <v>2.860050134176869E-2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328772437</v>
      </c>
      <c r="D73" s="488">
        <v>344004037</v>
      </c>
      <c r="E73" s="488">
        <f>D73-C73</f>
        <v>15231600</v>
      </c>
      <c r="F73" s="489">
        <f>IF(C73=0,0,E73/C73)</f>
        <v>4.6328701210436321E-2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181528473</v>
      </c>
      <c r="D74" s="488">
        <v>165093192</v>
      </c>
      <c r="E74" s="488">
        <f>D74-C74</f>
        <v>-16435281</v>
      </c>
      <c r="F74" s="489">
        <f>IF(C74=0,0,E74/C74)</f>
        <v>-9.0538309105921908E-2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147243964</v>
      </c>
      <c r="D76" s="441">
        <f>LN_IB32-LN_IB33</f>
        <v>178910845</v>
      </c>
      <c r="E76" s="488">
        <f>D76-C76</f>
        <v>31666881</v>
      </c>
      <c r="F76" s="489">
        <f>IF(E76=0,0,E76/C76)</f>
        <v>0.21506403481503664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0.44785981861368751</v>
      </c>
      <c r="D77" s="453">
        <f>IF(LN_IB32=0,0,LN_IB34/LN_IB32)</f>
        <v>0.52008356227517183</v>
      </c>
      <c r="E77" s="493">
        <f>D77-C77</f>
        <v>7.2223743661484319E-2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20452129</v>
      </c>
      <c r="D83" s="448">
        <v>21828716</v>
      </c>
      <c r="E83" s="448">
        <f t="shared" ref="E83:E95" si="8">D83-C83</f>
        <v>1376587</v>
      </c>
      <c r="F83" s="449">
        <f t="shared" ref="F83:F95" si="9">IF(C83=0,0,E83/C83)</f>
        <v>6.7307760478138981E-2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1347825</v>
      </c>
      <c r="D84" s="448">
        <v>2711717</v>
      </c>
      <c r="E84" s="448">
        <f t="shared" si="8"/>
        <v>1363892</v>
      </c>
      <c r="F84" s="449">
        <f t="shared" si="9"/>
        <v>1.0119206870328121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6.5901452117772194E-2</v>
      </c>
      <c r="D85" s="453">
        <f>IF(LN_IC1=0,0,LN_IC2/LN_IC1)</f>
        <v>0.12422705027634241</v>
      </c>
      <c r="E85" s="454">
        <f t="shared" si="8"/>
        <v>5.8325598158570219E-2</v>
      </c>
      <c r="F85" s="449">
        <f t="shared" si="9"/>
        <v>0.88504268546824738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584</v>
      </c>
      <c r="D86" s="456">
        <v>521</v>
      </c>
      <c r="E86" s="456">
        <f t="shared" si="8"/>
        <v>-63</v>
      </c>
      <c r="F86" s="449">
        <f t="shared" si="9"/>
        <v>-0.10787671232876712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1.1977</v>
      </c>
      <c r="D87" s="459">
        <v>1.2241</v>
      </c>
      <c r="E87" s="460">
        <f t="shared" si="8"/>
        <v>2.6399999999999979E-2</v>
      </c>
      <c r="F87" s="449">
        <f t="shared" si="9"/>
        <v>2.2042247641312497E-2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699.45680000000004</v>
      </c>
      <c r="D88" s="463">
        <f>LN_IC4*LN_IC5</f>
        <v>637.75609999999995</v>
      </c>
      <c r="E88" s="463">
        <f t="shared" si="8"/>
        <v>-61.700700000000097</v>
      </c>
      <c r="F88" s="449">
        <f t="shared" si="9"/>
        <v>-8.8212309895336058E-2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1926.9596063688277</v>
      </c>
      <c r="D89" s="465">
        <f>IF(LN_IC6=0,0,LN_IC2/LN_IC6)</f>
        <v>4251.9656025242257</v>
      </c>
      <c r="E89" s="465">
        <f t="shared" si="8"/>
        <v>2325.005996155398</v>
      </c>
      <c r="F89" s="449">
        <f t="shared" si="9"/>
        <v>1.2065670647537086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11020.678863391875</v>
      </c>
      <c r="D90" s="465">
        <f>LN_IB7-LN_IC7</f>
        <v>9190.8903231511795</v>
      </c>
      <c r="E90" s="465">
        <f t="shared" si="8"/>
        <v>-1829.7885402406955</v>
      </c>
      <c r="F90" s="449">
        <f t="shared" si="9"/>
        <v>-0.16603228920124208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7010.8150431517533</v>
      </c>
      <c r="D91" s="465">
        <f>LN_IA7-LN_IC7</f>
        <v>3799.6048324259136</v>
      </c>
      <c r="E91" s="465">
        <f t="shared" si="8"/>
        <v>-3211.2102107258397</v>
      </c>
      <c r="F91" s="449">
        <f t="shared" si="9"/>
        <v>-0.4580366463757431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4903762.2554747872</v>
      </c>
      <c r="D92" s="441">
        <f>LN_IC9*LN_IC6</f>
        <v>2423221.1594691039</v>
      </c>
      <c r="E92" s="441">
        <f t="shared" si="8"/>
        <v>-2480541.0960056833</v>
      </c>
      <c r="F92" s="449">
        <f t="shared" si="9"/>
        <v>-0.50584448567756157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3329</v>
      </c>
      <c r="D93" s="456">
        <v>2357</v>
      </c>
      <c r="E93" s="456">
        <f t="shared" si="8"/>
        <v>-972</v>
      </c>
      <c r="F93" s="449">
        <f t="shared" si="9"/>
        <v>-0.29197957344547915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404.87383598678281</v>
      </c>
      <c r="D94" s="499">
        <f>IF(LN_IC11=0,0,LN_IC2/LN_IC11)</f>
        <v>1150.4951209164192</v>
      </c>
      <c r="E94" s="499">
        <f t="shared" si="8"/>
        <v>745.62128492963643</v>
      </c>
      <c r="F94" s="449">
        <f t="shared" si="9"/>
        <v>1.8416139020501621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5.7003424657534243</v>
      </c>
      <c r="D95" s="466">
        <f>IF(LN_IC4=0,0,LN_IC11/LN_IC4)</f>
        <v>4.5239923224568139</v>
      </c>
      <c r="E95" s="466">
        <f t="shared" si="8"/>
        <v>-1.1763501432966104</v>
      </c>
      <c r="F95" s="449">
        <f t="shared" si="9"/>
        <v>-0.20636481937074813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29956877</v>
      </c>
      <c r="D98" s="448">
        <v>29623086</v>
      </c>
      <c r="E98" s="448">
        <f t="shared" ref="E98:E106" si="10">D98-C98</f>
        <v>-333791</v>
      </c>
      <c r="F98" s="449">
        <f t="shared" ref="F98:F106" si="11">IF(C98=0,0,E98/C98)</f>
        <v>-1.1142383099546726E-2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2697891</v>
      </c>
      <c r="D99" s="448">
        <v>6483695</v>
      </c>
      <c r="E99" s="448">
        <f t="shared" si="10"/>
        <v>3785804</v>
      </c>
      <c r="F99" s="449">
        <f t="shared" si="11"/>
        <v>1.4032457204534949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9.0059154029974484E-2</v>
      </c>
      <c r="D100" s="453">
        <f>IF(LN_IC14=0,0,LN_IC15/LN_IC14)</f>
        <v>0.21887304381454384</v>
      </c>
      <c r="E100" s="454">
        <f t="shared" si="10"/>
        <v>0.12881388978456937</v>
      </c>
      <c r="F100" s="449">
        <f t="shared" si="11"/>
        <v>1.4303253364082913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1.4647314712321637</v>
      </c>
      <c r="D101" s="453">
        <f>IF(LN_IC1=0,0,LN_IC14/LN_IC1)</f>
        <v>1.3570695591989927</v>
      </c>
      <c r="E101" s="454">
        <f t="shared" si="10"/>
        <v>-0.10766191203317099</v>
      </c>
      <c r="F101" s="449">
        <f t="shared" si="11"/>
        <v>-7.3502832531210288E-2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855.40317919958363</v>
      </c>
      <c r="D102" s="463">
        <f>LN_IC17*LN_IC4</f>
        <v>707.03324034267519</v>
      </c>
      <c r="E102" s="463">
        <f t="shared" si="10"/>
        <v>-148.36993885690845</v>
      </c>
      <c r="F102" s="449">
        <f t="shared" si="11"/>
        <v>-0.17345030093965855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3153.9408148149109</v>
      </c>
      <c r="D103" s="465">
        <f>IF(LN_IC18=0,0,LN_IC15/LN_IC18)</f>
        <v>9170.2831352845187</v>
      </c>
      <c r="E103" s="465">
        <f t="shared" si="10"/>
        <v>6016.3423204696082</v>
      </c>
      <c r="F103" s="449">
        <f t="shared" si="11"/>
        <v>1.9075634812832332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13518.973611014686</v>
      </c>
      <c r="D104" s="465">
        <f>LN_IB18-LN_IC19</f>
        <v>8745.9600981289459</v>
      </c>
      <c r="E104" s="465">
        <f t="shared" si="10"/>
        <v>-4773.0135128857401</v>
      </c>
      <c r="F104" s="449">
        <f t="shared" si="11"/>
        <v>-0.35306034690362081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8324.3517380161538</v>
      </c>
      <c r="D105" s="465">
        <f>LN_IA16-LN_IC19</f>
        <v>4631.7261132168205</v>
      </c>
      <c r="E105" s="465">
        <f t="shared" si="10"/>
        <v>-3692.6256247993333</v>
      </c>
      <c r="F105" s="449">
        <f t="shared" si="11"/>
        <v>-0.44359317590289066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7120676.9414745979</v>
      </c>
      <c r="D106" s="448">
        <f>LN_IC21*LN_IC18</f>
        <v>3274784.3222074732</v>
      </c>
      <c r="E106" s="448">
        <f t="shared" si="10"/>
        <v>-3845892.6192671247</v>
      </c>
      <c r="F106" s="449">
        <f t="shared" si="11"/>
        <v>-0.5401021069874139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50409006</v>
      </c>
      <c r="D109" s="448">
        <f>LN_IC1+LN_IC14</f>
        <v>51451802</v>
      </c>
      <c r="E109" s="448">
        <f>D109-C109</f>
        <v>1042796</v>
      </c>
      <c r="F109" s="449">
        <f>IF(C109=0,0,E109/C109)</f>
        <v>2.0686700309067788E-2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4045716</v>
      </c>
      <c r="D110" s="448">
        <f>LN_IC2+LN_IC15</f>
        <v>9195412</v>
      </c>
      <c r="E110" s="448">
        <f>D110-C110</f>
        <v>5149696</v>
      </c>
      <c r="F110" s="449">
        <f>IF(C110=0,0,E110/C110)</f>
        <v>1.272876296803829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46363290</v>
      </c>
      <c r="D111" s="448">
        <f>LN_IC23-LN_IC24</f>
        <v>42256390</v>
      </c>
      <c r="E111" s="448">
        <f>D111-C111</f>
        <v>-4106900</v>
      </c>
      <c r="F111" s="449">
        <f>IF(C111=0,0,E111/C111)</f>
        <v>-8.858085782954575E-2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12024439.196949385</v>
      </c>
      <c r="D113" s="448">
        <f>LN_IC10+LN_IC22</f>
        <v>5698005.4816765767</v>
      </c>
      <c r="E113" s="448">
        <f>D113-C113</f>
        <v>-6326433.7152728084</v>
      </c>
      <c r="F113" s="449">
        <f>IF(C113=0,0,E113/C113)</f>
        <v>-0.52613129075307163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144867015</v>
      </c>
      <c r="D118" s="448">
        <v>161366399</v>
      </c>
      <c r="E118" s="448">
        <f t="shared" ref="E118:E130" si="12">D118-C118</f>
        <v>16499384</v>
      </c>
      <c r="F118" s="449">
        <f t="shared" ref="F118:F130" si="13">IF(C118=0,0,E118/C118)</f>
        <v>0.11389331104806709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36206115</v>
      </c>
      <c r="D119" s="448">
        <v>32466881</v>
      </c>
      <c r="E119" s="448">
        <f t="shared" si="12"/>
        <v>-3739234</v>
      </c>
      <c r="F119" s="449">
        <f t="shared" si="13"/>
        <v>-0.1032763111977079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0.24992656195753049</v>
      </c>
      <c r="D120" s="453">
        <f>IF(LN_ID1=0,0,LN_1D2/LN_ID1)</f>
        <v>0.2011997615439135</v>
      </c>
      <c r="E120" s="454">
        <f t="shared" si="12"/>
        <v>-4.8726800413616989E-2</v>
      </c>
      <c r="F120" s="449">
        <f t="shared" si="13"/>
        <v>-0.19496447289142893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4548</v>
      </c>
      <c r="D121" s="456">
        <v>4699</v>
      </c>
      <c r="E121" s="456">
        <f t="shared" si="12"/>
        <v>151</v>
      </c>
      <c r="F121" s="449">
        <f t="shared" si="13"/>
        <v>3.3201407211961305E-2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1.0742</v>
      </c>
      <c r="D122" s="459">
        <v>1.1379999999999999</v>
      </c>
      <c r="E122" s="460">
        <f t="shared" si="12"/>
        <v>6.3799999999999857E-2</v>
      </c>
      <c r="F122" s="449">
        <f t="shared" si="13"/>
        <v>5.9393036678458251E-2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4885.4616000000005</v>
      </c>
      <c r="D123" s="463">
        <f>LN_ID4*LN_ID5</f>
        <v>5347.4619999999995</v>
      </c>
      <c r="E123" s="463">
        <f t="shared" si="12"/>
        <v>462.00039999999899</v>
      </c>
      <c r="F123" s="449">
        <f t="shared" si="13"/>
        <v>9.456637628673592E-2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7410.9916246194616</v>
      </c>
      <c r="D124" s="465">
        <f>IF(LN_ID6=0,0,LN_1D2/LN_ID6)</f>
        <v>6071.4561412498124</v>
      </c>
      <c r="E124" s="465">
        <f t="shared" si="12"/>
        <v>-1339.5354833696492</v>
      </c>
      <c r="F124" s="449">
        <f t="shared" si="13"/>
        <v>-0.180749830956452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5536.6468451412411</v>
      </c>
      <c r="D125" s="465">
        <f>LN_IB7-LN_ID7</f>
        <v>7371.3997844255928</v>
      </c>
      <c r="E125" s="465">
        <f t="shared" si="12"/>
        <v>1834.7529392843517</v>
      </c>
      <c r="F125" s="449">
        <f t="shared" si="13"/>
        <v>0.33138341501670165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1526.7830249011195</v>
      </c>
      <c r="D126" s="465">
        <f>LN_IA7-LN_ID7</f>
        <v>1980.1142937003269</v>
      </c>
      <c r="E126" s="465">
        <f t="shared" si="12"/>
        <v>453.33126879920746</v>
      </c>
      <c r="F126" s="449">
        <f t="shared" si="13"/>
        <v>0.29691924877705983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7459039.8396862634</v>
      </c>
      <c r="D127" s="479">
        <f>LN_ID9*LN_ID6</f>
        <v>10588585.941219337</v>
      </c>
      <c r="E127" s="479">
        <f t="shared" si="12"/>
        <v>3129546.1015330739</v>
      </c>
      <c r="F127" s="449">
        <f t="shared" si="13"/>
        <v>0.41956420247042231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28260</v>
      </c>
      <c r="D128" s="456">
        <v>30133</v>
      </c>
      <c r="E128" s="456">
        <f t="shared" si="12"/>
        <v>1873</v>
      </c>
      <c r="F128" s="449">
        <f t="shared" si="13"/>
        <v>6.6277423920736017E-2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1281.1788747346072</v>
      </c>
      <c r="D129" s="465">
        <f>IF(LN_ID11=0,0,LN_1D2/LN_ID11)</f>
        <v>1077.452659874556</v>
      </c>
      <c r="E129" s="465">
        <f t="shared" si="12"/>
        <v>-203.72621486005119</v>
      </c>
      <c r="F129" s="449">
        <f t="shared" si="13"/>
        <v>-0.15901465351764602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6.2137203166226911</v>
      </c>
      <c r="D130" s="466">
        <f>IF(LN_ID4=0,0,LN_ID11/LN_ID4)</f>
        <v>6.4126409874441368</v>
      </c>
      <c r="E130" s="466">
        <f t="shared" si="12"/>
        <v>0.19892067082144571</v>
      </c>
      <c r="F130" s="449">
        <f t="shared" si="13"/>
        <v>3.2013135558950287E-2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99756592</v>
      </c>
      <c r="D133" s="448">
        <v>121007554</v>
      </c>
      <c r="E133" s="448">
        <f t="shared" ref="E133:E141" si="14">D133-C133</f>
        <v>21250962</v>
      </c>
      <c r="F133" s="449">
        <f t="shared" ref="F133:F141" si="15">IF(C133=0,0,E133/C133)</f>
        <v>0.21302814755339677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24150433</v>
      </c>
      <c r="D134" s="448">
        <v>30325692</v>
      </c>
      <c r="E134" s="448">
        <f t="shared" si="14"/>
        <v>6175259</v>
      </c>
      <c r="F134" s="449">
        <f t="shared" si="15"/>
        <v>0.25569972182279299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0.24209360520255144</v>
      </c>
      <c r="D135" s="453">
        <f>IF(LN_ID14=0,0,LN_ID15/LN_ID14)</f>
        <v>0.25060990820457374</v>
      </c>
      <c r="E135" s="454">
        <f t="shared" si="14"/>
        <v>8.5163030020223018E-3</v>
      </c>
      <c r="F135" s="449">
        <f t="shared" si="15"/>
        <v>3.5177728031671893E-2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0.68860804510950957</v>
      </c>
      <c r="D136" s="453">
        <f>IF(LN_ID1=0,0,LN_ID14/LN_ID1)</f>
        <v>0.74989312985784606</v>
      </c>
      <c r="E136" s="454">
        <f t="shared" si="14"/>
        <v>6.1285084748336494E-2</v>
      </c>
      <c r="F136" s="449">
        <f t="shared" si="15"/>
        <v>8.8998502389832382E-2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3131.7893891580497</v>
      </c>
      <c r="D137" s="463">
        <f>LN_ID17*LN_ID4</f>
        <v>3523.7478172020187</v>
      </c>
      <c r="E137" s="463">
        <f t="shared" si="14"/>
        <v>391.95842804396898</v>
      </c>
      <c r="F137" s="449">
        <f t="shared" si="15"/>
        <v>0.12515478512089317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7711.3847705105745</v>
      </c>
      <c r="D138" s="465">
        <f>IF(LN_ID18=0,0,LN_ID15/LN_ID18)</f>
        <v>8606.0903257485879</v>
      </c>
      <c r="E138" s="465">
        <f t="shared" si="14"/>
        <v>894.7055552380134</v>
      </c>
      <c r="F138" s="449">
        <f t="shared" si="15"/>
        <v>0.11602398036984148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8961.5296553190219</v>
      </c>
      <c r="D139" s="465">
        <f>LN_IB18-LN_ID19</f>
        <v>9310.1529076648767</v>
      </c>
      <c r="E139" s="465">
        <f t="shared" si="14"/>
        <v>348.62325234585478</v>
      </c>
      <c r="F139" s="449">
        <f t="shared" si="15"/>
        <v>3.8902203725781695E-2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3766.9077823204898</v>
      </c>
      <c r="D140" s="465">
        <f>LN_IA16-LN_ID19</f>
        <v>5195.9189227527513</v>
      </c>
      <c r="E140" s="465">
        <f t="shared" si="14"/>
        <v>1429.0111404322615</v>
      </c>
      <c r="F140" s="449">
        <f t="shared" si="15"/>
        <v>0.37935920468750162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11797161.82260819</v>
      </c>
      <c r="D141" s="441">
        <f>LN_ID21*LN_ID18</f>
        <v>18309107.962408673</v>
      </c>
      <c r="E141" s="441">
        <f t="shared" si="14"/>
        <v>6511946.1398004834</v>
      </c>
      <c r="F141" s="449">
        <f t="shared" si="15"/>
        <v>0.5519926095546922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244623607</v>
      </c>
      <c r="D144" s="448">
        <f>LN_ID1+LN_ID14</f>
        <v>282373953</v>
      </c>
      <c r="E144" s="448">
        <f>D144-C144</f>
        <v>37750346</v>
      </c>
      <c r="F144" s="449">
        <f>IF(C144=0,0,E144/C144)</f>
        <v>0.15432012659350575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60356548</v>
      </c>
      <c r="D145" s="448">
        <f>LN_1D2+LN_ID15</f>
        <v>62792573</v>
      </c>
      <c r="E145" s="448">
        <f>D145-C145</f>
        <v>2436025</v>
      </c>
      <c r="F145" s="449">
        <f>IF(C145=0,0,E145/C145)</f>
        <v>4.0360575293338509E-2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184267059</v>
      </c>
      <c r="D146" s="448">
        <f>LN_ID23-LN_ID24</f>
        <v>219581380</v>
      </c>
      <c r="E146" s="448">
        <f>D146-C146</f>
        <v>35314321</v>
      </c>
      <c r="F146" s="449">
        <f>IF(C146=0,0,E146/C146)</f>
        <v>0.19164749897050237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19256201.662294455</v>
      </c>
      <c r="D148" s="448">
        <f>LN_ID10+LN_ID22</f>
        <v>28897693.90362801</v>
      </c>
      <c r="E148" s="448">
        <f>D148-C148</f>
        <v>9641492.2413335554</v>
      </c>
      <c r="F148" s="503">
        <f>IF(C148=0,0,E148/C148)</f>
        <v>0.50069543362814639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932663</v>
      </c>
      <c r="D153" s="448">
        <v>2521374</v>
      </c>
      <c r="E153" s="448">
        <f t="shared" ref="E153:E165" si="16">D153-C153</f>
        <v>1588711</v>
      </c>
      <c r="F153" s="449">
        <f t="shared" ref="F153:F165" si="17">IF(C153=0,0,E153/C153)</f>
        <v>1.7034137732492873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107170</v>
      </c>
      <c r="D154" s="448">
        <v>128688</v>
      </c>
      <c r="E154" s="448">
        <f t="shared" si="16"/>
        <v>21518</v>
      </c>
      <c r="F154" s="449">
        <f t="shared" si="17"/>
        <v>0.20078380143696931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0.11490752822830969</v>
      </c>
      <c r="D155" s="453">
        <f>IF(LN_IE1=0,0,LN_IE2/LN_IE1)</f>
        <v>5.1038838347662825E-2</v>
      </c>
      <c r="E155" s="454">
        <f t="shared" si="16"/>
        <v>-6.3868689880646867E-2</v>
      </c>
      <c r="F155" s="449">
        <f t="shared" si="17"/>
        <v>-0.55582685369183304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41</v>
      </c>
      <c r="D156" s="506">
        <v>50</v>
      </c>
      <c r="E156" s="506">
        <f t="shared" si="16"/>
        <v>9</v>
      </c>
      <c r="F156" s="449">
        <f t="shared" si="17"/>
        <v>0.21951219512195122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1.3109</v>
      </c>
      <c r="D157" s="459">
        <v>1.1045</v>
      </c>
      <c r="E157" s="460">
        <f t="shared" si="16"/>
        <v>-0.20639999999999992</v>
      </c>
      <c r="F157" s="449">
        <f t="shared" si="17"/>
        <v>-0.15744908078419401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53.746899999999997</v>
      </c>
      <c r="D158" s="463">
        <f>LN_IE4*LN_IE5</f>
        <v>55.225000000000001</v>
      </c>
      <c r="E158" s="463">
        <f t="shared" si="16"/>
        <v>1.4781000000000049</v>
      </c>
      <c r="F158" s="449">
        <f t="shared" si="17"/>
        <v>2.7501120994885379E-2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1993.975466492021</v>
      </c>
      <c r="D159" s="465">
        <f>IF(LN_IE6=0,0,LN_IE2/LN_IE6)</f>
        <v>2330.2489814395653</v>
      </c>
      <c r="E159" s="465">
        <f t="shared" si="16"/>
        <v>336.2735149475443</v>
      </c>
      <c r="F159" s="449">
        <f t="shared" si="17"/>
        <v>0.16864476047899754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10953.663003268681</v>
      </c>
      <c r="D160" s="465">
        <f>LN_IB7-LN_IE7</f>
        <v>11112.60694423584</v>
      </c>
      <c r="E160" s="465">
        <f t="shared" si="16"/>
        <v>158.94394096715951</v>
      </c>
      <c r="F160" s="449">
        <f t="shared" si="17"/>
        <v>1.4510574309226884E-2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6943.79918302856</v>
      </c>
      <c r="D161" s="465">
        <f>LN_IA7-LN_IE7</f>
        <v>5721.3214535105744</v>
      </c>
      <c r="E161" s="465">
        <f t="shared" si="16"/>
        <v>-1222.4777295179856</v>
      </c>
      <c r="F161" s="449">
        <f t="shared" si="17"/>
        <v>-0.17605315149462575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373207.68031031766</v>
      </c>
      <c r="D162" s="479">
        <f>LN_IE9*LN_IE6</f>
        <v>315959.97727012145</v>
      </c>
      <c r="E162" s="479">
        <f t="shared" si="16"/>
        <v>-57247.703040196211</v>
      </c>
      <c r="F162" s="449">
        <f t="shared" si="17"/>
        <v>-0.15339368952052498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238</v>
      </c>
      <c r="D163" s="456">
        <v>294</v>
      </c>
      <c r="E163" s="506">
        <f t="shared" si="16"/>
        <v>56</v>
      </c>
      <c r="F163" s="449">
        <f t="shared" si="17"/>
        <v>0.23529411764705882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450.29411764705884</v>
      </c>
      <c r="D164" s="465">
        <f>IF(LN_IE11=0,0,LN_IE2/LN_IE11)</f>
        <v>437.71428571428572</v>
      </c>
      <c r="E164" s="465">
        <f t="shared" si="16"/>
        <v>-12.579831932773118</v>
      </c>
      <c r="F164" s="449">
        <f t="shared" si="17"/>
        <v>-2.7936922646262966E-2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5.8048780487804876</v>
      </c>
      <c r="D165" s="466">
        <f>IF(LN_IE4=0,0,LN_IE11/LN_IE4)</f>
        <v>5.88</v>
      </c>
      <c r="E165" s="466">
        <f t="shared" si="16"/>
        <v>7.5121951219512262E-2</v>
      </c>
      <c r="F165" s="449">
        <f t="shared" si="17"/>
        <v>1.2941176470588248E-2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167823</v>
      </c>
      <c r="D168" s="511">
        <v>1345859</v>
      </c>
      <c r="E168" s="511">
        <f t="shared" ref="E168:E176" si="18">D168-C168</f>
        <v>1178036</v>
      </c>
      <c r="F168" s="449">
        <f t="shared" ref="F168:F176" si="19">IF(C168=0,0,E168/C168)</f>
        <v>7.01951460765211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60587</v>
      </c>
      <c r="D169" s="511">
        <v>124114</v>
      </c>
      <c r="E169" s="511">
        <f t="shared" si="18"/>
        <v>63527</v>
      </c>
      <c r="F169" s="449">
        <f t="shared" si="19"/>
        <v>1.0485252611946456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0.36101726223461622</v>
      </c>
      <c r="D170" s="453">
        <f>IF(LN_IE14=0,0,LN_IE15/LN_IE14)</f>
        <v>9.2219170061648356E-2</v>
      </c>
      <c r="E170" s="454">
        <f t="shared" si="18"/>
        <v>-0.26879809217296785</v>
      </c>
      <c r="F170" s="449">
        <f t="shared" si="19"/>
        <v>-0.74455744999329865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0.17993959232863319</v>
      </c>
      <c r="D171" s="453">
        <f>IF(LN_IE1=0,0,LN_IE14/LN_IE1)</f>
        <v>0.53377999455852243</v>
      </c>
      <c r="E171" s="454">
        <f t="shared" si="18"/>
        <v>0.35384040222988922</v>
      </c>
      <c r="F171" s="449">
        <f t="shared" si="19"/>
        <v>1.9664399460439579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7.377523285473961</v>
      </c>
      <c r="D172" s="463">
        <f>LN_IE17*LN_IE4</f>
        <v>26.68899972792612</v>
      </c>
      <c r="E172" s="463">
        <f t="shared" si="18"/>
        <v>19.311476442452161</v>
      </c>
      <c r="F172" s="449">
        <f t="shared" si="19"/>
        <v>2.6176096902975097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8212.3766548176554</v>
      </c>
      <c r="D173" s="465">
        <f>IF(LN_IE18=0,0,LN_IE15/LN_IE18)</f>
        <v>4650.380353900372</v>
      </c>
      <c r="E173" s="465">
        <f t="shared" si="18"/>
        <v>-3561.9963009172834</v>
      </c>
      <c r="F173" s="449">
        <f t="shared" si="19"/>
        <v>-0.4337351354711303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8460.537771011941</v>
      </c>
      <c r="D174" s="465">
        <f>LN_IB18-LN_IE19</f>
        <v>13265.862879513094</v>
      </c>
      <c r="E174" s="465">
        <f t="shared" si="18"/>
        <v>4805.3251085011525</v>
      </c>
      <c r="F174" s="449">
        <f t="shared" si="19"/>
        <v>0.56796922826412732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3265.9158980134089</v>
      </c>
      <c r="D175" s="465">
        <f>LN_IA16-LN_IE19</f>
        <v>9151.6288946009663</v>
      </c>
      <c r="E175" s="465">
        <f t="shared" si="18"/>
        <v>5885.7129965875574</v>
      </c>
      <c r="F175" s="449">
        <f t="shared" si="19"/>
        <v>1.8021630624866116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24094.370585993525</v>
      </c>
      <c r="D176" s="441">
        <f>LN_IE21*LN_IE18</f>
        <v>244247.82107808601</v>
      </c>
      <c r="E176" s="441">
        <f t="shared" si="18"/>
        <v>220153.4504920925</v>
      </c>
      <c r="F176" s="449">
        <f t="shared" si="19"/>
        <v>9.1371322486453117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1100486</v>
      </c>
      <c r="D179" s="448">
        <f>LN_IE1+LN_IE14</f>
        <v>3867233</v>
      </c>
      <c r="E179" s="448">
        <f>D179-C179</f>
        <v>2766747</v>
      </c>
      <c r="F179" s="449">
        <f>IF(C179=0,0,E179/C179)</f>
        <v>2.5141137642823264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167757</v>
      </c>
      <c r="D180" s="448">
        <f>LN_IE15+LN_IE2</f>
        <v>252802</v>
      </c>
      <c r="E180" s="448">
        <f>D180-C180</f>
        <v>85045</v>
      </c>
      <c r="F180" s="449">
        <f>IF(C180=0,0,E180/C180)</f>
        <v>0.50695351013668577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932729</v>
      </c>
      <c r="D181" s="448">
        <f>LN_IE23-LN_IE24</f>
        <v>3614431</v>
      </c>
      <c r="E181" s="448">
        <f>D181-C181</f>
        <v>2681702</v>
      </c>
      <c r="F181" s="449">
        <f>IF(C181=0,0,E181/C181)</f>
        <v>2.8751137790290642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397302.05089631118</v>
      </c>
      <c r="D183" s="448">
        <f>LN_IE10+LN_IE22</f>
        <v>560207.79834820749</v>
      </c>
      <c r="E183" s="441">
        <f>D183-C183</f>
        <v>162905.74745189631</v>
      </c>
      <c r="F183" s="449">
        <f>IF(C183=0,0,E183/C183)</f>
        <v>0.41002996859538449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145799678</v>
      </c>
      <c r="D188" s="448">
        <f>LN_ID1+LN_IE1</f>
        <v>163887773</v>
      </c>
      <c r="E188" s="448">
        <f t="shared" ref="E188:E200" si="20">D188-C188</f>
        <v>18088095</v>
      </c>
      <c r="F188" s="449">
        <f t="shared" ref="F188:F200" si="21">IF(C188=0,0,E188/C188)</f>
        <v>0.12406128222039009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36313285</v>
      </c>
      <c r="D189" s="448">
        <f>LN_1D2+LN_IE2</f>
        <v>32595569</v>
      </c>
      <c r="E189" s="448">
        <f t="shared" si="20"/>
        <v>-3717716</v>
      </c>
      <c r="F189" s="449">
        <f t="shared" si="21"/>
        <v>-0.10237895029326044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0.24906286144198481</v>
      </c>
      <c r="D190" s="453">
        <f>IF(LN_IF1=0,0,LN_IF2/LN_IF1)</f>
        <v>0.19888957182913211</v>
      </c>
      <c r="E190" s="454">
        <f t="shared" si="20"/>
        <v>-5.0173289612852695E-2</v>
      </c>
      <c r="F190" s="449">
        <f t="shared" si="21"/>
        <v>-0.2014482983226295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4589</v>
      </c>
      <c r="D191" s="456">
        <f>LN_ID4+LN_IE4</f>
        <v>4749</v>
      </c>
      <c r="E191" s="456">
        <f t="shared" si="20"/>
        <v>160</v>
      </c>
      <c r="F191" s="449">
        <f t="shared" si="21"/>
        <v>3.4865983874482455E-2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1.0763147744606669</v>
      </c>
      <c r="D192" s="459">
        <f>IF((LN_ID4+LN_IE4)=0,0,(LN_ID6+LN_IE6)/(LN_ID4+LN_IE4))</f>
        <v>1.1376472941671931</v>
      </c>
      <c r="E192" s="460">
        <f t="shared" si="20"/>
        <v>6.1332519706526201E-2</v>
      </c>
      <c r="F192" s="449">
        <f t="shared" si="21"/>
        <v>5.6983812878773736E-2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4939.2085000000006</v>
      </c>
      <c r="D193" s="463">
        <f>LN_IF4*LN_IF5</f>
        <v>5402.6869999999999</v>
      </c>
      <c r="E193" s="463">
        <f t="shared" si="20"/>
        <v>463.47849999999926</v>
      </c>
      <c r="F193" s="449">
        <f t="shared" si="21"/>
        <v>9.383659345419397E-2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7352.045373261727</v>
      </c>
      <c r="D194" s="465">
        <f>IF(LN_IF6=0,0,LN_IF2/LN_IF6)</f>
        <v>6033.2143986871715</v>
      </c>
      <c r="E194" s="465">
        <f t="shared" si="20"/>
        <v>-1318.8309745745555</v>
      </c>
      <c r="F194" s="449">
        <f t="shared" si="21"/>
        <v>-0.17938286661980402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5595.5930964989757</v>
      </c>
      <c r="D195" s="465">
        <f>LN_IB7-LN_IF7</f>
        <v>7409.6415269882336</v>
      </c>
      <c r="E195" s="465">
        <f t="shared" si="20"/>
        <v>1814.048430489258</v>
      </c>
      <c r="F195" s="449">
        <f t="shared" si="21"/>
        <v>0.32419234193856289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1585.729276258854</v>
      </c>
      <c r="D196" s="465">
        <f>LN_IA7-LN_IF7</f>
        <v>2018.3560362629678</v>
      </c>
      <c r="E196" s="465">
        <f t="shared" si="20"/>
        <v>432.62676000411375</v>
      </c>
      <c r="F196" s="449">
        <f t="shared" si="21"/>
        <v>0.27282510733786303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7832247.5199965807</v>
      </c>
      <c r="D197" s="479">
        <f>LN_IF9*LN_IF6</f>
        <v>10904545.918489464</v>
      </c>
      <c r="E197" s="479">
        <f t="shared" si="20"/>
        <v>3072298.398492883</v>
      </c>
      <c r="F197" s="449">
        <f t="shared" si="21"/>
        <v>0.39226267947341686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28498</v>
      </c>
      <c r="D198" s="456">
        <f>LN_ID11+LN_IE11</f>
        <v>30427</v>
      </c>
      <c r="E198" s="456">
        <f t="shared" si="20"/>
        <v>1929</v>
      </c>
      <c r="F198" s="449">
        <f t="shared" si="21"/>
        <v>6.7688960628816061E-2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1274.2397712120148</v>
      </c>
      <c r="D199" s="519">
        <f>IF(LN_IF11=0,0,LN_IF2/LN_IF11)</f>
        <v>1071.271206494232</v>
      </c>
      <c r="E199" s="519">
        <f t="shared" si="20"/>
        <v>-202.96856471778278</v>
      </c>
      <c r="F199" s="449">
        <f t="shared" si="21"/>
        <v>-0.15928600668673665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6.210067552843757</v>
      </c>
      <c r="D200" s="466">
        <f>IF(LN_IF4=0,0,LN_IF11/LN_IF4)</f>
        <v>6.4070330595914928</v>
      </c>
      <c r="E200" s="466">
        <f t="shared" si="20"/>
        <v>0.19696550674773583</v>
      </c>
      <c r="F200" s="449">
        <f t="shared" si="21"/>
        <v>3.1717127884951915E-2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99924415</v>
      </c>
      <c r="D203" s="448">
        <f>LN_ID14+LN_IE14</f>
        <v>122353413</v>
      </c>
      <c r="E203" s="448">
        <f t="shared" ref="E203:E211" si="22">D203-C203</f>
        <v>22428998</v>
      </c>
      <c r="F203" s="449">
        <f t="shared" ref="F203:F211" si="23">IF(C203=0,0,E203/C203)</f>
        <v>0.22445963781724415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24211020</v>
      </c>
      <c r="D204" s="448">
        <f>LN_ID15+LN_IE15</f>
        <v>30449806</v>
      </c>
      <c r="E204" s="448">
        <f t="shared" si="22"/>
        <v>6238786</v>
      </c>
      <c r="F204" s="449">
        <f t="shared" si="23"/>
        <v>0.25768373244910786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0.24229333741908821</v>
      </c>
      <c r="D205" s="453">
        <f>IF(LN_IF14=0,0,LN_IF15/LN_IF14)</f>
        <v>0.24886764703490535</v>
      </c>
      <c r="E205" s="454">
        <f t="shared" si="22"/>
        <v>6.5743096158171477E-3</v>
      </c>
      <c r="F205" s="449">
        <f t="shared" si="23"/>
        <v>2.7133678894544849E-2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0.68535415421150658</v>
      </c>
      <c r="D206" s="453">
        <f>IF(LN_IF1=0,0,LN_IF14/LN_IF1)</f>
        <v>0.7465682812103378</v>
      </c>
      <c r="E206" s="454">
        <f t="shared" si="22"/>
        <v>6.121412699883122E-2</v>
      </c>
      <c r="F206" s="449">
        <f t="shared" si="23"/>
        <v>8.9317510695266E-2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3139.1669124435239</v>
      </c>
      <c r="D207" s="463">
        <f>LN_ID18+LN_IE18</f>
        <v>3550.4368169299451</v>
      </c>
      <c r="E207" s="463">
        <f t="shared" si="22"/>
        <v>411.26990448642118</v>
      </c>
      <c r="F207" s="449">
        <f t="shared" si="23"/>
        <v>0.13101243608811142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7712.5621782099415</v>
      </c>
      <c r="D208" s="465">
        <f>IF(LN_IF18=0,0,LN_IF15/LN_IF18)</f>
        <v>8576.3548459172071</v>
      </c>
      <c r="E208" s="465">
        <f t="shared" si="22"/>
        <v>863.79266770726554</v>
      </c>
      <c r="F208" s="449">
        <f t="shared" si="23"/>
        <v>0.11199814636797506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8960.3522476196558</v>
      </c>
      <c r="D209" s="465">
        <f>LN_IB18-LN_IF19</f>
        <v>9339.8883874962576</v>
      </c>
      <c r="E209" s="465">
        <f t="shared" si="22"/>
        <v>379.53613987660174</v>
      </c>
      <c r="F209" s="449">
        <f t="shared" si="23"/>
        <v>4.2357278976105729E-2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3765.7303746211228</v>
      </c>
      <c r="D210" s="465">
        <f>LN_IA16-LN_IF19</f>
        <v>5225.6544025841322</v>
      </c>
      <c r="E210" s="465">
        <f t="shared" si="22"/>
        <v>1459.9240279630094</v>
      </c>
      <c r="F210" s="449">
        <f t="shared" si="23"/>
        <v>0.38768681841962599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11821256.193194183</v>
      </c>
      <c r="D211" s="441">
        <f>LN_IF21*LN_IF18</f>
        <v>18553355.783486761</v>
      </c>
      <c r="E211" s="441">
        <f t="shared" si="22"/>
        <v>6732099.5902925786</v>
      </c>
      <c r="F211" s="449">
        <f t="shared" si="23"/>
        <v>0.56949104902814229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245724093</v>
      </c>
      <c r="D214" s="448">
        <f>LN_IF1+LN_IF14</f>
        <v>286241186</v>
      </c>
      <c r="E214" s="448">
        <f>D214-C214</f>
        <v>40517093</v>
      </c>
      <c r="F214" s="449">
        <f>IF(C214=0,0,E214/C214)</f>
        <v>0.16488856467159693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60524305</v>
      </c>
      <c r="D215" s="448">
        <f>LN_IF2+LN_IF15</f>
        <v>63045375</v>
      </c>
      <c r="E215" s="448">
        <f>D215-C215</f>
        <v>2521070</v>
      </c>
      <c r="F215" s="449">
        <f>IF(C215=0,0,E215/C215)</f>
        <v>4.1653844682727044E-2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185199788</v>
      </c>
      <c r="D216" s="448">
        <f>LN_IF23-LN_IF24</f>
        <v>223195811</v>
      </c>
      <c r="E216" s="448">
        <f>D216-C216</f>
        <v>37996023</v>
      </c>
      <c r="F216" s="449">
        <f>IF(C216=0,0,E216/C216)</f>
        <v>0.20516234608216721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542043</v>
      </c>
      <c r="D221" s="448">
        <v>430089</v>
      </c>
      <c r="E221" s="448">
        <f t="shared" ref="E221:E230" si="24">D221-C221</f>
        <v>-111954</v>
      </c>
      <c r="F221" s="449">
        <f t="shared" ref="F221:F230" si="25">IF(C221=0,0,E221/C221)</f>
        <v>-0.20654080949297379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154612</v>
      </c>
      <c r="D222" s="448">
        <v>169349</v>
      </c>
      <c r="E222" s="448">
        <f t="shared" si="24"/>
        <v>14737</v>
      </c>
      <c r="F222" s="449">
        <f t="shared" si="25"/>
        <v>9.5316016868030942E-2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0.28523936292877133</v>
      </c>
      <c r="D223" s="453">
        <f>IF(LN_IG1=0,0,LN_IG2/LN_IG1)</f>
        <v>0.3937533859270988</v>
      </c>
      <c r="E223" s="454">
        <f t="shared" si="24"/>
        <v>0.10851402299832746</v>
      </c>
      <c r="F223" s="449">
        <f t="shared" si="25"/>
        <v>0.38043144495952719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28</v>
      </c>
      <c r="D224" s="456">
        <v>19</v>
      </c>
      <c r="E224" s="456">
        <f t="shared" si="24"/>
        <v>-9</v>
      </c>
      <c r="F224" s="449">
        <f t="shared" si="25"/>
        <v>-0.32142857142857145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0.84150000000000003</v>
      </c>
      <c r="D225" s="459">
        <v>1.0709</v>
      </c>
      <c r="E225" s="460">
        <f t="shared" si="24"/>
        <v>0.22939999999999994</v>
      </c>
      <c r="F225" s="449">
        <f t="shared" si="25"/>
        <v>0.27260843731431961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23.562000000000001</v>
      </c>
      <c r="D226" s="463">
        <f>LN_IG3*LN_IG4</f>
        <v>20.347099999999998</v>
      </c>
      <c r="E226" s="463">
        <f t="shared" si="24"/>
        <v>-3.2149000000000036</v>
      </c>
      <c r="F226" s="449">
        <f t="shared" si="25"/>
        <v>-0.13644427467956893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6561.921738392326</v>
      </c>
      <c r="D227" s="465">
        <f>IF(LN_IG5=0,0,LN_IG2/LN_IG5)</f>
        <v>8323.0042610494875</v>
      </c>
      <c r="E227" s="465">
        <f t="shared" si="24"/>
        <v>1761.0825226571615</v>
      </c>
      <c r="F227" s="449">
        <f t="shared" si="25"/>
        <v>0.26837908052963577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117</v>
      </c>
      <c r="D228" s="456">
        <v>58</v>
      </c>
      <c r="E228" s="456">
        <f t="shared" si="24"/>
        <v>-59</v>
      </c>
      <c r="F228" s="449">
        <f t="shared" si="25"/>
        <v>-0.50427350427350426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1321.4700854700855</v>
      </c>
      <c r="D229" s="465">
        <f>IF(LN_IG6=0,0,LN_IG2/LN_IG6)</f>
        <v>2919.8103448275861</v>
      </c>
      <c r="E229" s="465">
        <f t="shared" si="24"/>
        <v>1598.3402593575006</v>
      </c>
      <c r="F229" s="449">
        <f t="shared" si="25"/>
        <v>1.2095167926475796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4.1785714285714288</v>
      </c>
      <c r="D230" s="466">
        <f>IF(LN_IG3=0,0,LN_IG6/LN_IG3)</f>
        <v>3.0526315789473686</v>
      </c>
      <c r="E230" s="466">
        <f t="shared" si="24"/>
        <v>-1.1259398496240602</v>
      </c>
      <c r="F230" s="449">
        <f t="shared" si="25"/>
        <v>-0.26945569050832208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258853</v>
      </c>
      <c r="D233" s="448">
        <v>352871</v>
      </c>
      <c r="E233" s="448">
        <f>D233-C233</f>
        <v>94018</v>
      </c>
      <c r="F233" s="449">
        <f>IF(C233=0,0,E233/C233)</f>
        <v>0.36321000722417746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92891</v>
      </c>
      <c r="D234" s="448">
        <v>96023</v>
      </c>
      <c r="E234" s="448">
        <f>D234-C234</f>
        <v>3132</v>
      </c>
      <c r="F234" s="449">
        <f>IF(C234=0,0,E234/C234)</f>
        <v>3.3716937055258314E-2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800896</v>
      </c>
      <c r="D237" s="448">
        <f>LN_IG1+LN_IG9</f>
        <v>782960</v>
      </c>
      <c r="E237" s="448">
        <f>D237-C237</f>
        <v>-17936</v>
      </c>
      <c r="F237" s="449">
        <f>IF(C237=0,0,E237/C237)</f>
        <v>-2.2394917692184754E-2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247503</v>
      </c>
      <c r="D238" s="448">
        <f>LN_IG2+LN_IG10</f>
        <v>265372</v>
      </c>
      <c r="E238" s="448">
        <f>D238-C238</f>
        <v>17869</v>
      </c>
      <c r="F238" s="449">
        <f>IF(C238=0,0,E238/C238)</f>
        <v>7.2197104681559418E-2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553393</v>
      </c>
      <c r="D239" s="448">
        <f>LN_IG13-LN_IG14</f>
        <v>517588</v>
      </c>
      <c r="E239" s="448">
        <f>D239-C239</f>
        <v>-35805</v>
      </c>
      <c r="F239" s="449">
        <f>IF(C239=0,0,E239/C239)</f>
        <v>-6.4700854546407352E-2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20648000</v>
      </c>
      <c r="D243" s="448">
        <v>20518000</v>
      </c>
      <c r="E243" s="441">
        <f>D243-C243</f>
        <v>-130000</v>
      </c>
      <c r="F243" s="503">
        <f>IF(C243=0,0,E243/C243)</f>
        <v>-6.296009298721426E-3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398392000</v>
      </c>
      <c r="D244" s="448">
        <v>424794000</v>
      </c>
      <c r="E244" s="441">
        <f>D244-C244</f>
        <v>26402000</v>
      </c>
      <c r="F244" s="503">
        <f>IF(C244=0,0,E244/C244)</f>
        <v>6.6271411072511499E-2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17249000</v>
      </c>
      <c r="D248" s="441">
        <v>21773000</v>
      </c>
      <c r="E248" s="441">
        <f>D248-C248</f>
        <v>4524000</v>
      </c>
      <c r="F248" s="449">
        <f>IF(C248=0,0,E248/C248)</f>
        <v>0.26227607397530289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30938000</v>
      </c>
      <c r="D249" s="441">
        <v>20518000</v>
      </c>
      <c r="E249" s="441">
        <f>D249-C249</f>
        <v>-10420000</v>
      </c>
      <c r="F249" s="449">
        <f>IF(C249=0,0,E249/C249)</f>
        <v>-0.33680263753313078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48187000</v>
      </c>
      <c r="D250" s="441">
        <f>LN_IH4+LN_IH5</f>
        <v>42291000</v>
      </c>
      <c r="E250" s="441">
        <f>D250-C250</f>
        <v>-5896000</v>
      </c>
      <c r="F250" s="449">
        <f>IF(C250=0,0,E250/C250)</f>
        <v>-0.12235665220910204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15999137.99218552</v>
      </c>
      <c r="D251" s="441">
        <f>LN_IH6*LN_III10</f>
        <v>12493094.966138748</v>
      </c>
      <c r="E251" s="441">
        <f>D251-C251</f>
        <v>-3506043.0260467716</v>
      </c>
      <c r="F251" s="449">
        <f>IF(C251=0,0,E251/C251)</f>
        <v>-0.21913949537526539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245724093</v>
      </c>
      <c r="D254" s="441">
        <f>LN_IF23</f>
        <v>286241186</v>
      </c>
      <c r="E254" s="441">
        <f>D254-C254</f>
        <v>40517093</v>
      </c>
      <c r="F254" s="449">
        <f>IF(C254=0,0,E254/C254)</f>
        <v>0.16488856467159693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60524305</v>
      </c>
      <c r="D255" s="441">
        <f>LN_IF24</f>
        <v>63045375</v>
      </c>
      <c r="E255" s="441">
        <f>D255-C255</f>
        <v>2521070</v>
      </c>
      <c r="F255" s="449">
        <f>IF(C255=0,0,E255/C255)</f>
        <v>4.1653844682727044E-2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81585773.588553503</v>
      </c>
      <c r="D256" s="441">
        <f>LN_IH8*LN_III10</f>
        <v>84557904.043843493</v>
      </c>
      <c r="E256" s="441">
        <f>D256-C256</f>
        <v>2972130.4552899897</v>
      </c>
      <c r="F256" s="449">
        <f>IF(C256=0,0,E256/C256)</f>
        <v>3.6429518585909197E-2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21061468.588553503</v>
      </c>
      <c r="D257" s="441">
        <f>LN_IH10-LN_IH9</f>
        <v>21512529.043843493</v>
      </c>
      <c r="E257" s="441">
        <f>D257-C257</f>
        <v>451060.45528998971</v>
      </c>
      <c r="F257" s="449">
        <f>IF(C257=0,0,E257/C257)</f>
        <v>2.1416381929564601E-2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756035776</v>
      </c>
      <c r="D261" s="448">
        <f>LN_IA1+LN_IB1+LN_IF1+LN_IG1</f>
        <v>824442513</v>
      </c>
      <c r="E261" s="448">
        <f t="shared" ref="E261:E274" si="26">D261-C261</f>
        <v>68406737</v>
      </c>
      <c r="F261" s="503">
        <f t="shared" ref="F261:F274" si="27">IF(C261=0,0,E261/C261)</f>
        <v>9.0480820050505117E-2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251395249</v>
      </c>
      <c r="D262" s="448">
        <f>+LN_IA2+LN_IB2+LN_IF2+LN_IG2</f>
        <v>235891172</v>
      </c>
      <c r="E262" s="448">
        <f t="shared" si="26"/>
        <v>-15504077</v>
      </c>
      <c r="F262" s="503">
        <f t="shared" si="27"/>
        <v>-6.1672116166363984E-2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0.33251766249749537</v>
      </c>
      <c r="D263" s="453">
        <f>IF(LN_IIA1=0,0,LN_IIA2/LN_IIA1)</f>
        <v>0.28612203795948599</v>
      </c>
      <c r="E263" s="454">
        <f t="shared" si="26"/>
        <v>-4.6395624538009383E-2</v>
      </c>
      <c r="F263" s="458">
        <f t="shared" si="27"/>
        <v>-0.13952830111200137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18711</v>
      </c>
      <c r="D264" s="456">
        <f>LN_IA4+LN_IB4+LN_IF4+LN_IG3</f>
        <v>18308</v>
      </c>
      <c r="E264" s="456">
        <f t="shared" si="26"/>
        <v>-403</v>
      </c>
      <c r="F264" s="503">
        <f t="shared" si="27"/>
        <v>-2.1538132649243761E-2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1.3758053497942389</v>
      </c>
      <c r="D265" s="525">
        <f>IF(LN_IIA4=0,0,LN_IIA6/LN_IIA4)</f>
        <v>1.4007596952152062</v>
      </c>
      <c r="E265" s="525">
        <f t="shared" si="26"/>
        <v>2.4954345420967305E-2</v>
      </c>
      <c r="F265" s="503">
        <f t="shared" si="27"/>
        <v>1.8137991267950369E-2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25742.693900000002</v>
      </c>
      <c r="D266" s="463">
        <f>LN_IA6+LN_IB6+LN_IF6+LN_IG5</f>
        <v>25645.108499999995</v>
      </c>
      <c r="E266" s="463">
        <f t="shared" si="26"/>
        <v>-97.585400000007212</v>
      </c>
      <c r="F266" s="503">
        <f t="shared" si="27"/>
        <v>-3.7907998432132701E-3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443052936</v>
      </c>
      <c r="D267" s="448">
        <f>LN_IA11+LN_IB13+LN_IF14+LN_IG9</f>
        <v>481811607</v>
      </c>
      <c r="E267" s="448">
        <f t="shared" si="26"/>
        <v>38758671</v>
      </c>
      <c r="F267" s="503">
        <f t="shared" si="27"/>
        <v>8.7480903184896167E-2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0.58602112501088832</v>
      </c>
      <c r="D268" s="453">
        <f>IF(LN_IIA1=0,0,LN_IIA7/LN_IIA1)</f>
        <v>0.58440897867672192</v>
      </c>
      <c r="E268" s="454">
        <f t="shared" si="26"/>
        <v>-1.6121463341663977E-3</v>
      </c>
      <c r="F268" s="458">
        <f t="shared" si="27"/>
        <v>-2.7510037869990503E-3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151606519</v>
      </c>
      <c r="D269" s="448">
        <f>LN_IA12+LN_IB14+LN_IF15+LN_IG10</f>
        <v>156784713</v>
      </c>
      <c r="E269" s="448">
        <f t="shared" si="26"/>
        <v>5178194</v>
      </c>
      <c r="F269" s="503">
        <f t="shared" si="27"/>
        <v>3.4155483775733943E-2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0.34218601589404657</v>
      </c>
      <c r="D270" s="453">
        <f>IF(LN_IIA7=0,0,LN_IIA9/LN_IIA7)</f>
        <v>0.32540667497867065</v>
      </c>
      <c r="E270" s="454">
        <f t="shared" si="26"/>
        <v>-1.6779340915375918E-2</v>
      </c>
      <c r="F270" s="458">
        <f t="shared" si="27"/>
        <v>-4.9035729503836362E-2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1199088712</v>
      </c>
      <c r="D271" s="441">
        <f>LN_IIA1+LN_IIA7</f>
        <v>1306254120</v>
      </c>
      <c r="E271" s="441">
        <f t="shared" si="26"/>
        <v>107165408</v>
      </c>
      <c r="F271" s="503">
        <f t="shared" si="27"/>
        <v>8.937237664530695E-2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403001768</v>
      </c>
      <c r="D272" s="441">
        <f>LN_IIA2+LN_IIA9</f>
        <v>392675885</v>
      </c>
      <c r="E272" s="441">
        <f t="shared" si="26"/>
        <v>-10325883</v>
      </c>
      <c r="F272" s="503">
        <f t="shared" si="27"/>
        <v>-2.5622426053475776E-2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0.33609003568036255</v>
      </c>
      <c r="D273" s="453">
        <f>IF(LN_IIA11=0,0,LN_IIA12/LN_IIA11)</f>
        <v>0.30061216955242981</v>
      </c>
      <c r="E273" s="454">
        <f t="shared" si="26"/>
        <v>-3.5477866127932745E-2</v>
      </c>
      <c r="F273" s="458">
        <f t="shared" si="27"/>
        <v>-0.10556060091491039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110756</v>
      </c>
      <c r="D274" s="508">
        <f>LN_IA8+LN_IB10+LN_IF11+LN_IG6</f>
        <v>111145</v>
      </c>
      <c r="E274" s="528">
        <f t="shared" si="26"/>
        <v>389</v>
      </c>
      <c r="F274" s="458">
        <f t="shared" si="27"/>
        <v>3.5122250713279643E-3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567403428</v>
      </c>
      <c r="D277" s="448">
        <f>LN_IA1+LN_IF1+LN_IG1</f>
        <v>607268001</v>
      </c>
      <c r="E277" s="448">
        <f t="shared" ref="E277:E291" si="28">D277-C277</f>
        <v>39864573</v>
      </c>
      <c r="F277" s="503">
        <f t="shared" ref="F277:F291" si="29">IF(C277=0,0,E277/C277)</f>
        <v>7.0257899464082896E-2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157106506</v>
      </c>
      <c r="D278" s="448">
        <f>LN_IA2+LN_IF2+LN_IG2</f>
        <v>135388523</v>
      </c>
      <c r="E278" s="448">
        <f t="shared" si="28"/>
        <v>-21717983</v>
      </c>
      <c r="F278" s="503">
        <f t="shared" si="29"/>
        <v>-0.1382373241754864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0.27688677622864133</v>
      </c>
      <c r="D279" s="453">
        <f>IF(D277=0,0,LN_IIB2/D277)</f>
        <v>0.22294690775251305</v>
      </c>
      <c r="E279" s="454">
        <f t="shared" si="28"/>
        <v>-5.3939868476128278E-2</v>
      </c>
      <c r="F279" s="458">
        <f t="shared" si="29"/>
        <v>-0.1948083950083157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13291</v>
      </c>
      <c r="D280" s="456">
        <f>LN_IA4+LN_IF4+LN_IG3</f>
        <v>13030</v>
      </c>
      <c r="E280" s="456">
        <f t="shared" si="28"/>
        <v>-261</v>
      </c>
      <c r="F280" s="503">
        <f t="shared" si="29"/>
        <v>-1.9637348581747045E-2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1.3889385223083293</v>
      </c>
      <c r="D281" s="525">
        <f>IF(LN_IIB4=0,0,LN_IIB6/LN_IIB4)</f>
        <v>1.3943838449731387</v>
      </c>
      <c r="E281" s="525">
        <f t="shared" si="28"/>
        <v>5.4453226648094599E-3</v>
      </c>
      <c r="F281" s="503">
        <f t="shared" si="29"/>
        <v>3.9204922157099319E-3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18460.381900000004</v>
      </c>
      <c r="D282" s="463">
        <f>LN_IA6+LN_IF6+LN_IG5</f>
        <v>18168.821499999998</v>
      </c>
      <c r="E282" s="463">
        <f t="shared" si="28"/>
        <v>-291.56040000000576</v>
      </c>
      <c r="F282" s="503">
        <f t="shared" si="29"/>
        <v>-1.5793844438288986E-2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252503841</v>
      </c>
      <c r="D283" s="448">
        <f>LN_IA11+LN_IF14+LN_IG9</f>
        <v>291951415</v>
      </c>
      <c r="E283" s="448">
        <f t="shared" si="28"/>
        <v>39447574</v>
      </c>
      <c r="F283" s="503">
        <f t="shared" si="29"/>
        <v>0.15622563935571973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0.44501641784229756</v>
      </c>
      <c r="D284" s="453">
        <f>IF(D277=0,0,LN_IIB7/D277)</f>
        <v>0.48076205978124642</v>
      </c>
      <c r="E284" s="454">
        <f t="shared" si="28"/>
        <v>3.5745641938948858E-2</v>
      </c>
      <c r="F284" s="458">
        <f t="shared" si="29"/>
        <v>8.0324321768317775E-2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60321076</v>
      </c>
      <c r="D285" s="448">
        <f>LN_IA12+LN_IF15+LN_IG10</f>
        <v>74115958</v>
      </c>
      <c r="E285" s="448">
        <f t="shared" si="28"/>
        <v>13794882</v>
      </c>
      <c r="F285" s="503">
        <f t="shared" si="29"/>
        <v>0.22869091393528856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0.23889171650264124</v>
      </c>
      <c r="D286" s="453">
        <f>IF(LN_IIB7=0,0,LN_IIB9/LN_IIB7)</f>
        <v>0.25386401364076278</v>
      </c>
      <c r="E286" s="454">
        <f t="shared" si="28"/>
        <v>1.4972297138121538E-2</v>
      </c>
      <c r="F286" s="458">
        <f t="shared" si="29"/>
        <v>6.2673990363981497E-2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819907269</v>
      </c>
      <c r="D287" s="441">
        <f>D277+LN_IIB7</f>
        <v>899219416</v>
      </c>
      <c r="E287" s="441">
        <f t="shared" si="28"/>
        <v>79312147</v>
      </c>
      <c r="F287" s="503">
        <f t="shared" si="29"/>
        <v>9.6733069700349242E-2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217427582</v>
      </c>
      <c r="D288" s="441">
        <f>LN_IIB2+LN_IIB9</f>
        <v>209504481</v>
      </c>
      <c r="E288" s="441">
        <f t="shared" si="28"/>
        <v>-7923101</v>
      </c>
      <c r="F288" s="503">
        <f t="shared" si="29"/>
        <v>-3.644018356419932E-2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0.26518557673623944</v>
      </c>
      <c r="D289" s="453">
        <f>IF(LN_IIB11=0,0,LN_IIB12/LN_IIB11)</f>
        <v>0.23298482803222745</v>
      </c>
      <c r="E289" s="454">
        <f t="shared" si="28"/>
        <v>-3.2200748704011989E-2</v>
      </c>
      <c r="F289" s="458">
        <f t="shared" si="29"/>
        <v>-0.12142722504112545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85761</v>
      </c>
      <c r="D290" s="508">
        <f>LN_IA8+LN_IF11+LN_IG6</f>
        <v>85605</v>
      </c>
      <c r="E290" s="528">
        <f t="shared" si="28"/>
        <v>-156</v>
      </c>
      <c r="F290" s="458">
        <f t="shared" si="29"/>
        <v>-1.8190086402910413E-3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602479687</v>
      </c>
      <c r="D291" s="516">
        <f>LN_IIB11-LN_IIB12</f>
        <v>689714935</v>
      </c>
      <c r="E291" s="441">
        <f t="shared" si="28"/>
        <v>87235248</v>
      </c>
      <c r="F291" s="503">
        <f t="shared" si="29"/>
        <v>0.14479367501065643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6.5881946045653681</v>
      </c>
      <c r="D294" s="466">
        <f>IF(LN_IA4=0,0,LN_IA8/LN_IA4)</f>
        <v>6.6715081094166058</v>
      </c>
      <c r="E294" s="466">
        <f t="shared" ref="E294:E300" si="30">D294-C294</f>
        <v>8.3313504851237674E-2</v>
      </c>
      <c r="F294" s="503">
        <f t="shared" ref="F294:F300" si="31">IF(C294=0,0,E294/C294)</f>
        <v>1.2645877945606614E-2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4.6116236162361623</v>
      </c>
      <c r="D295" s="466">
        <f>IF(LN_IB4=0,0,(LN_IB10)/(LN_IB4))</f>
        <v>4.8389541492989769</v>
      </c>
      <c r="E295" s="466">
        <f t="shared" si="30"/>
        <v>0.22733053306281459</v>
      </c>
      <c r="F295" s="503">
        <f t="shared" si="31"/>
        <v>4.9295118591736548E-2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5.7003424657534243</v>
      </c>
      <c r="D296" s="466">
        <f>IF(LN_IC4=0,0,LN_IC11/LN_IC4)</f>
        <v>4.5239923224568139</v>
      </c>
      <c r="E296" s="466">
        <f t="shared" si="30"/>
        <v>-1.1763501432966104</v>
      </c>
      <c r="F296" s="503">
        <f t="shared" si="31"/>
        <v>-0.20636481937074813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6.2137203166226911</v>
      </c>
      <c r="D297" s="466">
        <f>IF(LN_ID4=0,0,LN_ID11/LN_ID4)</f>
        <v>6.4126409874441368</v>
      </c>
      <c r="E297" s="466">
        <f t="shared" si="30"/>
        <v>0.19892067082144571</v>
      </c>
      <c r="F297" s="503">
        <f t="shared" si="31"/>
        <v>3.2013135558950287E-2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5.8048780487804876</v>
      </c>
      <c r="D298" s="466">
        <f>IF(LN_IE4=0,0,LN_IE11/LN_IE4)</f>
        <v>5.88</v>
      </c>
      <c r="E298" s="466">
        <f t="shared" si="30"/>
        <v>7.5121951219512262E-2</v>
      </c>
      <c r="F298" s="503">
        <f t="shared" si="31"/>
        <v>1.2941176470588248E-2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4.1785714285714288</v>
      </c>
      <c r="D299" s="466">
        <f>IF(LN_IG3=0,0,LN_IG6/LN_IG3)</f>
        <v>3.0526315789473686</v>
      </c>
      <c r="E299" s="466">
        <f t="shared" si="30"/>
        <v>-1.1259398496240602</v>
      </c>
      <c r="F299" s="503">
        <f t="shared" si="31"/>
        <v>-0.26945569050832208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5.9192988081876967</v>
      </c>
      <c r="D300" s="466">
        <f>IF(LN_IIA4=0,0,LN_IIA14/LN_IIA4)</f>
        <v>6.0708433471706362</v>
      </c>
      <c r="E300" s="466">
        <f t="shared" si="30"/>
        <v>0.15154453898293951</v>
      </c>
      <c r="F300" s="503">
        <f t="shared" si="31"/>
        <v>2.5601772083767755E-2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1199088712</v>
      </c>
      <c r="D304" s="441">
        <f>LN_IIA11</f>
        <v>1306254120</v>
      </c>
      <c r="E304" s="441">
        <f t="shared" ref="E304:E316" si="32">D304-C304</f>
        <v>107165408</v>
      </c>
      <c r="F304" s="449">
        <f>IF(C304=0,0,E304/C304)</f>
        <v>8.937237664530695E-2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602479687</v>
      </c>
      <c r="D305" s="441">
        <f>LN_IIB14</f>
        <v>689714935</v>
      </c>
      <c r="E305" s="441">
        <f t="shared" si="32"/>
        <v>87235248</v>
      </c>
      <c r="F305" s="449">
        <f>IF(C305=0,0,E305/C305)</f>
        <v>0.14479367501065643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48187000</v>
      </c>
      <c r="D306" s="441">
        <f>LN_IH6</f>
        <v>42291000</v>
      </c>
      <c r="E306" s="441">
        <f t="shared" si="32"/>
        <v>-5896000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147243964</v>
      </c>
      <c r="D307" s="441">
        <f>LN_IB32-LN_IB33</f>
        <v>178910845</v>
      </c>
      <c r="E307" s="441">
        <f t="shared" si="32"/>
        <v>31666881</v>
      </c>
      <c r="F307" s="449">
        <f t="shared" ref="F307:F316" si="33">IF(C307=0,0,E307/C307)</f>
        <v>0.21506403481503664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3054381</v>
      </c>
      <c r="D308" s="441">
        <v>9459570</v>
      </c>
      <c r="E308" s="441">
        <f t="shared" si="32"/>
        <v>6405189</v>
      </c>
      <c r="F308" s="449">
        <f t="shared" si="33"/>
        <v>2.0970497786621904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800965032</v>
      </c>
      <c r="D309" s="441">
        <f>LN_III2+LN_III3+LN_III4+LN_III5</f>
        <v>920376350</v>
      </c>
      <c r="E309" s="441">
        <f t="shared" si="32"/>
        <v>119411318</v>
      </c>
      <c r="F309" s="449">
        <f t="shared" si="33"/>
        <v>0.1490843085893917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398123680</v>
      </c>
      <c r="D310" s="441">
        <f>LN_III1-LN_III6</f>
        <v>385877770</v>
      </c>
      <c r="E310" s="441">
        <f t="shared" si="32"/>
        <v>-12245910</v>
      </c>
      <c r="F310" s="449">
        <f t="shared" si="33"/>
        <v>-3.0759059596756465E-2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398123680</v>
      </c>
      <c r="D312" s="441">
        <f>LN_III7+LN_III8</f>
        <v>385877770</v>
      </c>
      <c r="E312" s="441">
        <f t="shared" si="32"/>
        <v>-12245910</v>
      </c>
      <c r="F312" s="449">
        <f t="shared" si="33"/>
        <v>-3.0759059596756465E-2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0.33202187295713614</v>
      </c>
      <c r="D313" s="532">
        <f>IF(LN_III1=0,0,LN_III9/LN_III1)</f>
        <v>0.29540788740249102</v>
      </c>
      <c r="E313" s="532">
        <f t="shared" si="32"/>
        <v>-3.6613985554645123E-2</v>
      </c>
      <c r="F313" s="449">
        <f t="shared" si="33"/>
        <v>-0.11027582378397091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15999137.99218552</v>
      </c>
      <c r="D314" s="441">
        <f>D313*LN_III5</f>
        <v>12493094.966138748</v>
      </c>
      <c r="E314" s="441">
        <f t="shared" si="32"/>
        <v>-3506043.0260467716</v>
      </c>
      <c r="F314" s="449">
        <f t="shared" si="33"/>
        <v>-0.21913949537526539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21061468.588553503</v>
      </c>
      <c r="D315" s="441">
        <f>D313*LN_IH8-LN_IH9</f>
        <v>21512529.043843493</v>
      </c>
      <c r="E315" s="441">
        <f t="shared" si="32"/>
        <v>451060.45528998971</v>
      </c>
      <c r="F315" s="449">
        <f t="shared" si="33"/>
        <v>2.1416381929564601E-2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37060606.580739021</v>
      </c>
      <c r="D318" s="441">
        <f>D314+D315+D316</f>
        <v>34005624.009982243</v>
      </c>
      <c r="E318" s="441">
        <f>D318-C318</f>
        <v>-3054982.5707567781</v>
      </c>
      <c r="F318" s="449">
        <f>IF(C318=0,0,E318/C318)</f>
        <v>-8.2432071480030775E-2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11797161.82260819</v>
      </c>
      <c r="D322" s="441">
        <f>LN_ID22</f>
        <v>18309107.962408673</v>
      </c>
      <c r="E322" s="441">
        <f>LN_IV2-C322</f>
        <v>6511946.1398004834</v>
      </c>
      <c r="F322" s="449">
        <f>IF(C322=0,0,E322/C322)</f>
        <v>0.5519926095546922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397302.05089631118</v>
      </c>
      <c r="D323" s="441">
        <f>LN_IE10+LN_IE22</f>
        <v>560207.79834820749</v>
      </c>
      <c r="E323" s="441">
        <f>LN_IV3-C323</f>
        <v>162905.74745189631</v>
      </c>
      <c r="F323" s="449">
        <f>IF(C323=0,0,E323/C323)</f>
        <v>0.41002996859538449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12024439.196949385</v>
      </c>
      <c r="D324" s="441">
        <f>LN_IC10+LN_IC22</f>
        <v>5698005.4816765767</v>
      </c>
      <c r="E324" s="441">
        <f>LN_IV1-C324</f>
        <v>-6326433.7152728084</v>
      </c>
      <c r="F324" s="449">
        <f>IF(C324=0,0,E324/C324)</f>
        <v>-0.52613129075307163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24218903.070453882</v>
      </c>
      <c r="D325" s="516">
        <f>LN_IV1+LN_IV2+LN_IV3</f>
        <v>24567321.242433455</v>
      </c>
      <c r="E325" s="441">
        <f>LN_IV4-C325</f>
        <v>348418.17197957262</v>
      </c>
      <c r="F325" s="449">
        <f>IF(C325=0,0,E325/C325)</f>
        <v>1.438620778843734E-2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19559565</v>
      </c>
      <c r="D329" s="518">
        <v>22800495</v>
      </c>
      <c r="E329" s="518">
        <f t="shared" ref="E329:E335" si="34">D329-C329</f>
        <v>3240930</v>
      </c>
      <c r="F329" s="542">
        <f t="shared" ref="F329:F335" si="35">IF(C329=0,0,E329/C329)</f>
        <v>0.16569540273518352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-1936980</v>
      </c>
      <c r="D330" s="516">
        <v>9934276</v>
      </c>
      <c r="E330" s="518">
        <f t="shared" si="34"/>
        <v>11871256</v>
      </c>
      <c r="F330" s="543">
        <f t="shared" si="35"/>
        <v>-6.1287447469772536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401065000</v>
      </c>
      <c r="D331" s="516">
        <v>402610000</v>
      </c>
      <c r="E331" s="518">
        <f t="shared" si="34"/>
        <v>1545000</v>
      </c>
      <c r="F331" s="542">
        <f t="shared" si="35"/>
        <v>3.8522434019423284E-3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1199089000</v>
      </c>
      <c r="D333" s="516">
        <v>1306254000</v>
      </c>
      <c r="E333" s="518">
        <f t="shared" si="34"/>
        <v>107165000</v>
      </c>
      <c r="F333" s="542">
        <f t="shared" si="35"/>
        <v>8.9372014921327778E-2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48187000</v>
      </c>
      <c r="D335" s="516">
        <v>42291000</v>
      </c>
      <c r="E335" s="516">
        <f t="shared" si="34"/>
        <v>-5896000</v>
      </c>
      <c r="F335" s="542">
        <f t="shared" si="35"/>
        <v>-0.12235665220910204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r:id="rId1"/>
  <headerFooter>
    <oddHeader>&amp;LOFFICE OF HEALTH CARE ACCESS&amp;CTWELVE MONTHS ACTUAL FILING&amp;RSAINT VINCENT`S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tabSelected="1" zoomScale="75" zoomScaleSheetLayoutView="68" workbookViewId="0">
      <selection activeCell="M14" sqref="M14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188632348</v>
      </c>
      <c r="D14" s="589">
        <v>217174512</v>
      </c>
      <c r="E14" s="590">
        <f t="shared" ref="E14:E22" si="0">D14-C14</f>
        <v>28542164</v>
      </c>
    </row>
    <row r="15" spans="1:5" s="421" customFormat="1" x14ac:dyDescent="0.2">
      <c r="A15" s="588">
        <v>2</v>
      </c>
      <c r="B15" s="587" t="s">
        <v>635</v>
      </c>
      <c r="C15" s="589">
        <v>421061707</v>
      </c>
      <c r="D15" s="591">
        <v>442950139</v>
      </c>
      <c r="E15" s="590">
        <f t="shared" si="0"/>
        <v>21888432</v>
      </c>
    </row>
    <row r="16" spans="1:5" s="421" customFormat="1" x14ac:dyDescent="0.2">
      <c r="A16" s="588">
        <v>3</v>
      </c>
      <c r="B16" s="587" t="s">
        <v>777</v>
      </c>
      <c r="C16" s="589">
        <v>145799678</v>
      </c>
      <c r="D16" s="591">
        <v>163887773</v>
      </c>
      <c r="E16" s="590">
        <f t="shared" si="0"/>
        <v>18088095</v>
      </c>
    </row>
    <row r="17" spans="1:5" s="421" customFormat="1" x14ac:dyDescent="0.2">
      <c r="A17" s="588">
        <v>4</v>
      </c>
      <c r="B17" s="587" t="s">
        <v>115</v>
      </c>
      <c r="C17" s="589">
        <v>144867015</v>
      </c>
      <c r="D17" s="591">
        <v>161366399</v>
      </c>
      <c r="E17" s="590">
        <f t="shared" si="0"/>
        <v>16499384</v>
      </c>
    </row>
    <row r="18" spans="1:5" s="421" customFormat="1" x14ac:dyDescent="0.2">
      <c r="A18" s="588">
        <v>5</v>
      </c>
      <c r="B18" s="587" t="s">
        <v>743</v>
      </c>
      <c r="C18" s="589">
        <v>932663</v>
      </c>
      <c r="D18" s="591">
        <v>2521374</v>
      </c>
      <c r="E18" s="590">
        <f t="shared" si="0"/>
        <v>1588711</v>
      </c>
    </row>
    <row r="19" spans="1:5" s="421" customFormat="1" x14ac:dyDescent="0.2">
      <c r="A19" s="588">
        <v>6</v>
      </c>
      <c r="B19" s="587" t="s">
        <v>424</v>
      </c>
      <c r="C19" s="589">
        <v>542043</v>
      </c>
      <c r="D19" s="591">
        <v>430089</v>
      </c>
      <c r="E19" s="590">
        <f t="shared" si="0"/>
        <v>-111954</v>
      </c>
    </row>
    <row r="20" spans="1:5" s="421" customFormat="1" x14ac:dyDescent="0.2">
      <c r="A20" s="588">
        <v>7</v>
      </c>
      <c r="B20" s="587" t="s">
        <v>758</v>
      </c>
      <c r="C20" s="589">
        <v>20452129</v>
      </c>
      <c r="D20" s="591">
        <v>21828716</v>
      </c>
      <c r="E20" s="590">
        <f t="shared" si="0"/>
        <v>1376587</v>
      </c>
    </row>
    <row r="21" spans="1:5" s="421" customFormat="1" x14ac:dyDescent="0.2">
      <c r="A21" s="588"/>
      <c r="B21" s="592" t="s">
        <v>778</v>
      </c>
      <c r="C21" s="593">
        <f>SUM(C15+C16+C19)</f>
        <v>567403428</v>
      </c>
      <c r="D21" s="593">
        <f>SUM(D15+D16+D19)</f>
        <v>607268001</v>
      </c>
      <c r="E21" s="593">
        <f t="shared" si="0"/>
        <v>39864573</v>
      </c>
    </row>
    <row r="22" spans="1:5" s="421" customFormat="1" x14ac:dyDescent="0.2">
      <c r="A22" s="588"/>
      <c r="B22" s="592" t="s">
        <v>465</v>
      </c>
      <c r="C22" s="593">
        <f>SUM(C14+C21)</f>
        <v>756035776</v>
      </c>
      <c r="D22" s="593">
        <f>SUM(D14+D21)</f>
        <v>824442513</v>
      </c>
      <c r="E22" s="593">
        <f t="shared" si="0"/>
        <v>68406737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190549095</v>
      </c>
      <c r="D25" s="589">
        <v>189860192</v>
      </c>
      <c r="E25" s="590">
        <f t="shared" ref="E25:E33" si="1">D25-C25</f>
        <v>-688903</v>
      </c>
    </row>
    <row r="26" spans="1:5" s="421" customFormat="1" x14ac:dyDescent="0.2">
      <c r="A26" s="588">
        <v>2</v>
      </c>
      <c r="B26" s="587" t="s">
        <v>635</v>
      </c>
      <c r="C26" s="589">
        <v>152320573</v>
      </c>
      <c r="D26" s="591">
        <v>169245131</v>
      </c>
      <c r="E26" s="590">
        <f t="shared" si="1"/>
        <v>16924558</v>
      </c>
    </row>
    <row r="27" spans="1:5" s="421" customFormat="1" x14ac:dyDescent="0.2">
      <c r="A27" s="588">
        <v>3</v>
      </c>
      <c r="B27" s="587" t="s">
        <v>777</v>
      </c>
      <c r="C27" s="589">
        <v>99924415</v>
      </c>
      <c r="D27" s="591">
        <v>122353413</v>
      </c>
      <c r="E27" s="590">
        <f t="shared" si="1"/>
        <v>22428998</v>
      </c>
    </row>
    <row r="28" spans="1:5" s="421" customFormat="1" x14ac:dyDescent="0.2">
      <c r="A28" s="588">
        <v>4</v>
      </c>
      <c r="B28" s="587" t="s">
        <v>115</v>
      </c>
      <c r="C28" s="589">
        <v>99756592</v>
      </c>
      <c r="D28" s="591">
        <v>121007554</v>
      </c>
      <c r="E28" s="590">
        <f t="shared" si="1"/>
        <v>21250962</v>
      </c>
    </row>
    <row r="29" spans="1:5" s="421" customFormat="1" x14ac:dyDescent="0.2">
      <c r="A29" s="588">
        <v>5</v>
      </c>
      <c r="B29" s="587" t="s">
        <v>743</v>
      </c>
      <c r="C29" s="589">
        <v>167823</v>
      </c>
      <c r="D29" s="591">
        <v>1345859</v>
      </c>
      <c r="E29" s="590">
        <f t="shared" si="1"/>
        <v>1178036</v>
      </c>
    </row>
    <row r="30" spans="1:5" s="421" customFormat="1" x14ac:dyDescent="0.2">
      <c r="A30" s="588">
        <v>6</v>
      </c>
      <c r="B30" s="587" t="s">
        <v>424</v>
      </c>
      <c r="C30" s="589">
        <v>258853</v>
      </c>
      <c r="D30" s="591">
        <v>352871</v>
      </c>
      <c r="E30" s="590">
        <f t="shared" si="1"/>
        <v>94018</v>
      </c>
    </row>
    <row r="31" spans="1:5" s="421" customFormat="1" x14ac:dyDescent="0.2">
      <c r="A31" s="588">
        <v>7</v>
      </c>
      <c r="B31" s="587" t="s">
        <v>758</v>
      </c>
      <c r="C31" s="590">
        <v>29956877</v>
      </c>
      <c r="D31" s="594">
        <v>29623086</v>
      </c>
      <c r="E31" s="590">
        <f t="shared" si="1"/>
        <v>-333791</v>
      </c>
    </row>
    <row r="32" spans="1:5" s="421" customFormat="1" x14ac:dyDescent="0.2">
      <c r="A32" s="588"/>
      <c r="B32" s="592" t="s">
        <v>780</v>
      </c>
      <c r="C32" s="593">
        <f>SUM(C26+C27+C30)</f>
        <v>252503841</v>
      </c>
      <c r="D32" s="593">
        <f>SUM(D26+D27+D30)</f>
        <v>291951415</v>
      </c>
      <c r="E32" s="593">
        <f t="shared" si="1"/>
        <v>39447574</v>
      </c>
    </row>
    <row r="33" spans="1:5" s="421" customFormat="1" x14ac:dyDescent="0.2">
      <c r="A33" s="588"/>
      <c r="B33" s="592" t="s">
        <v>467</v>
      </c>
      <c r="C33" s="593">
        <f>SUM(C25+C32)</f>
        <v>443052936</v>
      </c>
      <c r="D33" s="593">
        <f>SUM(D25+D32)</f>
        <v>481811607</v>
      </c>
      <c r="E33" s="593">
        <f t="shared" si="1"/>
        <v>38758671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379181443</v>
      </c>
      <c r="D36" s="590">
        <f t="shared" si="2"/>
        <v>407034704</v>
      </c>
      <c r="E36" s="590">
        <f t="shared" ref="E36:E44" si="3">D36-C36</f>
        <v>27853261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573382280</v>
      </c>
      <c r="D37" s="590">
        <f t="shared" si="2"/>
        <v>612195270</v>
      </c>
      <c r="E37" s="590">
        <f t="shared" si="3"/>
        <v>38812990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245724093</v>
      </c>
      <c r="D38" s="590">
        <f t="shared" si="2"/>
        <v>286241186</v>
      </c>
      <c r="E38" s="590">
        <f t="shared" si="3"/>
        <v>40517093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244623607</v>
      </c>
      <c r="D39" s="590">
        <f t="shared" si="2"/>
        <v>282373953</v>
      </c>
      <c r="E39" s="590">
        <f t="shared" si="3"/>
        <v>37750346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1100486</v>
      </c>
      <c r="D40" s="590">
        <f t="shared" si="2"/>
        <v>3867233</v>
      </c>
      <c r="E40" s="590">
        <f t="shared" si="3"/>
        <v>2766747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800896</v>
      </c>
      <c r="D41" s="590">
        <f t="shared" si="2"/>
        <v>782960</v>
      </c>
      <c r="E41" s="590">
        <f t="shared" si="3"/>
        <v>-17936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50409006</v>
      </c>
      <c r="D42" s="590">
        <f t="shared" si="2"/>
        <v>51451802</v>
      </c>
      <c r="E42" s="590">
        <f t="shared" si="3"/>
        <v>1042796</v>
      </c>
    </row>
    <row r="43" spans="1:5" s="421" customFormat="1" x14ac:dyDescent="0.2">
      <c r="A43" s="588"/>
      <c r="B43" s="592" t="s">
        <v>788</v>
      </c>
      <c r="C43" s="593">
        <f>SUM(C37+C38+C41)</f>
        <v>819907269</v>
      </c>
      <c r="D43" s="593">
        <f>SUM(D37+D38+D41)</f>
        <v>899219416</v>
      </c>
      <c r="E43" s="593">
        <f t="shared" si="3"/>
        <v>79312147</v>
      </c>
    </row>
    <row r="44" spans="1:5" s="421" customFormat="1" x14ac:dyDescent="0.2">
      <c r="A44" s="588"/>
      <c r="B44" s="592" t="s">
        <v>725</v>
      </c>
      <c r="C44" s="593">
        <f>SUM(C36+C43)</f>
        <v>1199088712</v>
      </c>
      <c r="D44" s="593">
        <f>SUM(D36+D43)</f>
        <v>1306254120</v>
      </c>
      <c r="E44" s="593">
        <f t="shared" si="3"/>
        <v>107165408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94288743</v>
      </c>
      <c r="D47" s="589">
        <v>100502649</v>
      </c>
      <c r="E47" s="590">
        <f t="shared" ref="E47:E55" si="4">D47-C47</f>
        <v>6213906</v>
      </c>
    </row>
    <row r="48" spans="1:5" s="421" customFormat="1" x14ac:dyDescent="0.2">
      <c r="A48" s="588">
        <v>2</v>
      </c>
      <c r="B48" s="587" t="s">
        <v>635</v>
      </c>
      <c r="C48" s="589">
        <v>120638609</v>
      </c>
      <c r="D48" s="591">
        <v>102623605</v>
      </c>
      <c r="E48" s="590">
        <f t="shared" si="4"/>
        <v>-18015004</v>
      </c>
    </row>
    <row r="49" spans="1:5" s="421" customFormat="1" x14ac:dyDescent="0.2">
      <c r="A49" s="588">
        <v>3</v>
      </c>
      <c r="B49" s="587" t="s">
        <v>777</v>
      </c>
      <c r="C49" s="589">
        <v>36313285</v>
      </c>
      <c r="D49" s="591">
        <v>32595569</v>
      </c>
      <c r="E49" s="590">
        <f t="shared" si="4"/>
        <v>-3717716</v>
      </c>
    </row>
    <row r="50" spans="1:5" s="421" customFormat="1" x14ac:dyDescent="0.2">
      <c r="A50" s="588">
        <v>4</v>
      </c>
      <c r="B50" s="587" t="s">
        <v>115</v>
      </c>
      <c r="C50" s="589">
        <v>36206115</v>
      </c>
      <c r="D50" s="591">
        <v>32466881</v>
      </c>
      <c r="E50" s="590">
        <f t="shared" si="4"/>
        <v>-3739234</v>
      </c>
    </row>
    <row r="51" spans="1:5" s="421" customFormat="1" x14ac:dyDescent="0.2">
      <c r="A51" s="588">
        <v>5</v>
      </c>
      <c r="B51" s="587" t="s">
        <v>743</v>
      </c>
      <c r="C51" s="589">
        <v>107170</v>
      </c>
      <c r="D51" s="591">
        <v>128688</v>
      </c>
      <c r="E51" s="590">
        <f t="shared" si="4"/>
        <v>21518</v>
      </c>
    </row>
    <row r="52" spans="1:5" s="421" customFormat="1" x14ac:dyDescent="0.2">
      <c r="A52" s="588">
        <v>6</v>
      </c>
      <c r="B52" s="587" t="s">
        <v>424</v>
      </c>
      <c r="C52" s="589">
        <v>154612</v>
      </c>
      <c r="D52" s="591">
        <v>169349</v>
      </c>
      <c r="E52" s="590">
        <f t="shared" si="4"/>
        <v>14737</v>
      </c>
    </row>
    <row r="53" spans="1:5" s="421" customFormat="1" x14ac:dyDescent="0.2">
      <c r="A53" s="588">
        <v>7</v>
      </c>
      <c r="B53" s="587" t="s">
        <v>758</v>
      </c>
      <c r="C53" s="589">
        <v>1347825</v>
      </c>
      <c r="D53" s="591">
        <v>2711717</v>
      </c>
      <c r="E53" s="590">
        <f t="shared" si="4"/>
        <v>1363892</v>
      </c>
    </row>
    <row r="54" spans="1:5" s="421" customFormat="1" x14ac:dyDescent="0.2">
      <c r="A54" s="588"/>
      <c r="B54" s="592" t="s">
        <v>790</v>
      </c>
      <c r="C54" s="593">
        <f>SUM(C48+C49+C52)</f>
        <v>157106506</v>
      </c>
      <c r="D54" s="593">
        <f>SUM(D48+D49+D52)</f>
        <v>135388523</v>
      </c>
      <c r="E54" s="593">
        <f t="shared" si="4"/>
        <v>-21717983</v>
      </c>
    </row>
    <row r="55" spans="1:5" s="421" customFormat="1" x14ac:dyDescent="0.2">
      <c r="A55" s="588"/>
      <c r="B55" s="592" t="s">
        <v>466</v>
      </c>
      <c r="C55" s="593">
        <f>SUM(C47+C54)</f>
        <v>251395249</v>
      </c>
      <c r="D55" s="593">
        <f>SUM(D47+D54)</f>
        <v>235891172</v>
      </c>
      <c r="E55" s="593">
        <f t="shared" si="4"/>
        <v>-15504077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91285443</v>
      </c>
      <c r="D58" s="589">
        <v>82668755</v>
      </c>
      <c r="E58" s="590">
        <f t="shared" ref="E58:E66" si="5">D58-C58</f>
        <v>-8616688</v>
      </c>
    </row>
    <row r="59" spans="1:5" s="421" customFormat="1" x14ac:dyDescent="0.2">
      <c r="A59" s="588">
        <v>2</v>
      </c>
      <c r="B59" s="587" t="s">
        <v>635</v>
      </c>
      <c r="C59" s="589">
        <v>36017165</v>
      </c>
      <c r="D59" s="591">
        <v>43570129</v>
      </c>
      <c r="E59" s="590">
        <f t="shared" si="5"/>
        <v>7552964</v>
      </c>
    </row>
    <row r="60" spans="1:5" s="421" customFormat="1" x14ac:dyDescent="0.2">
      <c r="A60" s="588">
        <v>3</v>
      </c>
      <c r="B60" s="587" t="s">
        <v>777</v>
      </c>
      <c r="C60" s="589">
        <f>C61+C62</f>
        <v>24211020</v>
      </c>
      <c r="D60" s="591">
        <f>D61+D62</f>
        <v>30449806</v>
      </c>
      <c r="E60" s="590">
        <f t="shared" si="5"/>
        <v>6238786</v>
      </c>
    </row>
    <row r="61" spans="1:5" s="421" customFormat="1" x14ac:dyDescent="0.2">
      <c r="A61" s="588">
        <v>4</v>
      </c>
      <c r="B61" s="587" t="s">
        <v>115</v>
      </c>
      <c r="C61" s="589">
        <v>24150433</v>
      </c>
      <c r="D61" s="591">
        <v>30325692</v>
      </c>
      <c r="E61" s="590">
        <f t="shared" si="5"/>
        <v>6175259</v>
      </c>
    </row>
    <row r="62" spans="1:5" s="421" customFormat="1" x14ac:dyDescent="0.2">
      <c r="A62" s="588">
        <v>5</v>
      </c>
      <c r="B62" s="587" t="s">
        <v>743</v>
      </c>
      <c r="C62" s="589">
        <v>60587</v>
      </c>
      <c r="D62" s="591">
        <v>124114</v>
      </c>
      <c r="E62" s="590">
        <f t="shared" si="5"/>
        <v>63527</v>
      </c>
    </row>
    <row r="63" spans="1:5" s="421" customFormat="1" x14ac:dyDescent="0.2">
      <c r="A63" s="588">
        <v>6</v>
      </c>
      <c r="B63" s="587" t="s">
        <v>424</v>
      </c>
      <c r="C63" s="589">
        <v>92891</v>
      </c>
      <c r="D63" s="591">
        <v>96023</v>
      </c>
      <c r="E63" s="590">
        <f t="shared" si="5"/>
        <v>3132</v>
      </c>
    </row>
    <row r="64" spans="1:5" s="421" customFormat="1" x14ac:dyDescent="0.2">
      <c r="A64" s="588">
        <v>7</v>
      </c>
      <c r="B64" s="587" t="s">
        <v>758</v>
      </c>
      <c r="C64" s="589">
        <v>2697891</v>
      </c>
      <c r="D64" s="591">
        <v>6483695</v>
      </c>
      <c r="E64" s="590">
        <f t="shared" si="5"/>
        <v>3785804</v>
      </c>
    </row>
    <row r="65" spans="1:5" s="421" customFormat="1" x14ac:dyDescent="0.2">
      <c r="A65" s="588"/>
      <c r="B65" s="592" t="s">
        <v>792</v>
      </c>
      <c r="C65" s="593">
        <f>SUM(C59+C60+C63)</f>
        <v>60321076</v>
      </c>
      <c r="D65" s="593">
        <f>SUM(D59+D60+D63)</f>
        <v>74115958</v>
      </c>
      <c r="E65" s="593">
        <f t="shared" si="5"/>
        <v>13794882</v>
      </c>
    </row>
    <row r="66" spans="1:5" s="421" customFormat="1" x14ac:dyDescent="0.2">
      <c r="A66" s="588"/>
      <c r="B66" s="592" t="s">
        <v>468</v>
      </c>
      <c r="C66" s="593">
        <f>SUM(C58+C65)</f>
        <v>151606519</v>
      </c>
      <c r="D66" s="593">
        <f>SUM(D58+D65)</f>
        <v>156784713</v>
      </c>
      <c r="E66" s="593">
        <f t="shared" si="5"/>
        <v>5178194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185574186</v>
      </c>
      <c r="D69" s="590">
        <f t="shared" si="6"/>
        <v>183171404</v>
      </c>
      <c r="E69" s="590">
        <f t="shared" ref="E69:E77" si="7">D69-C69</f>
        <v>-2402782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156655774</v>
      </c>
      <c r="D70" s="590">
        <f t="shared" si="6"/>
        <v>146193734</v>
      </c>
      <c r="E70" s="590">
        <f t="shared" si="7"/>
        <v>-10462040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60524305</v>
      </c>
      <c r="D71" s="590">
        <f t="shared" si="6"/>
        <v>63045375</v>
      </c>
      <c r="E71" s="590">
        <f t="shared" si="7"/>
        <v>2521070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60356548</v>
      </c>
      <c r="D72" s="590">
        <f t="shared" si="6"/>
        <v>62792573</v>
      </c>
      <c r="E72" s="590">
        <f t="shared" si="7"/>
        <v>2436025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167757</v>
      </c>
      <c r="D73" s="590">
        <f t="shared" si="6"/>
        <v>252802</v>
      </c>
      <c r="E73" s="590">
        <f t="shared" si="7"/>
        <v>85045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247503</v>
      </c>
      <c r="D74" s="590">
        <f t="shared" si="6"/>
        <v>265372</v>
      </c>
      <c r="E74" s="590">
        <f t="shared" si="7"/>
        <v>17869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4045716</v>
      </c>
      <c r="D75" s="590">
        <f t="shared" si="6"/>
        <v>9195412</v>
      </c>
      <c r="E75" s="590">
        <f t="shared" si="7"/>
        <v>5149696</v>
      </c>
    </row>
    <row r="76" spans="1:5" s="421" customFormat="1" x14ac:dyDescent="0.2">
      <c r="A76" s="588"/>
      <c r="B76" s="592" t="s">
        <v>793</v>
      </c>
      <c r="C76" s="593">
        <f>SUM(C70+C71+C74)</f>
        <v>217427582</v>
      </c>
      <c r="D76" s="593">
        <f>SUM(D70+D71+D74)</f>
        <v>209504481</v>
      </c>
      <c r="E76" s="593">
        <f t="shared" si="7"/>
        <v>-7923101</v>
      </c>
    </row>
    <row r="77" spans="1:5" s="421" customFormat="1" x14ac:dyDescent="0.2">
      <c r="A77" s="588"/>
      <c r="B77" s="592" t="s">
        <v>726</v>
      </c>
      <c r="C77" s="593">
        <f>SUM(C69+C76)</f>
        <v>403001768</v>
      </c>
      <c r="D77" s="593">
        <f>SUM(D69+D76)</f>
        <v>392675885</v>
      </c>
      <c r="E77" s="593">
        <f t="shared" si="7"/>
        <v>-10325883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0.15731308794106971</v>
      </c>
      <c r="D83" s="599">
        <f t="shared" si="8"/>
        <v>0.16625747523001114</v>
      </c>
      <c r="E83" s="599">
        <f t="shared" ref="E83:E91" si="9">D83-C83</f>
        <v>8.9443872889414244E-3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0.35115142256463838</v>
      </c>
      <c r="D84" s="599">
        <f t="shared" si="8"/>
        <v>0.33909951533779659</v>
      </c>
      <c r="E84" s="599">
        <f t="shared" si="9"/>
        <v>-1.2051907226841796E-2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0.12159206949485486</v>
      </c>
      <c r="D85" s="599">
        <f t="shared" si="8"/>
        <v>0.12546392810611767</v>
      </c>
      <c r="E85" s="599">
        <f t="shared" si="9"/>
        <v>3.8718586112628101E-3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0.1208142596542098</v>
      </c>
      <c r="D86" s="599">
        <f t="shared" si="8"/>
        <v>0.12353369572530037</v>
      </c>
      <c r="E86" s="599">
        <f t="shared" si="9"/>
        <v>2.7194360710905696E-3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7.7780984064505147E-4</v>
      </c>
      <c r="D87" s="599">
        <f t="shared" si="8"/>
        <v>1.9302323808172946E-3</v>
      </c>
      <c r="E87" s="599">
        <f t="shared" si="9"/>
        <v>1.152422540172243E-3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4.5204578658397047E-4</v>
      </c>
      <c r="D88" s="599">
        <f t="shared" si="8"/>
        <v>3.2925369835388541E-4</v>
      </c>
      <c r="E88" s="599">
        <f t="shared" si="9"/>
        <v>-1.2279208823008506E-4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1.7056393572321443E-2</v>
      </c>
      <c r="D89" s="599">
        <f t="shared" si="8"/>
        <v>1.6710926048600711E-2</v>
      </c>
      <c r="E89" s="599">
        <f t="shared" si="9"/>
        <v>-3.4546752372073206E-4</v>
      </c>
    </row>
    <row r="90" spans="1:5" s="421" customFormat="1" x14ac:dyDescent="0.2">
      <c r="A90" s="588"/>
      <c r="B90" s="592" t="s">
        <v>796</v>
      </c>
      <c r="C90" s="600">
        <f>SUM(C84+C85+C88)</f>
        <v>0.47319553784607721</v>
      </c>
      <c r="D90" s="600">
        <f>SUM(D84+D85+D88)</f>
        <v>0.46489269714226816</v>
      </c>
      <c r="E90" s="601">
        <f t="shared" si="9"/>
        <v>-8.3028407038090446E-3</v>
      </c>
    </row>
    <row r="91" spans="1:5" s="421" customFormat="1" x14ac:dyDescent="0.2">
      <c r="A91" s="588"/>
      <c r="B91" s="592" t="s">
        <v>797</v>
      </c>
      <c r="C91" s="600">
        <f>SUM(C83+C90)</f>
        <v>0.63050862578714695</v>
      </c>
      <c r="D91" s="600">
        <f>SUM(D83+D90)</f>
        <v>0.63115017237227933</v>
      </c>
      <c r="E91" s="601">
        <f t="shared" si="9"/>
        <v>6.4154658513237983E-4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0.15891159102163244</v>
      </c>
      <c r="D95" s="599">
        <f t="shared" si="10"/>
        <v>0.14534705697234471</v>
      </c>
      <c r="E95" s="599">
        <f t="shared" ref="E95:E103" si="11">D95-C95</f>
        <v>-1.356453404928773E-2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0.12703027847367476</v>
      </c>
      <c r="D96" s="599">
        <f t="shared" si="10"/>
        <v>0.12956524186886392</v>
      </c>
      <c r="E96" s="599">
        <f t="shared" si="11"/>
        <v>2.5349633951891604E-3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8.3333629947472981E-2</v>
      </c>
      <c r="D97" s="599">
        <f t="shared" si="10"/>
        <v>9.366738916008166E-2</v>
      </c>
      <c r="E97" s="599">
        <f t="shared" si="11"/>
        <v>1.0333759212608679E-2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8.3193671161838109E-2</v>
      </c>
      <c r="D98" s="599">
        <f t="shared" si="10"/>
        <v>9.2637069730352309E-2</v>
      </c>
      <c r="E98" s="599">
        <f t="shared" si="11"/>
        <v>9.4433985685141997E-3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1.3995878563486969E-4</v>
      </c>
      <c r="D99" s="599">
        <f t="shared" si="10"/>
        <v>1.0303194297293394E-3</v>
      </c>
      <c r="E99" s="599">
        <f t="shared" si="11"/>
        <v>8.9036064409446969E-4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2.1587477007289183E-4</v>
      </c>
      <c r="D100" s="599">
        <f t="shared" si="10"/>
        <v>2.7013962643042226E-4</v>
      </c>
      <c r="E100" s="599">
        <f t="shared" si="11"/>
        <v>5.4264856357530428E-5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2.4983036451101209E-2</v>
      </c>
      <c r="D101" s="599">
        <f t="shared" si="10"/>
        <v>2.2677889046581533E-2</v>
      </c>
      <c r="E101" s="599">
        <f t="shared" si="11"/>
        <v>-2.3051474045196751E-3</v>
      </c>
    </row>
    <row r="102" spans="1:5" s="421" customFormat="1" x14ac:dyDescent="0.2">
      <c r="A102" s="588"/>
      <c r="B102" s="592" t="s">
        <v>799</v>
      </c>
      <c r="C102" s="600">
        <f>SUM(C96+C97+C100)</f>
        <v>0.21057978319122064</v>
      </c>
      <c r="D102" s="600">
        <f>SUM(D96+D97+D100)</f>
        <v>0.22350277065537599</v>
      </c>
      <c r="E102" s="601">
        <f t="shared" si="11"/>
        <v>1.292298746415535E-2</v>
      </c>
    </row>
    <row r="103" spans="1:5" s="421" customFormat="1" x14ac:dyDescent="0.2">
      <c r="A103" s="588"/>
      <c r="B103" s="592" t="s">
        <v>800</v>
      </c>
      <c r="C103" s="600">
        <f>SUM(C95+C102)</f>
        <v>0.36949137421285305</v>
      </c>
      <c r="D103" s="600">
        <f>SUM(D95+D102)</f>
        <v>0.36884982762772067</v>
      </c>
      <c r="E103" s="601">
        <f t="shared" si="11"/>
        <v>-6.4154658513237983E-4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0.23396607778653716</v>
      </c>
      <c r="D109" s="599">
        <f t="shared" si="12"/>
        <v>0.25594301264514879</v>
      </c>
      <c r="E109" s="599">
        <f t="shared" ref="E109:E117" si="13">D109-C109</f>
        <v>2.197693485861163E-2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0.299350073819031</v>
      </c>
      <c r="D110" s="599">
        <f t="shared" si="12"/>
        <v>0.26134430180249035</v>
      </c>
      <c r="E110" s="599">
        <f t="shared" si="13"/>
        <v>-3.8005772016540651E-2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9.0107011639710716E-2</v>
      </c>
      <c r="D111" s="599">
        <f t="shared" si="12"/>
        <v>8.3008838192342782E-2</v>
      </c>
      <c r="E111" s="599">
        <f t="shared" si="13"/>
        <v>-7.0981734473679337E-3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8.9841082285276722E-2</v>
      </c>
      <c r="D112" s="599">
        <f t="shared" si="12"/>
        <v>8.2681117532847737E-2</v>
      </c>
      <c r="E112" s="599">
        <f t="shared" si="13"/>
        <v>-7.159964752428985E-3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2.6592935443399841E-4</v>
      </c>
      <c r="D113" s="599">
        <f t="shared" si="12"/>
        <v>3.2772065949504385E-4</v>
      </c>
      <c r="E113" s="599">
        <f t="shared" si="13"/>
        <v>6.179130506104544E-5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3.8365092234533322E-4</v>
      </c>
      <c r="D114" s="599">
        <f t="shared" si="12"/>
        <v>4.3126916235255953E-4</v>
      </c>
      <c r="E114" s="599">
        <f t="shared" si="13"/>
        <v>4.7618240007226309E-5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3.3444642357003257E-3</v>
      </c>
      <c r="D115" s="599">
        <f t="shared" si="12"/>
        <v>6.9057385584042168E-3</v>
      </c>
      <c r="E115" s="599">
        <f t="shared" si="13"/>
        <v>3.5612743227038911E-3</v>
      </c>
    </row>
    <row r="116" spans="1:5" s="421" customFormat="1" x14ac:dyDescent="0.2">
      <c r="A116" s="588"/>
      <c r="B116" s="592" t="s">
        <v>796</v>
      </c>
      <c r="C116" s="600">
        <f>SUM(C110+C111+C114)</f>
        <v>0.38984073638108702</v>
      </c>
      <c r="D116" s="600">
        <f>SUM(D110+D111+D114)</f>
        <v>0.34478440915718567</v>
      </c>
      <c r="E116" s="601">
        <f t="shared" si="13"/>
        <v>-4.5056327223901349E-2</v>
      </c>
    </row>
    <row r="117" spans="1:5" s="421" customFormat="1" x14ac:dyDescent="0.2">
      <c r="A117" s="588"/>
      <c r="B117" s="592" t="s">
        <v>797</v>
      </c>
      <c r="C117" s="600">
        <f>SUM(C109+C116)</f>
        <v>0.62380681416762418</v>
      </c>
      <c r="D117" s="600">
        <f>SUM(D109+D116)</f>
        <v>0.6007274218023344</v>
      </c>
      <c r="E117" s="601">
        <f t="shared" si="13"/>
        <v>-2.3079392365289775E-2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0.22651375316050723</v>
      </c>
      <c r="D121" s="599">
        <f t="shared" si="14"/>
        <v>0.21052669175241051</v>
      </c>
      <c r="E121" s="599">
        <f t="shared" ref="E121:E129" si="15">D121-C121</f>
        <v>-1.598706140809672E-2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8.937222578140154E-2</v>
      </c>
      <c r="D122" s="599">
        <f t="shared" si="14"/>
        <v>0.11095697664245412</v>
      </c>
      <c r="E122" s="599">
        <f t="shared" si="15"/>
        <v>2.1584750861052576E-2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6.0076709142377754E-2</v>
      </c>
      <c r="D123" s="599">
        <f t="shared" si="14"/>
        <v>7.7544374796532256E-2</v>
      </c>
      <c r="E123" s="599">
        <f t="shared" si="15"/>
        <v>1.7467665654154502E-2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5.9926369851558567E-2</v>
      </c>
      <c r="D124" s="599">
        <f t="shared" si="14"/>
        <v>7.7228302420455489E-2</v>
      </c>
      <c r="E124" s="599">
        <f t="shared" si="15"/>
        <v>1.7301932568896922E-2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1.5033929081919065E-4</v>
      </c>
      <c r="D125" s="599">
        <f t="shared" si="14"/>
        <v>3.1607237607677387E-4</v>
      </c>
      <c r="E125" s="599">
        <f t="shared" si="15"/>
        <v>1.6573308525758321E-4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2.3049774808928382E-4</v>
      </c>
      <c r="D126" s="599">
        <f t="shared" si="14"/>
        <v>2.4453500626859224E-4</v>
      </c>
      <c r="E126" s="599">
        <f t="shared" si="15"/>
        <v>1.4037258179308419E-5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6.6944892410496816E-3</v>
      </c>
      <c r="D127" s="599">
        <f t="shared" si="14"/>
        <v>1.6511569076873667E-2</v>
      </c>
      <c r="E127" s="599">
        <f t="shared" si="15"/>
        <v>9.8170798358239858E-3</v>
      </c>
    </row>
    <row r="128" spans="1:5" s="421" customFormat="1" x14ac:dyDescent="0.2">
      <c r="A128" s="588"/>
      <c r="B128" s="592" t="s">
        <v>799</v>
      </c>
      <c r="C128" s="600">
        <f>SUM(C122+C123+C126)</f>
        <v>0.14967943267186859</v>
      </c>
      <c r="D128" s="600">
        <f>SUM(D122+D123+D126)</f>
        <v>0.18874588644525497</v>
      </c>
      <c r="E128" s="601">
        <f t="shared" si="15"/>
        <v>3.9066453773386384E-2</v>
      </c>
    </row>
    <row r="129" spans="1:5" s="421" customFormat="1" x14ac:dyDescent="0.2">
      <c r="A129" s="588"/>
      <c r="B129" s="592" t="s">
        <v>800</v>
      </c>
      <c r="C129" s="600">
        <f>SUM(C121+C128)</f>
        <v>0.37619318583237582</v>
      </c>
      <c r="D129" s="600">
        <f>SUM(D121+D128)</f>
        <v>0.39927257819766548</v>
      </c>
      <c r="E129" s="601">
        <f t="shared" si="15"/>
        <v>2.3079392365289664E-2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0.99999999999999989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5420</v>
      </c>
      <c r="D137" s="606">
        <v>5278</v>
      </c>
      <c r="E137" s="607">
        <f t="shared" ref="E137:E145" si="16">D137-C137</f>
        <v>-142</v>
      </c>
    </row>
    <row r="138" spans="1:5" s="421" customFormat="1" x14ac:dyDescent="0.2">
      <c r="A138" s="588">
        <v>2</v>
      </c>
      <c r="B138" s="587" t="s">
        <v>635</v>
      </c>
      <c r="C138" s="606">
        <v>8674</v>
      </c>
      <c r="D138" s="606">
        <v>8262</v>
      </c>
      <c r="E138" s="607">
        <f t="shared" si="16"/>
        <v>-412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4589</v>
      </c>
      <c r="D139" s="606">
        <f>D140+D141</f>
        <v>4749</v>
      </c>
      <c r="E139" s="607">
        <f t="shared" si="16"/>
        <v>160</v>
      </c>
    </row>
    <row r="140" spans="1:5" s="421" customFormat="1" x14ac:dyDescent="0.2">
      <c r="A140" s="588">
        <v>4</v>
      </c>
      <c r="B140" s="587" t="s">
        <v>115</v>
      </c>
      <c r="C140" s="606">
        <v>4548</v>
      </c>
      <c r="D140" s="606">
        <v>4699</v>
      </c>
      <c r="E140" s="607">
        <f t="shared" si="16"/>
        <v>151</v>
      </c>
    </row>
    <row r="141" spans="1:5" s="421" customFormat="1" x14ac:dyDescent="0.2">
      <c r="A141" s="588">
        <v>5</v>
      </c>
      <c r="B141" s="587" t="s">
        <v>743</v>
      </c>
      <c r="C141" s="606">
        <v>41</v>
      </c>
      <c r="D141" s="606">
        <v>50</v>
      </c>
      <c r="E141" s="607">
        <f t="shared" si="16"/>
        <v>9</v>
      </c>
    </row>
    <row r="142" spans="1:5" s="421" customFormat="1" x14ac:dyDescent="0.2">
      <c r="A142" s="588">
        <v>6</v>
      </c>
      <c r="B142" s="587" t="s">
        <v>424</v>
      </c>
      <c r="C142" s="606">
        <v>28</v>
      </c>
      <c r="D142" s="606">
        <v>19</v>
      </c>
      <c r="E142" s="607">
        <f t="shared" si="16"/>
        <v>-9</v>
      </c>
    </row>
    <row r="143" spans="1:5" s="421" customFormat="1" x14ac:dyDescent="0.2">
      <c r="A143" s="588">
        <v>7</v>
      </c>
      <c r="B143" s="587" t="s">
        <v>758</v>
      </c>
      <c r="C143" s="606">
        <v>584</v>
      </c>
      <c r="D143" s="606">
        <v>521</v>
      </c>
      <c r="E143" s="607">
        <f t="shared" si="16"/>
        <v>-63</v>
      </c>
    </row>
    <row r="144" spans="1:5" s="421" customFormat="1" x14ac:dyDescent="0.2">
      <c r="A144" s="588"/>
      <c r="B144" s="592" t="s">
        <v>807</v>
      </c>
      <c r="C144" s="608">
        <f>SUM(C138+C139+C142)</f>
        <v>13291</v>
      </c>
      <c r="D144" s="608">
        <f>SUM(D138+D139+D142)</f>
        <v>13030</v>
      </c>
      <c r="E144" s="609">
        <f t="shared" si="16"/>
        <v>-261</v>
      </c>
    </row>
    <row r="145" spans="1:5" s="421" customFormat="1" x14ac:dyDescent="0.2">
      <c r="A145" s="588"/>
      <c r="B145" s="592" t="s">
        <v>138</v>
      </c>
      <c r="C145" s="608">
        <f>SUM(C137+C144)</f>
        <v>18711</v>
      </c>
      <c r="D145" s="608">
        <f>SUM(D137+D144)</f>
        <v>18308</v>
      </c>
      <c r="E145" s="609">
        <f t="shared" si="16"/>
        <v>-403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24995</v>
      </c>
      <c r="D149" s="610">
        <v>25540</v>
      </c>
      <c r="E149" s="607">
        <f t="shared" ref="E149:E157" si="17">D149-C149</f>
        <v>545</v>
      </c>
    </row>
    <row r="150" spans="1:5" s="421" customFormat="1" x14ac:dyDescent="0.2">
      <c r="A150" s="588">
        <v>2</v>
      </c>
      <c r="B150" s="587" t="s">
        <v>635</v>
      </c>
      <c r="C150" s="610">
        <v>57146</v>
      </c>
      <c r="D150" s="610">
        <v>55120</v>
      </c>
      <c r="E150" s="607">
        <f t="shared" si="17"/>
        <v>-2026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28498</v>
      </c>
      <c r="D151" s="610">
        <f>D152+D153</f>
        <v>30427</v>
      </c>
      <c r="E151" s="607">
        <f t="shared" si="17"/>
        <v>1929</v>
      </c>
    </row>
    <row r="152" spans="1:5" s="421" customFormat="1" x14ac:dyDescent="0.2">
      <c r="A152" s="588">
        <v>4</v>
      </c>
      <c r="B152" s="587" t="s">
        <v>115</v>
      </c>
      <c r="C152" s="610">
        <v>28260</v>
      </c>
      <c r="D152" s="610">
        <v>30133</v>
      </c>
      <c r="E152" s="607">
        <f t="shared" si="17"/>
        <v>1873</v>
      </c>
    </row>
    <row r="153" spans="1:5" s="421" customFormat="1" x14ac:dyDescent="0.2">
      <c r="A153" s="588">
        <v>5</v>
      </c>
      <c r="B153" s="587" t="s">
        <v>743</v>
      </c>
      <c r="C153" s="611">
        <v>238</v>
      </c>
      <c r="D153" s="610">
        <v>294</v>
      </c>
      <c r="E153" s="607">
        <f t="shared" si="17"/>
        <v>56</v>
      </c>
    </row>
    <row r="154" spans="1:5" s="421" customFormat="1" x14ac:dyDescent="0.2">
      <c r="A154" s="588">
        <v>6</v>
      </c>
      <c r="B154" s="587" t="s">
        <v>424</v>
      </c>
      <c r="C154" s="610">
        <v>117</v>
      </c>
      <c r="D154" s="610">
        <v>58</v>
      </c>
      <c r="E154" s="607">
        <f t="shared" si="17"/>
        <v>-59</v>
      </c>
    </row>
    <row r="155" spans="1:5" s="421" customFormat="1" x14ac:dyDescent="0.2">
      <c r="A155" s="588">
        <v>7</v>
      </c>
      <c r="B155" s="587" t="s">
        <v>758</v>
      </c>
      <c r="C155" s="610">
        <v>3329</v>
      </c>
      <c r="D155" s="610">
        <v>2357</v>
      </c>
      <c r="E155" s="607">
        <f t="shared" si="17"/>
        <v>-972</v>
      </c>
    </row>
    <row r="156" spans="1:5" s="421" customFormat="1" x14ac:dyDescent="0.2">
      <c r="A156" s="588"/>
      <c r="B156" s="592" t="s">
        <v>808</v>
      </c>
      <c r="C156" s="608">
        <f>SUM(C150+C151+C154)</f>
        <v>85761</v>
      </c>
      <c r="D156" s="608">
        <f>SUM(D150+D151+D154)</f>
        <v>85605</v>
      </c>
      <c r="E156" s="609">
        <f t="shared" si="17"/>
        <v>-156</v>
      </c>
    </row>
    <row r="157" spans="1:5" s="421" customFormat="1" x14ac:dyDescent="0.2">
      <c r="A157" s="588"/>
      <c r="B157" s="592" t="s">
        <v>140</v>
      </c>
      <c r="C157" s="608">
        <f>SUM(C149+C156)</f>
        <v>110756</v>
      </c>
      <c r="D157" s="608">
        <f>SUM(D149+D156)</f>
        <v>111145</v>
      </c>
      <c r="E157" s="609">
        <f t="shared" si="17"/>
        <v>389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4.6116236162361623</v>
      </c>
      <c r="D161" s="612">
        <f t="shared" si="18"/>
        <v>4.8389541492989769</v>
      </c>
      <c r="E161" s="613">
        <f t="shared" ref="E161:E169" si="19">D161-C161</f>
        <v>0.22733053306281459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6.5881946045653681</v>
      </c>
      <c r="D162" s="612">
        <f t="shared" si="18"/>
        <v>6.6715081094166058</v>
      </c>
      <c r="E162" s="613">
        <f t="shared" si="19"/>
        <v>8.3313504851237674E-2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6.210067552843757</v>
      </c>
      <c r="D163" s="612">
        <f t="shared" si="18"/>
        <v>6.4070330595914928</v>
      </c>
      <c r="E163" s="613">
        <f t="shared" si="19"/>
        <v>0.19696550674773583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6.2137203166226911</v>
      </c>
      <c r="D164" s="612">
        <f t="shared" si="18"/>
        <v>6.4126409874441368</v>
      </c>
      <c r="E164" s="613">
        <f t="shared" si="19"/>
        <v>0.19892067082144571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5.8048780487804876</v>
      </c>
      <c r="D165" s="612">
        <f t="shared" si="18"/>
        <v>5.88</v>
      </c>
      <c r="E165" s="613">
        <f t="shared" si="19"/>
        <v>7.5121951219512262E-2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4.1785714285714288</v>
      </c>
      <c r="D166" s="612">
        <f t="shared" si="18"/>
        <v>3.0526315789473686</v>
      </c>
      <c r="E166" s="613">
        <f t="shared" si="19"/>
        <v>-1.1259398496240602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5.7003424657534243</v>
      </c>
      <c r="D167" s="612">
        <f t="shared" si="18"/>
        <v>4.5239923224568139</v>
      </c>
      <c r="E167" s="613">
        <f t="shared" si="19"/>
        <v>-1.1763501432966104</v>
      </c>
    </row>
    <row r="168" spans="1:5" s="421" customFormat="1" x14ac:dyDescent="0.2">
      <c r="A168" s="588"/>
      <c r="B168" s="592" t="s">
        <v>810</v>
      </c>
      <c r="C168" s="614">
        <f t="shared" si="18"/>
        <v>6.4525618839816419</v>
      </c>
      <c r="D168" s="614">
        <f t="shared" si="18"/>
        <v>6.569838833461243</v>
      </c>
      <c r="E168" s="615">
        <f t="shared" si="19"/>
        <v>0.1172769494796011</v>
      </c>
    </row>
    <row r="169" spans="1:5" s="421" customFormat="1" x14ac:dyDescent="0.2">
      <c r="A169" s="588"/>
      <c r="B169" s="592" t="s">
        <v>744</v>
      </c>
      <c r="C169" s="614">
        <f t="shared" si="18"/>
        <v>5.9192988081876967</v>
      </c>
      <c r="D169" s="614">
        <f t="shared" si="18"/>
        <v>6.0708433471706362</v>
      </c>
      <c r="E169" s="615">
        <f t="shared" si="19"/>
        <v>0.15154453898293951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1.3435999999999999</v>
      </c>
      <c r="D173" s="617">
        <f t="shared" si="20"/>
        <v>1.4165000000000001</v>
      </c>
      <c r="E173" s="618">
        <f t="shared" ref="E173:E181" si="21">D173-C173</f>
        <v>7.2900000000000187E-2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1.5561</v>
      </c>
      <c r="D174" s="617">
        <f t="shared" si="20"/>
        <v>1.5427</v>
      </c>
      <c r="E174" s="618">
        <f t="shared" si="21"/>
        <v>-1.3400000000000079E-2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1.0763147744606669</v>
      </c>
      <c r="D175" s="617">
        <f t="shared" si="20"/>
        <v>1.1376472941671931</v>
      </c>
      <c r="E175" s="618">
        <f t="shared" si="21"/>
        <v>6.1332519706526201E-2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1.0742</v>
      </c>
      <c r="D176" s="617">
        <f t="shared" si="20"/>
        <v>1.1379999999999999</v>
      </c>
      <c r="E176" s="618">
        <f t="shared" si="21"/>
        <v>6.3799999999999857E-2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1.3109</v>
      </c>
      <c r="D177" s="617">
        <f t="shared" si="20"/>
        <v>1.1045</v>
      </c>
      <c r="E177" s="618">
        <f t="shared" si="21"/>
        <v>-0.20639999999999992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0.84150000000000003</v>
      </c>
      <c r="D178" s="617">
        <f t="shared" si="20"/>
        <v>1.0709</v>
      </c>
      <c r="E178" s="618">
        <f t="shared" si="21"/>
        <v>0.22939999999999994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1.1977</v>
      </c>
      <c r="D179" s="617">
        <f t="shared" si="20"/>
        <v>1.2241</v>
      </c>
      <c r="E179" s="618">
        <f t="shared" si="21"/>
        <v>2.6399999999999979E-2</v>
      </c>
    </row>
    <row r="180" spans="1:5" s="421" customFormat="1" x14ac:dyDescent="0.2">
      <c r="A180" s="588"/>
      <c r="B180" s="592" t="s">
        <v>812</v>
      </c>
      <c r="C180" s="619">
        <f t="shared" si="20"/>
        <v>1.3889385223083293</v>
      </c>
      <c r="D180" s="619">
        <f t="shared" si="20"/>
        <v>1.3943838449731387</v>
      </c>
      <c r="E180" s="620">
        <f t="shared" si="21"/>
        <v>5.4453226648094599E-3</v>
      </c>
    </row>
    <row r="181" spans="1:5" s="421" customFormat="1" x14ac:dyDescent="0.2">
      <c r="A181" s="588"/>
      <c r="B181" s="592" t="s">
        <v>723</v>
      </c>
      <c r="C181" s="619">
        <f t="shared" si="20"/>
        <v>1.3758053497942391</v>
      </c>
      <c r="D181" s="619">
        <f t="shared" si="20"/>
        <v>1.4007596952152064</v>
      </c>
      <c r="E181" s="620">
        <f t="shared" si="21"/>
        <v>2.4954345420967305E-2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328772437</v>
      </c>
      <c r="D185" s="589">
        <v>344004037</v>
      </c>
      <c r="E185" s="590">
        <f>D185-C185</f>
        <v>15231600</v>
      </c>
    </row>
    <row r="186" spans="1:5" s="421" customFormat="1" ht="25.5" x14ac:dyDescent="0.2">
      <c r="A186" s="588">
        <v>2</v>
      </c>
      <c r="B186" s="587" t="s">
        <v>815</v>
      </c>
      <c r="C186" s="589">
        <v>181528473</v>
      </c>
      <c r="D186" s="589">
        <v>165093192</v>
      </c>
      <c r="E186" s="590">
        <f>D186-C186</f>
        <v>-16435281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147243964</v>
      </c>
      <c r="D188" s="622">
        <f>+D185-D186</f>
        <v>178910845</v>
      </c>
      <c r="E188" s="590">
        <f t="shared" ref="E188:E197" si="22">D188-C188</f>
        <v>31666881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0.44785981861368751</v>
      </c>
      <c r="D189" s="623">
        <f>IF(D185=0,0,+D188/D185)</f>
        <v>0.52008356227517183</v>
      </c>
      <c r="E189" s="599">
        <f t="shared" si="22"/>
        <v>7.2223743661484319E-2</v>
      </c>
    </row>
    <row r="190" spans="1:5" s="421" customFormat="1" x14ac:dyDescent="0.2">
      <c r="A190" s="588">
        <v>5</v>
      </c>
      <c r="B190" s="587" t="s">
        <v>762</v>
      </c>
      <c r="C190" s="589">
        <v>19559565</v>
      </c>
      <c r="D190" s="589">
        <v>22800495</v>
      </c>
      <c r="E190" s="622">
        <f t="shared" si="22"/>
        <v>3240930</v>
      </c>
    </row>
    <row r="191" spans="1:5" s="421" customFormat="1" x14ac:dyDescent="0.2">
      <c r="A191" s="588">
        <v>6</v>
      </c>
      <c r="B191" s="587" t="s">
        <v>748</v>
      </c>
      <c r="C191" s="589">
        <v>3054381</v>
      </c>
      <c r="D191" s="589">
        <v>9459570</v>
      </c>
      <c r="E191" s="622">
        <f t="shared" si="22"/>
        <v>6405189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17249000</v>
      </c>
      <c r="D193" s="589">
        <v>21773000</v>
      </c>
      <c r="E193" s="622">
        <f t="shared" si="22"/>
        <v>4524000</v>
      </c>
    </row>
    <row r="194" spans="1:5" s="421" customFormat="1" x14ac:dyDescent="0.2">
      <c r="A194" s="588">
        <v>9</v>
      </c>
      <c r="B194" s="587" t="s">
        <v>818</v>
      </c>
      <c r="C194" s="589">
        <v>30938000</v>
      </c>
      <c r="D194" s="589">
        <v>20518000</v>
      </c>
      <c r="E194" s="622">
        <f t="shared" si="22"/>
        <v>-10420000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48187000</v>
      </c>
      <c r="D195" s="589">
        <f>+D193+D194</f>
        <v>42291000</v>
      </c>
      <c r="E195" s="625">
        <f t="shared" si="22"/>
        <v>-5896000</v>
      </c>
    </row>
    <row r="196" spans="1:5" s="421" customFormat="1" x14ac:dyDescent="0.2">
      <c r="A196" s="588">
        <v>11</v>
      </c>
      <c r="B196" s="587" t="s">
        <v>820</v>
      </c>
      <c r="C196" s="589">
        <v>20648000</v>
      </c>
      <c r="D196" s="589">
        <v>20518000</v>
      </c>
      <c r="E196" s="622">
        <f t="shared" si="22"/>
        <v>-130000</v>
      </c>
    </row>
    <row r="197" spans="1:5" s="421" customFormat="1" x14ac:dyDescent="0.2">
      <c r="A197" s="588">
        <v>12</v>
      </c>
      <c r="B197" s="587" t="s">
        <v>710</v>
      </c>
      <c r="C197" s="589">
        <v>398392000</v>
      </c>
      <c r="D197" s="589">
        <v>424794000</v>
      </c>
      <c r="E197" s="622">
        <f t="shared" si="22"/>
        <v>26402000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7282.3119999999999</v>
      </c>
      <c r="D203" s="629">
        <v>7476.2870000000003</v>
      </c>
      <c r="E203" s="630">
        <f t="shared" ref="E203:E211" si="23">D203-C203</f>
        <v>193.97500000000036</v>
      </c>
    </row>
    <row r="204" spans="1:5" s="421" customFormat="1" x14ac:dyDescent="0.2">
      <c r="A204" s="588">
        <v>2</v>
      </c>
      <c r="B204" s="587" t="s">
        <v>635</v>
      </c>
      <c r="C204" s="629">
        <v>13497.6114</v>
      </c>
      <c r="D204" s="629">
        <v>12745.787399999999</v>
      </c>
      <c r="E204" s="630">
        <f t="shared" si="23"/>
        <v>-751.82400000000052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4939.2085000000006</v>
      </c>
      <c r="D205" s="629">
        <f>D206+D207</f>
        <v>5402.6869999999999</v>
      </c>
      <c r="E205" s="630">
        <f t="shared" si="23"/>
        <v>463.47849999999926</v>
      </c>
    </row>
    <row r="206" spans="1:5" s="421" customFormat="1" x14ac:dyDescent="0.2">
      <c r="A206" s="588">
        <v>4</v>
      </c>
      <c r="B206" s="587" t="s">
        <v>115</v>
      </c>
      <c r="C206" s="629">
        <v>4885.4616000000005</v>
      </c>
      <c r="D206" s="629">
        <v>5347.4619999999995</v>
      </c>
      <c r="E206" s="630">
        <f t="shared" si="23"/>
        <v>462.00039999999899</v>
      </c>
    </row>
    <row r="207" spans="1:5" s="421" customFormat="1" x14ac:dyDescent="0.2">
      <c r="A207" s="588">
        <v>5</v>
      </c>
      <c r="B207" s="587" t="s">
        <v>743</v>
      </c>
      <c r="C207" s="629">
        <v>53.746899999999997</v>
      </c>
      <c r="D207" s="629">
        <v>55.225000000000001</v>
      </c>
      <c r="E207" s="630">
        <f t="shared" si="23"/>
        <v>1.4781000000000049</v>
      </c>
    </row>
    <row r="208" spans="1:5" s="421" customFormat="1" x14ac:dyDescent="0.2">
      <c r="A208" s="588">
        <v>6</v>
      </c>
      <c r="B208" s="587" t="s">
        <v>424</v>
      </c>
      <c r="C208" s="629">
        <v>23.562000000000001</v>
      </c>
      <c r="D208" s="629">
        <v>20.347099999999998</v>
      </c>
      <c r="E208" s="630">
        <f t="shared" si="23"/>
        <v>-3.2149000000000036</v>
      </c>
    </row>
    <row r="209" spans="1:5" s="421" customFormat="1" x14ac:dyDescent="0.2">
      <c r="A209" s="588">
        <v>7</v>
      </c>
      <c r="B209" s="587" t="s">
        <v>758</v>
      </c>
      <c r="C209" s="629">
        <v>699.45680000000004</v>
      </c>
      <c r="D209" s="629">
        <v>637.75609999999995</v>
      </c>
      <c r="E209" s="630">
        <f t="shared" si="23"/>
        <v>-61.700700000000097</v>
      </c>
    </row>
    <row r="210" spans="1:5" s="421" customFormat="1" x14ac:dyDescent="0.2">
      <c r="A210" s="588"/>
      <c r="B210" s="592" t="s">
        <v>823</v>
      </c>
      <c r="C210" s="631">
        <f>C204+C205+C208</f>
        <v>18460.381900000004</v>
      </c>
      <c r="D210" s="631">
        <f>D204+D205+D208</f>
        <v>18168.821499999998</v>
      </c>
      <c r="E210" s="632">
        <f t="shared" si="23"/>
        <v>-291.56040000000576</v>
      </c>
    </row>
    <row r="211" spans="1:5" s="421" customFormat="1" x14ac:dyDescent="0.2">
      <c r="A211" s="588"/>
      <c r="B211" s="592" t="s">
        <v>724</v>
      </c>
      <c r="C211" s="631">
        <f>C210+C203</f>
        <v>25742.693900000006</v>
      </c>
      <c r="D211" s="631">
        <f>D210+D203</f>
        <v>25645.108499999998</v>
      </c>
      <c r="E211" s="632">
        <f t="shared" si="23"/>
        <v>-97.585400000007212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5475.0741633137068</v>
      </c>
      <c r="D215" s="633">
        <f>IF(D14*D137=0,0,D25/D14*D137)</f>
        <v>4614.179095638995</v>
      </c>
      <c r="E215" s="633">
        <f t="shared" ref="E215:E223" si="24">D215-C215</f>
        <v>-860.89506767471175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3137.8504106097685</v>
      </c>
      <c r="D216" s="633">
        <f>IF(D15*D138=0,0,D26/D15*D138)</f>
        <v>3156.7961023306057</v>
      </c>
      <c r="E216" s="633">
        <f t="shared" si="24"/>
        <v>18.945691720837203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3139.1669124435239</v>
      </c>
      <c r="D217" s="633">
        <f>D218+D219</f>
        <v>3550.4368169299451</v>
      </c>
      <c r="E217" s="633">
        <f t="shared" si="24"/>
        <v>411.26990448642118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3131.7893891580497</v>
      </c>
      <c r="D218" s="633">
        <f t="shared" si="25"/>
        <v>3523.7478172020187</v>
      </c>
      <c r="E218" s="633">
        <f t="shared" si="24"/>
        <v>391.95842804396898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7.377523285473961</v>
      </c>
      <c r="D219" s="633">
        <f t="shared" si="25"/>
        <v>26.68899972792612</v>
      </c>
      <c r="E219" s="633">
        <f t="shared" si="24"/>
        <v>19.311476442452161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13.371418872672463</v>
      </c>
      <c r="D220" s="633">
        <f t="shared" si="25"/>
        <v>15.588747910316236</v>
      </c>
      <c r="E220" s="633">
        <f t="shared" si="24"/>
        <v>2.2173290376437738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855.40317919958363</v>
      </c>
      <c r="D221" s="633">
        <f t="shared" si="25"/>
        <v>707.03324034267519</v>
      </c>
      <c r="E221" s="633">
        <f t="shared" si="24"/>
        <v>-148.36993885690845</v>
      </c>
    </row>
    <row r="222" spans="1:5" s="421" customFormat="1" x14ac:dyDescent="0.2">
      <c r="A222" s="588"/>
      <c r="B222" s="592" t="s">
        <v>825</v>
      </c>
      <c r="C222" s="634">
        <f>C216+C218+C219+C220</f>
        <v>6290.3887419259645</v>
      </c>
      <c r="D222" s="634">
        <f>D216+D218+D219+D220</f>
        <v>6722.8216671708669</v>
      </c>
      <c r="E222" s="634">
        <f t="shared" si="24"/>
        <v>432.43292524490244</v>
      </c>
    </row>
    <row r="223" spans="1:5" s="421" customFormat="1" x14ac:dyDescent="0.2">
      <c r="A223" s="588"/>
      <c r="B223" s="592" t="s">
        <v>826</v>
      </c>
      <c r="C223" s="634">
        <f>C215+C222</f>
        <v>11765.46290523967</v>
      </c>
      <c r="D223" s="634">
        <f>D215+D222</f>
        <v>11337.000762809861</v>
      </c>
      <c r="E223" s="634">
        <f t="shared" si="24"/>
        <v>-428.46214242980932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12947.638469760703</v>
      </c>
      <c r="D227" s="636">
        <f t="shared" si="26"/>
        <v>13442.855925675405</v>
      </c>
      <c r="E227" s="636">
        <f t="shared" ref="E227:E235" si="27">D227-C227</f>
        <v>495.21745591470244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8937.7746495205811</v>
      </c>
      <c r="D228" s="636">
        <f t="shared" si="26"/>
        <v>8051.5704349501393</v>
      </c>
      <c r="E228" s="636">
        <f t="shared" si="27"/>
        <v>-886.20421457044176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7352.045373261727</v>
      </c>
      <c r="D229" s="636">
        <f t="shared" si="26"/>
        <v>6033.2143986871715</v>
      </c>
      <c r="E229" s="636">
        <f t="shared" si="27"/>
        <v>-1318.8309745745555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7410.9916246194616</v>
      </c>
      <c r="D230" s="636">
        <f t="shared" si="26"/>
        <v>6071.4561412498124</v>
      </c>
      <c r="E230" s="636">
        <f t="shared" si="27"/>
        <v>-1339.5354833696492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1993.975466492021</v>
      </c>
      <c r="D231" s="636">
        <f t="shared" si="26"/>
        <v>2330.2489814395653</v>
      </c>
      <c r="E231" s="636">
        <f t="shared" si="27"/>
        <v>336.2735149475443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6561.921738392326</v>
      </c>
      <c r="D232" s="636">
        <f t="shared" si="26"/>
        <v>8323.0042610494875</v>
      </c>
      <c r="E232" s="636">
        <f t="shared" si="27"/>
        <v>1761.0825226571615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1926.9596063688277</v>
      </c>
      <c r="D233" s="636">
        <f t="shared" si="26"/>
        <v>4251.9656025242257</v>
      </c>
      <c r="E233" s="636">
        <f t="shared" si="27"/>
        <v>2325.005996155398</v>
      </c>
    </row>
    <row r="234" spans="1:5" x14ac:dyDescent="0.2">
      <c r="A234" s="588"/>
      <c r="B234" s="592" t="s">
        <v>828</v>
      </c>
      <c r="C234" s="637">
        <f t="shared" si="26"/>
        <v>8510.4688977209062</v>
      </c>
      <c r="D234" s="637">
        <f t="shared" si="26"/>
        <v>7451.6953672531827</v>
      </c>
      <c r="E234" s="637">
        <f t="shared" si="27"/>
        <v>-1058.7735304677235</v>
      </c>
    </row>
    <row r="235" spans="1:5" s="421" customFormat="1" x14ac:dyDescent="0.2">
      <c r="A235" s="588"/>
      <c r="B235" s="592" t="s">
        <v>829</v>
      </c>
      <c r="C235" s="637">
        <f t="shared" si="26"/>
        <v>9765.6931312849101</v>
      </c>
      <c r="D235" s="637">
        <f t="shared" si="26"/>
        <v>9198.2910503186213</v>
      </c>
      <c r="E235" s="637">
        <f t="shared" si="27"/>
        <v>-567.40208096628885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16672.914425829596</v>
      </c>
      <c r="D239" s="636">
        <f t="shared" si="28"/>
        <v>17916.243233413465</v>
      </c>
      <c r="E239" s="638">
        <f t="shared" ref="E239:E247" si="29">D239-C239</f>
        <v>1243.3288075838682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11478.292552831064</v>
      </c>
      <c r="D240" s="636">
        <f t="shared" si="28"/>
        <v>13802.009248501339</v>
      </c>
      <c r="E240" s="638">
        <f t="shared" si="29"/>
        <v>2323.7166956702749</v>
      </c>
    </row>
    <row r="241" spans="1:5" x14ac:dyDescent="0.2">
      <c r="A241" s="588">
        <v>3</v>
      </c>
      <c r="B241" s="587" t="s">
        <v>777</v>
      </c>
      <c r="C241" s="636">
        <f t="shared" si="28"/>
        <v>7712.5621782099415</v>
      </c>
      <c r="D241" s="636">
        <f t="shared" si="28"/>
        <v>8576.3548459172071</v>
      </c>
      <c r="E241" s="638">
        <f t="shared" si="29"/>
        <v>863.79266770726554</v>
      </c>
    </row>
    <row r="242" spans="1:5" x14ac:dyDescent="0.2">
      <c r="A242" s="588">
        <v>4</v>
      </c>
      <c r="B242" s="587" t="s">
        <v>115</v>
      </c>
      <c r="C242" s="636">
        <f t="shared" si="28"/>
        <v>7711.3847705105745</v>
      </c>
      <c r="D242" s="636">
        <f t="shared" si="28"/>
        <v>8606.0903257485879</v>
      </c>
      <c r="E242" s="638">
        <f t="shared" si="29"/>
        <v>894.7055552380134</v>
      </c>
    </row>
    <row r="243" spans="1:5" x14ac:dyDescent="0.2">
      <c r="A243" s="588">
        <v>5</v>
      </c>
      <c r="B243" s="587" t="s">
        <v>743</v>
      </c>
      <c r="C243" s="636">
        <f t="shared" si="28"/>
        <v>8212.3766548176554</v>
      </c>
      <c r="D243" s="636">
        <f t="shared" si="28"/>
        <v>4650.380353900372</v>
      </c>
      <c r="E243" s="638">
        <f t="shared" si="29"/>
        <v>-3561.9963009172834</v>
      </c>
    </row>
    <row r="244" spans="1:5" x14ac:dyDescent="0.2">
      <c r="A244" s="588">
        <v>6</v>
      </c>
      <c r="B244" s="587" t="s">
        <v>424</v>
      </c>
      <c r="C244" s="636">
        <f t="shared" si="28"/>
        <v>6946.9815346106534</v>
      </c>
      <c r="D244" s="636">
        <f t="shared" si="28"/>
        <v>6159.7634750674506</v>
      </c>
      <c r="E244" s="638">
        <f t="shared" si="29"/>
        <v>-787.2180595432028</v>
      </c>
    </row>
    <row r="245" spans="1:5" x14ac:dyDescent="0.2">
      <c r="A245" s="588">
        <v>7</v>
      </c>
      <c r="B245" s="587" t="s">
        <v>758</v>
      </c>
      <c r="C245" s="636">
        <f t="shared" si="28"/>
        <v>3153.9408148149109</v>
      </c>
      <c r="D245" s="636">
        <f t="shared" si="28"/>
        <v>9170.2831352845187</v>
      </c>
      <c r="E245" s="638">
        <f t="shared" si="29"/>
        <v>6016.3423204696082</v>
      </c>
    </row>
    <row r="246" spans="1:5" ht="25.5" x14ac:dyDescent="0.2">
      <c r="A246" s="588"/>
      <c r="B246" s="592" t="s">
        <v>831</v>
      </c>
      <c r="C246" s="637">
        <f t="shared" si="28"/>
        <v>9589.4035289035492</v>
      </c>
      <c r="D246" s="637">
        <f t="shared" si="28"/>
        <v>11024.531315760732</v>
      </c>
      <c r="E246" s="639">
        <f t="shared" si="29"/>
        <v>1435.1277868571833</v>
      </c>
    </row>
    <row r="247" spans="1:5" x14ac:dyDescent="0.2">
      <c r="A247" s="588"/>
      <c r="B247" s="592" t="s">
        <v>832</v>
      </c>
      <c r="C247" s="637">
        <f t="shared" si="28"/>
        <v>12885.724957960052</v>
      </c>
      <c r="D247" s="637">
        <f t="shared" si="28"/>
        <v>13829.470093564774</v>
      </c>
      <c r="E247" s="639">
        <f t="shared" si="29"/>
        <v>943.74513560472224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11797161.82260819</v>
      </c>
      <c r="D251" s="622">
        <f>((IF((IF(D15=0,0,D26/D15)*D138)=0,0,D59/(IF(D15=0,0,D26/D15)*D138)))-(IF((IF(D17=0,0,D28/D17)*D140)=0,0,D61/(IF(D17=0,0,D28/D17)*D140))))*(IF(D17=0,0,D28/D17)*D140)</f>
        <v>18309107.962408673</v>
      </c>
      <c r="E251" s="622">
        <f>D251-C251</f>
        <v>6511946.1398004834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397302.05089631118</v>
      </c>
      <c r="D252" s="622">
        <f>IF(D231=0,0,(D228-D231)*D207)+IF(D243=0,0,(D240-D243)*D219)</f>
        <v>560207.79834820749</v>
      </c>
      <c r="E252" s="622">
        <f>D252-C252</f>
        <v>162905.74745189631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12024439.196949385</v>
      </c>
      <c r="D253" s="622">
        <f>IF(D233=0,0,(D228-D233)*D209+IF(D221=0,0,(D240-D245)*D221))</f>
        <v>5698005.4816765767</v>
      </c>
      <c r="E253" s="622">
        <f>D253-C253</f>
        <v>-6326433.7152728084</v>
      </c>
    </row>
    <row r="254" spans="1:5" ht="15" customHeight="1" x14ac:dyDescent="0.2">
      <c r="A254" s="588"/>
      <c r="B254" s="592" t="s">
        <v>759</v>
      </c>
      <c r="C254" s="640">
        <f>+C251+C252+C253</f>
        <v>24218903.070453886</v>
      </c>
      <c r="D254" s="640">
        <f>+D251+D252+D253</f>
        <v>24567321.242433459</v>
      </c>
      <c r="E254" s="640">
        <f>D254-C254</f>
        <v>348418.17197957262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1199088712</v>
      </c>
      <c r="D258" s="625">
        <f>+D44</f>
        <v>1306254120</v>
      </c>
      <c r="E258" s="622">
        <f t="shared" ref="E258:E271" si="30">D258-C258</f>
        <v>107165408</v>
      </c>
    </row>
    <row r="259" spans="1:5" x14ac:dyDescent="0.2">
      <c r="A259" s="588">
        <v>2</v>
      </c>
      <c r="B259" s="587" t="s">
        <v>742</v>
      </c>
      <c r="C259" s="622">
        <f>+(C43-C76)</f>
        <v>602479687</v>
      </c>
      <c r="D259" s="625">
        <f>+(D43-D76)</f>
        <v>689714935</v>
      </c>
      <c r="E259" s="622">
        <f t="shared" si="30"/>
        <v>87235248</v>
      </c>
    </row>
    <row r="260" spans="1:5" x14ac:dyDescent="0.2">
      <c r="A260" s="588">
        <v>3</v>
      </c>
      <c r="B260" s="587" t="s">
        <v>746</v>
      </c>
      <c r="C260" s="622">
        <f>C195</f>
        <v>48187000</v>
      </c>
      <c r="D260" s="622">
        <f>D195</f>
        <v>42291000</v>
      </c>
      <c r="E260" s="622">
        <f t="shared" si="30"/>
        <v>-5896000</v>
      </c>
    </row>
    <row r="261" spans="1:5" x14ac:dyDescent="0.2">
      <c r="A261" s="588">
        <v>4</v>
      </c>
      <c r="B261" s="587" t="s">
        <v>747</v>
      </c>
      <c r="C261" s="622">
        <f>C188</f>
        <v>147243964</v>
      </c>
      <c r="D261" s="622">
        <f>D188</f>
        <v>178910845</v>
      </c>
      <c r="E261" s="622">
        <f t="shared" si="30"/>
        <v>31666881</v>
      </c>
    </row>
    <row r="262" spans="1:5" x14ac:dyDescent="0.2">
      <c r="A262" s="588">
        <v>5</v>
      </c>
      <c r="B262" s="587" t="s">
        <v>748</v>
      </c>
      <c r="C262" s="622">
        <f>C191</f>
        <v>3054381</v>
      </c>
      <c r="D262" s="622">
        <f>D191</f>
        <v>9459570</v>
      </c>
      <c r="E262" s="622">
        <f t="shared" si="30"/>
        <v>6405189</v>
      </c>
    </row>
    <row r="263" spans="1:5" x14ac:dyDescent="0.2">
      <c r="A263" s="588">
        <v>6</v>
      </c>
      <c r="B263" s="587" t="s">
        <v>749</v>
      </c>
      <c r="C263" s="622">
        <f>+C259+C260+C261+C262</f>
        <v>800965032</v>
      </c>
      <c r="D263" s="622">
        <f>+D259+D260+D261+D262</f>
        <v>920376350</v>
      </c>
      <c r="E263" s="622">
        <f t="shared" si="30"/>
        <v>119411318</v>
      </c>
    </row>
    <row r="264" spans="1:5" x14ac:dyDescent="0.2">
      <c r="A264" s="588">
        <v>7</v>
      </c>
      <c r="B264" s="587" t="s">
        <v>654</v>
      </c>
      <c r="C264" s="622">
        <f>+C258-C263</f>
        <v>398123680</v>
      </c>
      <c r="D264" s="622">
        <f>+D258-D263</f>
        <v>385877770</v>
      </c>
      <c r="E264" s="622">
        <f t="shared" si="30"/>
        <v>-12245910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398123680</v>
      </c>
      <c r="D266" s="622">
        <f>+D264+D265</f>
        <v>385877770</v>
      </c>
      <c r="E266" s="641">
        <f t="shared" si="30"/>
        <v>-12245910</v>
      </c>
    </row>
    <row r="267" spans="1:5" x14ac:dyDescent="0.2">
      <c r="A267" s="588">
        <v>10</v>
      </c>
      <c r="B267" s="587" t="s">
        <v>837</v>
      </c>
      <c r="C267" s="642">
        <f>IF(C258=0,0,C266/C258)</f>
        <v>0.33202187295713614</v>
      </c>
      <c r="D267" s="642">
        <f>IF(D258=0,0,D266/D258)</f>
        <v>0.29540788740249102</v>
      </c>
      <c r="E267" s="643">
        <f t="shared" si="30"/>
        <v>-3.6613985554645123E-2</v>
      </c>
    </row>
    <row r="268" spans="1:5" x14ac:dyDescent="0.2">
      <c r="A268" s="588">
        <v>11</v>
      </c>
      <c r="B268" s="587" t="s">
        <v>716</v>
      </c>
      <c r="C268" s="622">
        <f>+C260*C267</f>
        <v>15999137.99218552</v>
      </c>
      <c r="D268" s="644">
        <f>+D260*D267</f>
        <v>12493094.966138748</v>
      </c>
      <c r="E268" s="622">
        <f t="shared" si="30"/>
        <v>-3506043.0260467716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21061468.588553503</v>
      </c>
      <c r="D269" s="644">
        <f>((D17+D18+D28+D29)*D267)-(D50+D51+D61+D62)</f>
        <v>21512529.043843493</v>
      </c>
      <c r="E269" s="622">
        <f t="shared" si="30"/>
        <v>451060.45528998971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37060606.580739021</v>
      </c>
      <c r="D271" s="622">
        <f>+D268+D269+D270</f>
        <v>34005624.009982243</v>
      </c>
      <c r="E271" s="625">
        <f t="shared" si="30"/>
        <v>-3054982.5707567781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0.49985457955493401</v>
      </c>
      <c r="D276" s="623">
        <f t="shared" si="31"/>
        <v>0.46277368404999569</v>
      </c>
      <c r="E276" s="650">
        <f t="shared" ref="E276:E284" si="32">D276-C276</f>
        <v>-3.7080895504938316E-2</v>
      </c>
    </row>
    <row r="277" spans="1:5" x14ac:dyDescent="0.2">
      <c r="A277" s="588">
        <v>2</v>
      </c>
      <c r="B277" s="587" t="s">
        <v>635</v>
      </c>
      <c r="C277" s="623">
        <f t="shared" si="31"/>
        <v>0.28651052089141887</v>
      </c>
      <c r="D277" s="623">
        <f t="shared" si="31"/>
        <v>0.23168206975097033</v>
      </c>
      <c r="E277" s="650">
        <f t="shared" si="32"/>
        <v>-5.4828451140448542E-2</v>
      </c>
    </row>
    <row r="278" spans="1:5" x14ac:dyDescent="0.2">
      <c r="A278" s="588">
        <v>3</v>
      </c>
      <c r="B278" s="587" t="s">
        <v>777</v>
      </c>
      <c r="C278" s="623">
        <f t="shared" si="31"/>
        <v>0.24906286144198481</v>
      </c>
      <c r="D278" s="623">
        <f t="shared" si="31"/>
        <v>0.19888957182913211</v>
      </c>
      <c r="E278" s="650">
        <f t="shared" si="32"/>
        <v>-5.0173289612852695E-2</v>
      </c>
    </row>
    <row r="279" spans="1:5" x14ac:dyDescent="0.2">
      <c r="A279" s="588">
        <v>4</v>
      </c>
      <c r="B279" s="587" t="s">
        <v>115</v>
      </c>
      <c r="C279" s="623">
        <f t="shared" si="31"/>
        <v>0.24992656195753049</v>
      </c>
      <c r="D279" s="623">
        <f t="shared" si="31"/>
        <v>0.2011997615439135</v>
      </c>
      <c r="E279" s="650">
        <f t="shared" si="32"/>
        <v>-4.8726800413616989E-2</v>
      </c>
    </row>
    <row r="280" spans="1:5" x14ac:dyDescent="0.2">
      <c r="A280" s="588">
        <v>5</v>
      </c>
      <c r="B280" s="587" t="s">
        <v>743</v>
      </c>
      <c r="C280" s="623">
        <f t="shared" si="31"/>
        <v>0.11490752822830969</v>
      </c>
      <c r="D280" s="623">
        <f t="shared" si="31"/>
        <v>5.1038838347662825E-2</v>
      </c>
      <c r="E280" s="650">
        <f t="shared" si="32"/>
        <v>-6.3868689880646867E-2</v>
      </c>
    </row>
    <row r="281" spans="1:5" x14ac:dyDescent="0.2">
      <c r="A281" s="588">
        <v>6</v>
      </c>
      <c r="B281" s="587" t="s">
        <v>424</v>
      </c>
      <c r="C281" s="623">
        <f t="shared" si="31"/>
        <v>0.28523936292877133</v>
      </c>
      <c r="D281" s="623">
        <f t="shared" si="31"/>
        <v>0.3937533859270988</v>
      </c>
      <c r="E281" s="650">
        <f t="shared" si="32"/>
        <v>0.10851402299832746</v>
      </c>
    </row>
    <row r="282" spans="1:5" x14ac:dyDescent="0.2">
      <c r="A282" s="588">
        <v>7</v>
      </c>
      <c r="B282" s="587" t="s">
        <v>758</v>
      </c>
      <c r="C282" s="623">
        <f t="shared" si="31"/>
        <v>6.5901452117772194E-2</v>
      </c>
      <c r="D282" s="623">
        <f t="shared" si="31"/>
        <v>0.12422705027634241</v>
      </c>
      <c r="E282" s="650">
        <f t="shared" si="32"/>
        <v>5.8325598158570219E-2</v>
      </c>
    </row>
    <row r="283" spans="1:5" ht="29.25" customHeight="1" x14ac:dyDescent="0.2">
      <c r="A283" s="588"/>
      <c r="B283" s="592" t="s">
        <v>844</v>
      </c>
      <c r="C283" s="651">
        <f t="shared" si="31"/>
        <v>0.27688677622864133</v>
      </c>
      <c r="D283" s="651">
        <f t="shared" si="31"/>
        <v>0.22294690775251305</v>
      </c>
      <c r="E283" s="652">
        <f t="shared" si="32"/>
        <v>-5.3939868476128278E-2</v>
      </c>
    </row>
    <row r="284" spans="1:5" x14ac:dyDescent="0.2">
      <c r="A284" s="588"/>
      <c r="B284" s="592" t="s">
        <v>845</v>
      </c>
      <c r="C284" s="651">
        <f t="shared" si="31"/>
        <v>0.33251766249749537</v>
      </c>
      <c r="D284" s="651">
        <f t="shared" si="31"/>
        <v>0.28612203795948599</v>
      </c>
      <c r="E284" s="652">
        <f t="shared" si="32"/>
        <v>-4.6395624538009383E-2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0.47906521413812014</v>
      </c>
      <c r="D287" s="623">
        <f t="shared" si="33"/>
        <v>0.43541910565433328</v>
      </c>
      <c r="E287" s="650">
        <f t="shared" ref="E287:E295" si="34">D287-C287</f>
        <v>-4.3646108483786861E-2</v>
      </c>
    </row>
    <row r="288" spans="1:5" x14ac:dyDescent="0.2">
      <c r="A288" s="588">
        <v>2</v>
      </c>
      <c r="B288" s="587" t="s">
        <v>635</v>
      </c>
      <c r="C288" s="623">
        <f t="shared" si="33"/>
        <v>0.23645633869825319</v>
      </c>
      <c r="D288" s="623">
        <f t="shared" si="33"/>
        <v>0.25743800570546399</v>
      </c>
      <c r="E288" s="650">
        <f t="shared" si="34"/>
        <v>2.0981667007210797E-2</v>
      </c>
    </row>
    <row r="289" spans="1:5" x14ac:dyDescent="0.2">
      <c r="A289" s="588">
        <v>3</v>
      </c>
      <c r="B289" s="587" t="s">
        <v>777</v>
      </c>
      <c r="C289" s="623">
        <f t="shared" si="33"/>
        <v>0.24229333741908821</v>
      </c>
      <c r="D289" s="623">
        <f t="shared" si="33"/>
        <v>0.24886764703490535</v>
      </c>
      <c r="E289" s="650">
        <f t="shared" si="34"/>
        <v>6.5743096158171477E-3</v>
      </c>
    </row>
    <row r="290" spans="1:5" x14ac:dyDescent="0.2">
      <c r="A290" s="588">
        <v>4</v>
      </c>
      <c r="B290" s="587" t="s">
        <v>115</v>
      </c>
      <c r="C290" s="623">
        <f t="shared" si="33"/>
        <v>0.24209360520255144</v>
      </c>
      <c r="D290" s="623">
        <f t="shared" si="33"/>
        <v>0.25060990820457374</v>
      </c>
      <c r="E290" s="650">
        <f t="shared" si="34"/>
        <v>8.5163030020223018E-3</v>
      </c>
    </row>
    <row r="291" spans="1:5" x14ac:dyDescent="0.2">
      <c r="A291" s="588">
        <v>5</v>
      </c>
      <c r="B291" s="587" t="s">
        <v>743</v>
      </c>
      <c r="C291" s="623">
        <f t="shared" si="33"/>
        <v>0.36101726223461622</v>
      </c>
      <c r="D291" s="623">
        <f t="shared" si="33"/>
        <v>9.2219170061648356E-2</v>
      </c>
      <c r="E291" s="650">
        <f t="shared" si="34"/>
        <v>-0.26879809217296785</v>
      </c>
    </row>
    <row r="292" spans="1:5" x14ac:dyDescent="0.2">
      <c r="A292" s="588">
        <v>6</v>
      </c>
      <c r="B292" s="587" t="s">
        <v>424</v>
      </c>
      <c r="C292" s="623">
        <f t="shared" si="33"/>
        <v>0.35885618478441433</v>
      </c>
      <c r="D292" s="623">
        <f t="shared" si="33"/>
        <v>0.27211927304879119</v>
      </c>
      <c r="E292" s="650">
        <f t="shared" si="34"/>
        <v>-8.6736911735623146E-2</v>
      </c>
    </row>
    <row r="293" spans="1:5" x14ac:dyDescent="0.2">
      <c r="A293" s="588">
        <v>7</v>
      </c>
      <c r="B293" s="587" t="s">
        <v>758</v>
      </c>
      <c r="C293" s="623">
        <f t="shared" si="33"/>
        <v>9.0059154029974484E-2</v>
      </c>
      <c r="D293" s="623">
        <f t="shared" si="33"/>
        <v>0.21887304381454384</v>
      </c>
      <c r="E293" s="650">
        <f t="shared" si="34"/>
        <v>0.12881388978456937</v>
      </c>
    </row>
    <row r="294" spans="1:5" ht="29.25" customHeight="1" x14ac:dyDescent="0.2">
      <c r="A294" s="588"/>
      <c r="B294" s="592" t="s">
        <v>847</v>
      </c>
      <c r="C294" s="651">
        <f t="shared" si="33"/>
        <v>0.23889171650264124</v>
      </c>
      <c r="D294" s="651">
        <f t="shared" si="33"/>
        <v>0.25386401364076278</v>
      </c>
      <c r="E294" s="652">
        <f t="shared" si="34"/>
        <v>1.4972297138121538E-2</v>
      </c>
    </row>
    <row r="295" spans="1:5" x14ac:dyDescent="0.2">
      <c r="A295" s="588"/>
      <c r="B295" s="592" t="s">
        <v>848</v>
      </c>
      <c r="C295" s="651">
        <f t="shared" si="33"/>
        <v>0.34218601589404657</v>
      </c>
      <c r="D295" s="651">
        <f t="shared" si="33"/>
        <v>0.32540667497867065</v>
      </c>
      <c r="E295" s="652">
        <f t="shared" si="34"/>
        <v>-1.6779340915375918E-2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403001768</v>
      </c>
      <c r="D301" s="590">
        <f>+D48+D47+D50+D51+D52+D59+D58+D61+D62+D63</f>
        <v>392675885</v>
      </c>
      <c r="E301" s="590">
        <f>D301-C301</f>
        <v>-10325883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403001768</v>
      </c>
      <c r="D303" s="593">
        <f>+D301+D302</f>
        <v>392675885</v>
      </c>
      <c r="E303" s="593">
        <f>D303-C303</f>
        <v>-10325883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-1936980</v>
      </c>
      <c r="D305" s="654">
        <v>9934276</v>
      </c>
      <c r="E305" s="655">
        <f>D305-C305</f>
        <v>11871256</v>
      </c>
    </row>
    <row r="306" spans="1:5" x14ac:dyDescent="0.2">
      <c r="A306" s="588">
        <v>4</v>
      </c>
      <c r="B306" s="592" t="s">
        <v>855</v>
      </c>
      <c r="C306" s="593">
        <f>+C303+C305+C194+C190-C191</f>
        <v>448507972</v>
      </c>
      <c r="D306" s="593">
        <f>+D303+D305</f>
        <v>402610161</v>
      </c>
      <c r="E306" s="656">
        <f>D306-C306</f>
        <v>-45897811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401065000</v>
      </c>
      <c r="D308" s="589">
        <v>402610000</v>
      </c>
      <c r="E308" s="590">
        <f>D308-C308</f>
        <v>1545000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47442972</v>
      </c>
      <c r="D310" s="658">
        <f>D306-D308</f>
        <v>161</v>
      </c>
      <c r="E310" s="656">
        <f>D310-C310</f>
        <v>-47442811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1199088712</v>
      </c>
      <c r="D314" s="590">
        <f>+D14+D15+D16+D19+D25+D26+D27+D30</f>
        <v>1306254120</v>
      </c>
      <c r="E314" s="590">
        <f>D314-C314</f>
        <v>107165408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1199088712</v>
      </c>
      <c r="D316" s="657">
        <f>D314+D315</f>
        <v>1306254120</v>
      </c>
      <c r="E316" s="593">
        <f>D316-C316</f>
        <v>107165408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1199089000</v>
      </c>
      <c r="D318" s="589">
        <v>1306254000</v>
      </c>
      <c r="E318" s="590">
        <f>D318-C318</f>
        <v>107165000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-288</v>
      </c>
      <c r="D320" s="657">
        <f>D316-D318</f>
        <v>120</v>
      </c>
      <c r="E320" s="593">
        <f>D320-C320</f>
        <v>408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48187000</v>
      </c>
      <c r="D324" s="589">
        <f>+D193+D194</f>
        <v>42291000</v>
      </c>
      <c r="E324" s="590">
        <f>D324-C324</f>
        <v>-5896000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48187000</v>
      </c>
      <c r="D326" s="657">
        <f>D324+D325</f>
        <v>42291000</v>
      </c>
      <c r="E326" s="593">
        <f>D326-C326</f>
        <v>-5896000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48187000</v>
      </c>
      <c r="D328" s="589">
        <v>42291000</v>
      </c>
      <c r="E328" s="590">
        <f>D328-C328</f>
        <v>-5896000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r:id="rId1"/>
  <headerFooter>
    <oddHeader>_x000D_
                &amp;LOFFICE OF HEALTH CARE ACCESS&amp;CTWELVE MONTHS ACTUAL FILING&amp;RSAINT VINCENT`S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tabSelected="1" zoomScaleSheetLayoutView="75" workbookViewId="0">
      <selection activeCell="M14" sqref="M14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217174512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442950139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163887773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161366399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2521374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430089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21828716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607268001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824442513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189860192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169245131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122353413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121007554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1345859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352871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29623086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291951415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481811607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407034704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899219416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1306254120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100502649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102623605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32595569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32466881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128688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169349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2711717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135388523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235891172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82668755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43570129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30449806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30325692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124114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96023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6483695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74115958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156784713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183171404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209504481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392675885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5278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8262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4749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4699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50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521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13030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18308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1.4165000000000001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1.5427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1.1376472941671931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1.1379999999999999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1.1045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1.0709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1.2241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1.3943838449731387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1.4007596952152062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344004037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165093192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178910845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0.52008356227517183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22800495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9459570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21773000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20518000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42291000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20518000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424794000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392675885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392675885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9934276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402610161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402610000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161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1306254120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1306254120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1306254000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120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42291000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42291000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42291000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FILING&amp;RSAINT VINCENT`S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zoomScale="75" zoomScaleSheetLayoutView="90" workbookViewId="0">
      <selection activeCell="M14" sqref="M14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4002</v>
      </c>
      <c r="D12" s="185">
        <v>2519</v>
      </c>
      <c r="E12" s="185">
        <f>+D12-C12</f>
        <v>-1483</v>
      </c>
      <c r="F12" s="77">
        <f>IF(C12=0,0,+E12/C12)</f>
        <v>-0.37056471764117943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3910</v>
      </c>
      <c r="D13" s="185">
        <v>2409</v>
      </c>
      <c r="E13" s="185">
        <f>+D13-C13</f>
        <v>-1501</v>
      </c>
      <c r="F13" s="77">
        <f>IF(C13=0,0,+E13/C13)</f>
        <v>-0.38388746803069052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17249000</v>
      </c>
      <c r="D15" s="76">
        <v>21773000</v>
      </c>
      <c r="E15" s="76">
        <f>+D15-C15</f>
        <v>4524000</v>
      </c>
      <c r="F15" s="77">
        <f>IF(C15=0,0,+E15/C15)</f>
        <v>0.26227607397530289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4411.5089514066494</v>
      </c>
      <c r="D16" s="79">
        <f>IF(D13=0,0,+D15/+D13)</f>
        <v>9038.1901203819016</v>
      </c>
      <c r="E16" s="79">
        <f>+D16-C16</f>
        <v>4626.6811689752521</v>
      </c>
      <c r="F16" s="80">
        <f>IF(C16=0,0,+E16/C16)</f>
        <v>1.0487751968631942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0.32638899999999998</v>
      </c>
      <c r="D18" s="704">
        <v>0.32662099999999999</v>
      </c>
      <c r="E18" s="704">
        <f>+D18-C18</f>
        <v>2.3200000000000998E-4</v>
      </c>
      <c r="F18" s="77">
        <f>IF(C18=0,0,+E18/C18)</f>
        <v>7.1080826866104551E-4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5629883.8609999996</v>
      </c>
      <c r="D19" s="79">
        <f>+D15*D18</f>
        <v>7111519.0329999998</v>
      </c>
      <c r="E19" s="79">
        <f>+D19-C19</f>
        <v>1481635.1720000003</v>
      </c>
      <c r="F19" s="80">
        <f>IF(C19=0,0,+E19/C19)</f>
        <v>0.26317331024601759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1439.8679951406648</v>
      </c>
      <c r="D20" s="79">
        <f>IF(D13=0,0,+D19/D13)</f>
        <v>2952.0626953092569</v>
      </c>
      <c r="E20" s="79">
        <f>+D20-C20</f>
        <v>1512.1947001685921</v>
      </c>
      <c r="F20" s="80">
        <f>IF(C20=0,0,+E20/C20)</f>
        <v>1.0502314832137523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8536000</v>
      </c>
      <c r="D22" s="76">
        <v>8402000</v>
      </c>
      <c r="E22" s="76">
        <f>+D22-C22</f>
        <v>-134000</v>
      </c>
      <c r="F22" s="77">
        <f>IF(C22=0,0,+E22/C22)</f>
        <v>-1.569821930646673E-2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5613000</v>
      </c>
      <c r="D23" s="185">
        <v>9059000</v>
      </c>
      <c r="E23" s="185">
        <f>+D23-C23</f>
        <v>3446000</v>
      </c>
      <c r="F23" s="77">
        <f>IF(C23=0,0,+E23/C23)</f>
        <v>0.61393194370212012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3100000</v>
      </c>
      <c r="D24" s="185">
        <v>4312000</v>
      </c>
      <c r="E24" s="185">
        <f>+D24-C24</f>
        <v>1212000</v>
      </c>
      <c r="F24" s="77">
        <f>IF(C24=0,0,+E24/C24)</f>
        <v>0.39096774193548389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17249000</v>
      </c>
      <c r="D25" s="79">
        <f>+D22+D23+D24</f>
        <v>21773000</v>
      </c>
      <c r="E25" s="79">
        <f>+E22+E23+E24</f>
        <v>4524000</v>
      </c>
      <c r="F25" s="80">
        <f>IF(C25=0,0,+E25/C25)</f>
        <v>0.26227607397530289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503</v>
      </c>
      <c r="D27" s="185">
        <v>1023</v>
      </c>
      <c r="E27" s="185">
        <f>+D27-C27</f>
        <v>520</v>
      </c>
      <c r="F27" s="77">
        <f>IF(C27=0,0,+E27/C27)</f>
        <v>1.0337972166998013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108</v>
      </c>
      <c r="D28" s="185">
        <v>202</v>
      </c>
      <c r="E28" s="185">
        <f>+D28-C28</f>
        <v>94</v>
      </c>
      <c r="F28" s="77">
        <f>IF(C28=0,0,+E28/C28)</f>
        <v>0.87037037037037035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760</v>
      </c>
      <c r="D29" s="185">
        <v>1519</v>
      </c>
      <c r="E29" s="185">
        <f>+D29-C29</f>
        <v>759</v>
      </c>
      <c r="F29" s="77">
        <f>IF(C29=0,0,+E29/C29)</f>
        <v>0.99868421052631584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4879</v>
      </c>
      <c r="D30" s="185">
        <v>6431</v>
      </c>
      <c r="E30" s="185">
        <f>+D30-C30</f>
        <v>1552</v>
      </c>
      <c r="F30" s="77">
        <f>IF(C30=0,0,+E30/C30)</f>
        <v>0.31809797089567532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13199000</v>
      </c>
      <c r="D33" s="76">
        <v>10143000</v>
      </c>
      <c r="E33" s="76">
        <f>+D33-C33</f>
        <v>-3056000</v>
      </c>
      <c r="F33" s="77">
        <f>IF(C33=0,0,+E33/C33)</f>
        <v>-0.23153269187059625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14254000</v>
      </c>
      <c r="D34" s="185">
        <v>4683000</v>
      </c>
      <c r="E34" s="185">
        <f>+D34-C34</f>
        <v>-9571000</v>
      </c>
      <c r="F34" s="77">
        <f>IF(C34=0,0,+E34/C34)</f>
        <v>-0.67146064262663108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3485000</v>
      </c>
      <c r="D35" s="185">
        <v>5692000</v>
      </c>
      <c r="E35" s="185">
        <f>+D35-C35</f>
        <v>2207000</v>
      </c>
      <c r="F35" s="77">
        <f>IF(C35=0,0,+E35/C35)</f>
        <v>0.63328550932568151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30938000</v>
      </c>
      <c r="D36" s="79">
        <f>+D33+D34+D35</f>
        <v>20518000</v>
      </c>
      <c r="E36" s="79">
        <f>+E33+E34+E35</f>
        <v>-10420000</v>
      </c>
      <c r="F36" s="80">
        <f>IF(C36=0,0,+E36/C36)</f>
        <v>-0.33680263753313078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17249000</v>
      </c>
      <c r="D39" s="76">
        <f>+D25</f>
        <v>21773000</v>
      </c>
      <c r="E39" s="76">
        <f>+D39-C39</f>
        <v>4524000</v>
      </c>
      <c r="F39" s="77">
        <f>IF(C39=0,0,+E39/C39)</f>
        <v>0.26227607397530289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30938000</v>
      </c>
      <c r="D40" s="185">
        <f>+D36</f>
        <v>20518000</v>
      </c>
      <c r="E40" s="185">
        <f>+D40-C40</f>
        <v>-10420000</v>
      </c>
      <c r="F40" s="77">
        <f>IF(C40=0,0,+E40/C40)</f>
        <v>-0.33680263753313078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48187000</v>
      </c>
      <c r="D41" s="79">
        <f>+D39+D40</f>
        <v>42291000</v>
      </c>
      <c r="E41" s="79">
        <f>+E39+E40</f>
        <v>-5896000</v>
      </c>
      <c r="F41" s="80">
        <f>IF(C41=0,0,+E41/C41)</f>
        <v>-0.12235665220910204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21735000</v>
      </c>
      <c r="D43" s="76">
        <f t="shared" si="0"/>
        <v>18545000</v>
      </c>
      <c r="E43" s="76">
        <f>+D43-C43</f>
        <v>-3190000</v>
      </c>
      <c r="F43" s="77">
        <f>IF(C43=0,0,+E43/C43)</f>
        <v>-0.14676788589832068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19867000</v>
      </c>
      <c r="D44" s="185">
        <f t="shared" si="0"/>
        <v>13742000</v>
      </c>
      <c r="E44" s="185">
        <f>+D44-C44</f>
        <v>-6125000</v>
      </c>
      <c r="F44" s="77">
        <f>IF(C44=0,0,+E44/C44)</f>
        <v>-0.3083001963054311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6585000</v>
      </c>
      <c r="D45" s="185">
        <f t="shared" si="0"/>
        <v>10004000</v>
      </c>
      <c r="E45" s="185">
        <f>+D45-C45</f>
        <v>3419000</v>
      </c>
      <c r="F45" s="77">
        <f>IF(C45=0,0,+E45/C45)</f>
        <v>0.5192103264996204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48187000</v>
      </c>
      <c r="D46" s="79">
        <f>+D43+D44+D45</f>
        <v>42291000</v>
      </c>
      <c r="E46" s="79">
        <f>+E43+E44+E45</f>
        <v>-5896000</v>
      </c>
      <c r="F46" s="80">
        <f>IF(C46=0,0,+E46/C46)</f>
        <v>-0.12235665220910204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r:id="rId1"/>
  <headerFooter>
    <oddHeader>_x000D_
                  &amp;LOFFICE OF HEALTH CARE ACCESS&amp;CTWELVE MONTHS ACTUAL FILING&amp;RSAINT VINCENT`S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75" zoomScaleSheetLayoutView="90" workbookViewId="0">
      <selection activeCell="M14" sqref="M14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328772437</v>
      </c>
      <c r="D15" s="76">
        <v>344004037</v>
      </c>
      <c r="E15" s="76">
        <f>+D15-C15</f>
        <v>15231600</v>
      </c>
      <c r="F15" s="77">
        <f>IF(C15=0,0,E15/C15)</f>
        <v>4.6328701210436321E-2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147243964</v>
      </c>
      <c r="D17" s="76">
        <v>178910845</v>
      </c>
      <c r="E17" s="76">
        <f>+D17-C17</f>
        <v>31666881</v>
      </c>
      <c r="F17" s="77">
        <f>IF(C17=0,0,E17/C17)</f>
        <v>0.21506403481503664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181528473</v>
      </c>
      <c r="D19" s="79">
        <f>+D15-D17</f>
        <v>165093192</v>
      </c>
      <c r="E19" s="79">
        <f>+D19-C19</f>
        <v>-16435281</v>
      </c>
      <c r="F19" s="80">
        <f>IF(C19=0,0,E19/C19)</f>
        <v>-9.0538309105921908E-2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0.44785981861368751</v>
      </c>
      <c r="D21" s="720">
        <f>IF(D15=0,0,D17/D15)</f>
        <v>0.52008356227517183</v>
      </c>
      <c r="E21" s="720">
        <f>+D21-C21</f>
        <v>7.2223743661484319E-2</v>
      </c>
      <c r="F21" s="80">
        <f>IF(C21=0,0,E21/C21)</f>
        <v>0.16126417387710032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r:id="rId1"/>
  <headerFooter>
    <oddHeader>&amp;L&amp;12OFFICE OF HEALTH CARE ACCESS&amp;C&amp;12TWELVE MONTHS ACTUAL FILING&amp;R&amp;12SAINT VINCENT`S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zoomScale="75" workbookViewId="0">
      <selection activeCell="M14" sqref="M14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762459747</v>
      </c>
      <c r="D10" s="744">
        <v>756035776</v>
      </c>
      <c r="E10" s="744">
        <v>824442513</v>
      </c>
    </row>
    <row r="11" spans="1:6" ht="26.1" customHeight="1" x14ac:dyDescent="0.25">
      <c r="A11" s="742">
        <v>2</v>
      </c>
      <c r="B11" s="743" t="s">
        <v>932</v>
      </c>
      <c r="C11" s="744">
        <v>430225751</v>
      </c>
      <c r="D11" s="744">
        <v>443052936</v>
      </c>
      <c r="E11" s="744">
        <v>481811607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1192685498</v>
      </c>
      <c r="D12" s="744">
        <f>+D11+D10</f>
        <v>1199088712</v>
      </c>
      <c r="E12" s="744">
        <f>+E11+E10</f>
        <v>1306254120</v>
      </c>
    </row>
    <row r="13" spans="1:6" ht="26.1" customHeight="1" x14ac:dyDescent="0.25">
      <c r="A13" s="742">
        <v>4</v>
      </c>
      <c r="B13" s="743" t="s">
        <v>507</v>
      </c>
      <c r="C13" s="744">
        <v>408184000</v>
      </c>
      <c r="D13" s="744">
        <v>401065000</v>
      </c>
      <c r="E13" s="744">
        <v>402610000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394491000</v>
      </c>
      <c r="D16" s="744">
        <v>398392000</v>
      </c>
      <c r="E16" s="744">
        <v>424794000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120574</v>
      </c>
      <c r="D19" s="747">
        <v>110756</v>
      </c>
      <c r="E19" s="747">
        <v>111145</v>
      </c>
    </row>
    <row r="20" spans="1:5" ht="26.1" customHeight="1" x14ac:dyDescent="0.25">
      <c r="A20" s="742">
        <v>2</v>
      </c>
      <c r="B20" s="743" t="s">
        <v>381</v>
      </c>
      <c r="C20" s="748">
        <v>20324</v>
      </c>
      <c r="D20" s="748">
        <v>18711</v>
      </c>
      <c r="E20" s="748">
        <v>18308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5.9325920094469593</v>
      </c>
      <c r="D21" s="749">
        <f>IF(D20=0,0,+D19/D20)</f>
        <v>5.9192988081876967</v>
      </c>
      <c r="E21" s="749">
        <f>IF(E20=0,0,+E19/E20)</f>
        <v>6.0708433471706362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188609.1191065225</v>
      </c>
      <c r="D22" s="748">
        <f>IF(D10=0,0,D19*(D12/D10))</f>
        <v>175661.35572170597</v>
      </c>
      <c r="E22" s="748">
        <f>IF(E10=0,0,E19*(E12/E10))</f>
        <v>176099.13593502427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31792.02594855411</v>
      </c>
      <c r="D23" s="748">
        <f>IF(D10=0,0,D20*(D12/D10))</f>
        <v>29676.041270078735</v>
      </c>
      <c r="E23" s="748">
        <f>IF(E10=0,0,E20*(E12/E10))</f>
        <v>29007.359581613426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1.3418493898838812</v>
      </c>
      <c r="D26" s="750">
        <v>1.3758053497942389</v>
      </c>
      <c r="E26" s="750">
        <v>1.4007596952152062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161792.14833585909</v>
      </c>
      <c r="D27" s="748">
        <f>D19*D26</f>
        <v>152378.69732181073</v>
      </c>
      <c r="E27" s="748">
        <f>E19*E26</f>
        <v>155687.43632469408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27271.747000000003</v>
      </c>
      <c r="D28" s="748">
        <f>D20*D26</f>
        <v>25742.693900000002</v>
      </c>
      <c r="E28" s="748">
        <f>E20*E26</f>
        <v>25645.108499999995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253085.03139962352</v>
      </c>
      <c r="D29" s="748">
        <f>D22*D26</f>
        <v>241675.83295403191</v>
      </c>
      <c r="E29" s="748">
        <f>E22*E26</f>
        <v>246672.57198000577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42660.110622239852</v>
      </c>
      <c r="D30" s="748">
        <f>D23*D26</f>
        <v>40828.456340088938</v>
      </c>
      <c r="E30" s="748">
        <f>E23*E26</f>
        <v>40632.340166538714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9891.7303730489166</v>
      </c>
      <c r="D33" s="744">
        <f>IF(D19=0,0,D12/D19)</f>
        <v>10826.39958106107</v>
      </c>
      <c r="E33" s="744">
        <f>IF(E19=0,0,E12/E19)</f>
        <v>11752.702505735751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58683.600570753792</v>
      </c>
      <c r="D34" s="744">
        <f>IF(D20=0,0,D12/D20)</f>
        <v>64084.694137138584</v>
      </c>
      <c r="E34" s="744">
        <f>IF(E20=0,0,E12/E20)</f>
        <v>71348.815818221541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6323.5834176522294</v>
      </c>
      <c r="D35" s="744">
        <f>IF(D22=0,0,D12/D22)</f>
        <v>6826.1383220773587</v>
      </c>
      <c r="E35" s="744">
        <f>IF(E22=0,0,E12/E22)</f>
        <v>7417.7202123352372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37515.240454634913</v>
      </c>
      <c r="D36" s="744">
        <f>IF(D23=0,0,D12/D23)</f>
        <v>40405.952434396873</v>
      </c>
      <c r="E36" s="744">
        <f>IF(E23=0,0,E12/E23)</f>
        <v>45031.817402228531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4712.5880634036348</v>
      </c>
      <c r="D37" s="744">
        <f>IF(D29=0,0,D12/D29)</f>
        <v>4961.5582052346681</v>
      </c>
      <c r="E37" s="744">
        <f>IF(E29=0,0,E12/E29)</f>
        <v>5295.4980341546825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27957.862288763528</v>
      </c>
      <c r="D38" s="744">
        <f>IF(D30=0,0,D12/D30)</f>
        <v>29368.945570999465</v>
      </c>
      <c r="E38" s="744">
        <f>IF(E30=0,0,E12/E30)</f>
        <v>32148.139010603136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4042.5391445117698</v>
      </c>
      <c r="D39" s="744">
        <f>IF(D22=0,0,D10/D22)</f>
        <v>4303.9390928859766</v>
      </c>
      <c r="E39" s="744">
        <f>IF(E22=0,0,E10/E22)</f>
        <v>4681.6953906247254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23982.735426607072</v>
      </c>
      <c r="D40" s="744">
        <f>IF(D23=0,0,D10/D23)</f>
        <v>25476.301543032398</v>
      </c>
      <c r="E40" s="744">
        <f>IF(E23=0,0,E10/E23)</f>
        <v>28421.839315653546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3385.3401230779436</v>
      </c>
      <c r="D43" s="744">
        <f>IF(D19=0,0,D13/D19)</f>
        <v>3621.1582216764782</v>
      </c>
      <c r="E43" s="744">
        <f>IF(E19=0,0,E13/E19)</f>
        <v>3622.3851725223808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20083.841763432396</v>
      </c>
      <c r="D44" s="744">
        <f>IF(D20=0,0,D13/D20)</f>
        <v>21434.717545828658</v>
      </c>
      <c r="E44" s="744">
        <f>IF(E20=0,0,E13/E20)</f>
        <v>21990.932925497051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2164.1795578795222</v>
      </c>
      <c r="D45" s="744">
        <f>IF(D22=0,0,D13/D22)</f>
        <v>2283.1714941070645</v>
      </c>
      <c r="E45" s="744">
        <f>IF(E22=0,0,E13/E22)</f>
        <v>2286.2690260362888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12839.194352084507</v>
      </c>
      <c r="D46" s="744">
        <f>IF(D23=0,0,D13/D23)</f>
        <v>13514.774303956072</v>
      </c>
      <c r="E46" s="744">
        <f>IF(E23=0,0,E13/E23)</f>
        <v>13879.581106554695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1612.8334328689468</v>
      </c>
      <c r="D47" s="744">
        <f>IF(D29=0,0,D13/D29)</f>
        <v>1659.516365776982</v>
      </c>
      <c r="E47" s="744">
        <f>IF(E29=0,0,E13/E29)</f>
        <v>1632.1636279554982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9568.2827364072236</v>
      </c>
      <c r="D48" s="744">
        <f>IF(D30=0,0,D13/D30)</f>
        <v>9823.173246111668</v>
      </c>
      <c r="E48" s="744">
        <f>IF(E30=0,0,E13/E30)</f>
        <v>9908.6097022675258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3271.7750095377114</v>
      </c>
      <c r="D51" s="744">
        <f>IF(D19=0,0,D16/D19)</f>
        <v>3597.0240889884071</v>
      </c>
      <c r="E51" s="744">
        <f>IF(E19=0,0,E16/E19)</f>
        <v>3821.9802960097172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19410.106278291674</v>
      </c>
      <c r="D52" s="744">
        <f>IF(D20=0,0,D16/D20)</f>
        <v>21291.860402971513</v>
      </c>
      <c r="E52" s="744">
        <f>IF(E20=0,0,E16/E20)</f>
        <v>23202.64365304785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2091.5796747727754</v>
      </c>
      <c r="D53" s="744">
        <f>IF(D22=0,0,D16/D22)</f>
        <v>2267.9547152713444</v>
      </c>
      <c r="E53" s="744">
        <f>IF(E22=0,0,E16/E22)</f>
        <v>2412.2435226299876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12408.488865678637</v>
      </c>
      <c r="D54" s="744">
        <f>IF(D23=0,0,D16/D23)</f>
        <v>13424.701643129336</v>
      </c>
      <c r="E54" s="744">
        <f>IF(E23=0,0,E16/E23)</f>
        <v>14644.35254111372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1558.7290872888298</v>
      </c>
      <c r="D55" s="744">
        <f>IF(D29=0,0,D16/D29)</f>
        <v>1648.4560956319385</v>
      </c>
      <c r="E55" s="744">
        <f>IF(E29=0,0,E16/E29)</f>
        <v>1722.0966100537194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9247.3037281422639</v>
      </c>
      <c r="D56" s="744">
        <f>IF(D30=0,0,D16/D30)</f>
        <v>9757.7042022238784</v>
      </c>
      <c r="E56" s="744">
        <f>IF(E30=0,0,E16/E30)</f>
        <v>10454.578748329726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69212911</v>
      </c>
      <c r="D59" s="752">
        <v>68135000</v>
      </c>
      <c r="E59" s="752">
        <v>69408000</v>
      </c>
    </row>
    <row r="60" spans="1:6" ht="26.1" customHeight="1" x14ac:dyDescent="0.25">
      <c r="A60" s="742">
        <v>2</v>
      </c>
      <c r="B60" s="743" t="s">
        <v>968</v>
      </c>
      <c r="C60" s="752">
        <v>19798899</v>
      </c>
      <c r="D60" s="752">
        <v>19216000</v>
      </c>
      <c r="E60" s="752">
        <v>17989000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89011810</v>
      </c>
      <c r="D61" s="755">
        <f>D59+D60</f>
        <v>87351000</v>
      </c>
      <c r="E61" s="755">
        <f>E59+E60</f>
        <v>87397000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10079633</v>
      </c>
      <c r="D64" s="744">
        <v>5941000</v>
      </c>
      <c r="E64" s="752">
        <v>7397000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2883358</v>
      </c>
      <c r="D65" s="752">
        <v>1676000</v>
      </c>
      <c r="E65" s="752">
        <v>1917000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12962991</v>
      </c>
      <c r="D66" s="757">
        <f>D64+D65</f>
        <v>7617000</v>
      </c>
      <c r="E66" s="757">
        <f>E64+E65</f>
        <v>9314000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77039456</v>
      </c>
      <c r="D69" s="752">
        <v>77042000</v>
      </c>
      <c r="E69" s="752">
        <v>77274000</v>
      </c>
    </row>
    <row r="70" spans="1:6" ht="26.1" customHeight="1" x14ac:dyDescent="0.25">
      <c r="A70" s="742">
        <v>2</v>
      </c>
      <c r="B70" s="743" t="s">
        <v>976</v>
      </c>
      <c r="C70" s="752">
        <v>22037743</v>
      </c>
      <c r="D70" s="752">
        <v>21727000</v>
      </c>
      <c r="E70" s="752">
        <v>20028000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99077199</v>
      </c>
      <c r="D71" s="755">
        <f>D69+D70</f>
        <v>98769000</v>
      </c>
      <c r="E71" s="755">
        <f>E69+E70</f>
        <v>97302000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156332000</v>
      </c>
      <c r="D75" s="744">
        <f t="shared" si="0"/>
        <v>151118000</v>
      </c>
      <c r="E75" s="744">
        <f t="shared" si="0"/>
        <v>154079000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44720000</v>
      </c>
      <c r="D76" s="744">
        <f t="shared" si="0"/>
        <v>42619000</v>
      </c>
      <c r="E76" s="744">
        <f t="shared" si="0"/>
        <v>39934000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201052000</v>
      </c>
      <c r="D77" s="757">
        <f>D75+D76</f>
        <v>193737000</v>
      </c>
      <c r="E77" s="757">
        <f>E75+E76</f>
        <v>194013000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853</v>
      </c>
      <c r="D80" s="749">
        <v>936.7</v>
      </c>
      <c r="E80" s="749">
        <v>912.7</v>
      </c>
    </row>
    <row r="81" spans="1:5" ht="26.1" customHeight="1" x14ac:dyDescent="0.25">
      <c r="A81" s="742">
        <v>2</v>
      </c>
      <c r="B81" s="743" t="s">
        <v>617</v>
      </c>
      <c r="C81" s="749">
        <v>69.900000000000006</v>
      </c>
      <c r="D81" s="749">
        <v>65.2</v>
      </c>
      <c r="E81" s="749">
        <v>64.400000000000006</v>
      </c>
    </row>
    <row r="82" spans="1:5" ht="26.1" customHeight="1" x14ac:dyDescent="0.25">
      <c r="A82" s="742">
        <v>3</v>
      </c>
      <c r="B82" s="743" t="s">
        <v>982</v>
      </c>
      <c r="C82" s="749">
        <v>1340.3</v>
      </c>
      <c r="D82" s="749">
        <v>1279.9000000000001</v>
      </c>
      <c r="E82" s="749">
        <v>1206.4000000000001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2263.1999999999998</v>
      </c>
      <c r="D83" s="759">
        <f>D80+D81+D82</f>
        <v>2281.8000000000002</v>
      </c>
      <c r="E83" s="759">
        <f>E80+E81+E82</f>
        <v>2183.5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81140.575615474794</v>
      </c>
      <c r="D86" s="752">
        <f>IF(D80=0,0,D59/D80)</f>
        <v>72739.404291662213</v>
      </c>
      <c r="E86" s="752">
        <f>IF(E80=0,0,E59/E80)</f>
        <v>76046.893831488982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23210.901524032826</v>
      </c>
      <c r="D87" s="752">
        <f>IF(D80=0,0,D60/D80)</f>
        <v>20514.572435144655</v>
      </c>
      <c r="E87" s="752">
        <f>IF(E80=0,0,E60/E80)</f>
        <v>19709.652678864906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104351.47713950762</v>
      </c>
      <c r="D88" s="755">
        <f>+D86+D87</f>
        <v>93253.976726806868</v>
      </c>
      <c r="E88" s="755">
        <f>+E86+E87</f>
        <v>95756.546510353888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144200.75822603717</v>
      </c>
      <c r="D91" s="744">
        <f>IF(D81=0,0,D64/D81)</f>
        <v>91119.63190184049</v>
      </c>
      <c r="E91" s="744">
        <f>IF(E81=0,0,E64/E81)</f>
        <v>114860.24844720495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41249.756795422029</v>
      </c>
      <c r="D92" s="744">
        <f>IF(D81=0,0,D65/D81)</f>
        <v>25705.521472392636</v>
      </c>
      <c r="E92" s="744">
        <f>IF(E81=0,0,E65/E81)</f>
        <v>29767.080745341613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185450.5150214592</v>
      </c>
      <c r="D93" s="757">
        <f>+D91+D92</f>
        <v>116825.15337423312</v>
      </c>
      <c r="E93" s="757">
        <f>+E91+E92</f>
        <v>144627.32919254657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57479.26285160039</v>
      </c>
      <c r="D96" s="752">
        <f>IF(D82=0,0,D69/D82)</f>
        <v>60193.765137901391</v>
      </c>
      <c r="E96" s="752">
        <f>IF(E82=0,0,E69/E82)</f>
        <v>64053.381962864718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16442.395732298741</v>
      </c>
      <c r="D97" s="752">
        <f>IF(D82=0,0,D70/D82)</f>
        <v>16975.544964450346</v>
      </c>
      <c r="E97" s="752">
        <f>IF(E82=0,0,E70/E82)</f>
        <v>16601.458885941644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73921.65858389913</v>
      </c>
      <c r="D98" s="757">
        <f>+D96+D97</f>
        <v>77169.310102351737</v>
      </c>
      <c r="E98" s="757">
        <f>+E96+E97</f>
        <v>80654.840848806358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69075.645104277137</v>
      </c>
      <c r="D101" s="744">
        <f>IF(D83=0,0,D75/D83)</f>
        <v>66227.539661670598</v>
      </c>
      <c r="E101" s="744">
        <f>IF(E83=0,0,E75/E83)</f>
        <v>70565.147698648958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19759.632378932485</v>
      </c>
      <c r="D102" s="761">
        <f>IF(D83=0,0,D76/D83)</f>
        <v>18677.798229467964</v>
      </c>
      <c r="E102" s="761">
        <f>IF(E83=0,0,E76/E83)</f>
        <v>18288.985573620335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88835.277483209618</v>
      </c>
      <c r="D103" s="757">
        <f>+D101+D102</f>
        <v>84905.337891138566</v>
      </c>
      <c r="E103" s="757">
        <f>+E101+E102</f>
        <v>88854.13327226929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1667.4573291090949</v>
      </c>
      <c r="D108" s="744">
        <f>IF(D19=0,0,D77/D19)</f>
        <v>1749.2235183646935</v>
      </c>
      <c r="E108" s="744">
        <f>IF(E19=0,0,E77/E19)</f>
        <v>1745.5845966980071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9892.3440267663846</v>
      </c>
      <c r="D109" s="744">
        <f>IF(D20=0,0,D77/D20)</f>
        <v>10354.17668751002</v>
      </c>
      <c r="E109" s="744">
        <f>IF(E20=0,0,E77/E20)</f>
        <v>10597.170635787634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1065.9717883865944</v>
      </c>
      <c r="D110" s="744">
        <f>IF(D22=0,0,D77/D22)</f>
        <v>1102.9005167586811</v>
      </c>
      <c r="E110" s="744">
        <f>IF(E22=0,0,E77/E22)</f>
        <v>1101.7260190963427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6323.9757140781958</v>
      </c>
      <c r="D111" s="744">
        <f>IF(D23=0,0,D77/D23)</f>
        <v>6528.3977143992561</v>
      </c>
      <c r="E111" s="744">
        <f>IF(E23=0,0,E77/E23)</f>
        <v>6688.4060734358209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794.40494322454458</v>
      </c>
      <c r="D112" s="744">
        <f>IF(D29=0,0,D77/D29)</f>
        <v>801.63993905360769</v>
      </c>
      <c r="E112" s="744">
        <f>IF(E29=0,0,E77/E29)</f>
        <v>786.52035953038944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4712.8804184390992</v>
      </c>
      <c r="D113" s="744">
        <f>IF(D30=0,0,D77/D30)</f>
        <v>4745.1463358356787</v>
      </c>
      <c r="E113" s="744">
        <f>IF(E30=0,0,E77/E30)</f>
        <v>4774.8418920693211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&amp;L&amp;"Arial,Bold"&amp;12OFFICE OF HEALTH CARE ACCESS&amp;C&amp;"Arial,Bold"&amp;12TWELVE MONTHS ACTUAL FILING&amp;R&amp;"Arial,Bold"&amp;12SAINT VINCENT`S MEDICAL CENTER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="75" zoomScaleSheetLayoutView="75" workbookViewId="0">
      <selection activeCell="M14" sqref="M14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1199089000</v>
      </c>
      <c r="D12" s="76">
        <v>1306255000</v>
      </c>
      <c r="E12" s="76">
        <f t="shared" ref="E12:E21" si="0">D12-C12</f>
        <v>107166000</v>
      </c>
      <c r="F12" s="77">
        <f t="shared" ref="F12:F21" si="1">IF(C12=0,0,E12/C12)</f>
        <v>8.9372848887780645E-2</v>
      </c>
    </row>
    <row r="13" spans="1:8" ht="23.1" customHeight="1" x14ac:dyDescent="0.2">
      <c r="A13" s="74">
        <v>2</v>
      </c>
      <c r="B13" s="75" t="s">
        <v>72</v>
      </c>
      <c r="C13" s="76">
        <v>749837000</v>
      </c>
      <c r="D13" s="76">
        <v>861354000</v>
      </c>
      <c r="E13" s="76">
        <f t="shared" si="0"/>
        <v>111517000</v>
      </c>
      <c r="F13" s="77">
        <f t="shared" si="1"/>
        <v>0.14872165550646341</v>
      </c>
    </row>
    <row r="14" spans="1:8" ht="23.1" customHeight="1" x14ac:dyDescent="0.2">
      <c r="A14" s="74">
        <v>3</v>
      </c>
      <c r="B14" s="75" t="s">
        <v>73</v>
      </c>
      <c r="C14" s="76">
        <v>17249000</v>
      </c>
      <c r="D14" s="76">
        <v>21773000</v>
      </c>
      <c r="E14" s="76">
        <f t="shared" si="0"/>
        <v>4524000</v>
      </c>
      <c r="F14" s="77">
        <f t="shared" si="1"/>
        <v>0.26227607397530289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432003000</v>
      </c>
      <c r="D16" s="79">
        <f>D12-D13-D14-D15</f>
        <v>423128000</v>
      </c>
      <c r="E16" s="79">
        <f t="shared" si="0"/>
        <v>-8875000</v>
      </c>
      <c r="F16" s="80">
        <f t="shared" si="1"/>
        <v>-2.0543838815934148E-2</v>
      </c>
    </row>
    <row r="17" spans="1:7" ht="23.1" customHeight="1" x14ac:dyDescent="0.2">
      <c r="A17" s="74">
        <v>5</v>
      </c>
      <c r="B17" s="75" t="s">
        <v>76</v>
      </c>
      <c r="C17" s="76">
        <v>30938000</v>
      </c>
      <c r="D17" s="76">
        <v>20518000</v>
      </c>
      <c r="E17" s="76">
        <f t="shared" si="0"/>
        <v>-10420000</v>
      </c>
      <c r="F17" s="77">
        <f t="shared" si="1"/>
        <v>-0.33680263753313078</v>
      </c>
      <c r="G17" s="65"/>
    </row>
    <row r="18" spans="1:7" ht="31.5" customHeight="1" x14ac:dyDescent="0.25">
      <c r="A18" s="71"/>
      <c r="B18" s="81" t="s">
        <v>77</v>
      </c>
      <c r="C18" s="79">
        <f>C16-C17</f>
        <v>401065000</v>
      </c>
      <c r="D18" s="79">
        <f>D16-D17</f>
        <v>402610000</v>
      </c>
      <c r="E18" s="79">
        <f t="shared" si="0"/>
        <v>1545000</v>
      </c>
      <c r="F18" s="80">
        <f t="shared" si="1"/>
        <v>3.8522434019423284E-3</v>
      </c>
    </row>
    <row r="19" spans="1:7" ht="23.1" customHeight="1" x14ac:dyDescent="0.2">
      <c r="A19" s="74">
        <v>6</v>
      </c>
      <c r="B19" s="75" t="s">
        <v>78</v>
      </c>
      <c r="C19" s="76">
        <v>20396000</v>
      </c>
      <c r="D19" s="76">
        <v>18068000</v>
      </c>
      <c r="E19" s="76">
        <f t="shared" si="0"/>
        <v>-2328000</v>
      </c>
      <c r="F19" s="77">
        <f t="shared" si="1"/>
        <v>-0.11414002745636399</v>
      </c>
      <c r="G19" s="65"/>
    </row>
    <row r="20" spans="1:7" ht="33" customHeight="1" x14ac:dyDescent="0.2">
      <c r="A20" s="74">
        <v>7</v>
      </c>
      <c r="B20" s="82" t="s">
        <v>79</v>
      </c>
      <c r="C20" s="76">
        <v>252000</v>
      </c>
      <c r="D20" s="76">
        <v>270000</v>
      </c>
      <c r="E20" s="76">
        <f t="shared" si="0"/>
        <v>18000</v>
      </c>
      <c r="F20" s="77">
        <f t="shared" si="1"/>
        <v>7.1428571428571425E-2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421713000</v>
      </c>
      <c r="D21" s="79">
        <f>SUM(D18:D20)</f>
        <v>420948000</v>
      </c>
      <c r="E21" s="79">
        <f t="shared" si="0"/>
        <v>-765000</v>
      </c>
      <c r="F21" s="80">
        <f t="shared" si="1"/>
        <v>-1.8140299208229294E-3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151118000</v>
      </c>
      <c r="D24" s="76">
        <v>154079000</v>
      </c>
      <c r="E24" s="76">
        <f t="shared" ref="E24:E33" si="2">D24-C24</f>
        <v>2961000</v>
      </c>
      <c r="F24" s="77">
        <f t="shared" ref="F24:F33" si="3">IF(C24=0,0,E24/C24)</f>
        <v>1.9593959687131911E-2</v>
      </c>
    </row>
    <row r="25" spans="1:7" ht="23.1" customHeight="1" x14ac:dyDescent="0.2">
      <c r="A25" s="74">
        <v>2</v>
      </c>
      <c r="B25" s="75" t="s">
        <v>83</v>
      </c>
      <c r="C25" s="76">
        <v>42619000</v>
      </c>
      <c r="D25" s="76">
        <v>39934000</v>
      </c>
      <c r="E25" s="76">
        <f t="shared" si="2"/>
        <v>-2685000</v>
      </c>
      <c r="F25" s="77">
        <f t="shared" si="3"/>
        <v>-6.3000070391140098E-2</v>
      </c>
    </row>
    <row r="26" spans="1:7" ht="23.1" customHeight="1" x14ac:dyDescent="0.2">
      <c r="A26" s="74">
        <v>3</v>
      </c>
      <c r="B26" s="75" t="s">
        <v>84</v>
      </c>
      <c r="C26" s="76">
        <v>32371000</v>
      </c>
      <c r="D26" s="76">
        <v>34044000</v>
      </c>
      <c r="E26" s="76">
        <f t="shared" si="2"/>
        <v>1673000</v>
      </c>
      <c r="F26" s="77">
        <f t="shared" si="3"/>
        <v>5.1682061104074632E-2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47957000</v>
      </c>
      <c r="D27" s="76">
        <v>49962000</v>
      </c>
      <c r="E27" s="76">
        <f t="shared" si="2"/>
        <v>2005000</v>
      </c>
      <c r="F27" s="77">
        <f t="shared" si="3"/>
        <v>4.180828659007027E-2</v>
      </c>
    </row>
    <row r="28" spans="1:7" ht="23.1" customHeight="1" x14ac:dyDescent="0.2">
      <c r="A28" s="74">
        <v>5</v>
      </c>
      <c r="B28" s="75" t="s">
        <v>86</v>
      </c>
      <c r="C28" s="76">
        <v>26699000</v>
      </c>
      <c r="D28" s="76">
        <v>24667000</v>
      </c>
      <c r="E28" s="76">
        <f t="shared" si="2"/>
        <v>-2032000</v>
      </c>
      <c r="F28" s="77">
        <f t="shared" si="3"/>
        <v>-7.6107719390239331E-2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1818000</v>
      </c>
      <c r="D30" s="76">
        <v>1791000</v>
      </c>
      <c r="E30" s="76">
        <f t="shared" si="2"/>
        <v>-27000</v>
      </c>
      <c r="F30" s="77">
        <f t="shared" si="3"/>
        <v>-1.4851485148514851E-2</v>
      </c>
    </row>
    <row r="31" spans="1:7" ht="23.1" customHeight="1" x14ac:dyDescent="0.2">
      <c r="A31" s="74">
        <v>8</v>
      </c>
      <c r="B31" s="75" t="s">
        <v>89</v>
      </c>
      <c r="C31" s="76">
        <v>4187000</v>
      </c>
      <c r="D31" s="76">
        <v>7350000</v>
      </c>
      <c r="E31" s="76">
        <f t="shared" si="2"/>
        <v>3163000</v>
      </c>
      <c r="F31" s="77">
        <f t="shared" si="3"/>
        <v>0.75543348459517556</v>
      </c>
    </row>
    <row r="32" spans="1:7" ht="23.1" customHeight="1" x14ac:dyDescent="0.2">
      <c r="A32" s="74">
        <v>9</v>
      </c>
      <c r="B32" s="75" t="s">
        <v>90</v>
      </c>
      <c r="C32" s="76">
        <v>91623000</v>
      </c>
      <c r="D32" s="76">
        <v>112967000</v>
      </c>
      <c r="E32" s="76">
        <f t="shared" si="2"/>
        <v>21344000</v>
      </c>
      <c r="F32" s="77">
        <f t="shared" si="3"/>
        <v>0.23295460746755728</v>
      </c>
    </row>
    <row r="33" spans="1:6" ht="23.1" customHeight="1" x14ac:dyDescent="0.25">
      <c r="A33" s="71"/>
      <c r="B33" s="78" t="s">
        <v>91</v>
      </c>
      <c r="C33" s="79">
        <f>SUM(C24:C32)</f>
        <v>398392000</v>
      </c>
      <c r="D33" s="79">
        <f>SUM(D24:D32)</f>
        <v>424794000</v>
      </c>
      <c r="E33" s="79">
        <f t="shared" si="2"/>
        <v>26402000</v>
      </c>
      <c r="F33" s="80">
        <f t="shared" si="3"/>
        <v>6.6271411072511499E-2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23321000</v>
      </c>
      <c r="D35" s="79">
        <f>+D21-D33</f>
        <v>-3846000</v>
      </c>
      <c r="E35" s="79">
        <f>D35-C35</f>
        <v>-27167000</v>
      </c>
      <c r="F35" s="80">
        <f>IF(C35=0,0,E35/C35)</f>
        <v>-1.1649157411774795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21911000</v>
      </c>
      <c r="D38" s="76">
        <v>-11608000</v>
      </c>
      <c r="E38" s="76">
        <f>D38-C38</f>
        <v>-33519000</v>
      </c>
      <c r="F38" s="77">
        <f>IF(C38=0,0,E38/C38)</f>
        <v>-1.5297795627766875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-250000</v>
      </c>
      <c r="D40" s="76">
        <v>366000</v>
      </c>
      <c r="E40" s="76">
        <f>D40-C40</f>
        <v>616000</v>
      </c>
      <c r="F40" s="77">
        <f>IF(C40=0,0,E40/C40)</f>
        <v>-2.464</v>
      </c>
    </row>
    <row r="41" spans="1:6" ht="23.1" customHeight="1" x14ac:dyDescent="0.25">
      <c r="A41" s="83"/>
      <c r="B41" s="78" t="s">
        <v>97</v>
      </c>
      <c r="C41" s="79">
        <f>SUM(C38:C40)</f>
        <v>21661000</v>
      </c>
      <c r="D41" s="79">
        <f>SUM(D38:D40)</f>
        <v>-11242000</v>
      </c>
      <c r="E41" s="79">
        <f>D41-C41</f>
        <v>-32903000</v>
      </c>
      <c r="F41" s="80">
        <f>IF(C41=0,0,E41/C41)</f>
        <v>-1.5189972762107014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44982000</v>
      </c>
      <c r="D43" s="79">
        <f>D35+D41</f>
        <v>-15088000</v>
      </c>
      <c r="E43" s="79">
        <f>D43-C43</f>
        <v>-60070000</v>
      </c>
      <c r="F43" s="80">
        <f>IF(C43=0,0,E43/C43)</f>
        <v>-1.3354230581121338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44982000</v>
      </c>
      <c r="D50" s="79">
        <f>D43+D48</f>
        <v>-15088000</v>
      </c>
      <c r="E50" s="79">
        <f>D50-C50</f>
        <v>-60070000</v>
      </c>
      <c r="F50" s="80">
        <f>IF(C50=0,0,E50/C50)</f>
        <v>-1.3354230581121338</v>
      </c>
    </row>
    <row r="51" spans="1:6" ht="23.1" customHeight="1" x14ac:dyDescent="0.2">
      <c r="A51" s="85"/>
      <c r="B51" s="75" t="s">
        <v>104</v>
      </c>
      <c r="C51" s="76">
        <v>838147</v>
      </c>
      <c r="D51" s="76">
        <v>839000</v>
      </c>
      <c r="E51" s="76">
        <f>D51-C51</f>
        <v>853</v>
      </c>
      <c r="F51" s="77">
        <f>IF(C51=0,0,E51/C51)</f>
        <v>1.0177212350578121E-3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0" orientation="portrait" r:id="rId1"/>
  <headerFooter>
    <oddHeader>&amp;LOFFICE OF HEALTH CARE ACCESS&amp;CTWELVE MONTHS ACTUAL FILING&amp;RSAINT VINCENT`S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tabSelected="1" zoomScale="75" workbookViewId="0">
      <selection activeCell="M14" sqref="M14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292735408</v>
      </c>
      <c r="D14" s="113">
        <v>310703385</v>
      </c>
      <c r="E14" s="113">
        <f t="shared" ref="E14:E25" si="0">D14-C14</f>
        <v>17967977</v>
      </c>
      <c r="F14" s="114">
        <f t="shared" ref="F14:F25" si="1">IF(C14=0,0,E14/C14)</f>
        <v>6.137958206955272E-2</v>
      </c>
    </row>
    <row r="15" spans="1:6" x14ac:dyDescent="0.2">
      <c r="A15" s="115">
        <v>2</v>
      </c>
      <c r="B15" s="116" t="s">
        <v>114</v>
      </c>
      <c r="C15" s="113">
        <v>128326299</v>
      </c>
      <c r="D15" s="113">
        <v>132246754</v>
      </c>
      <c r="E15" s="113">
        <f t="shared" si="0"/>
        <v>3920455</v>
      </c>
      <c r="F15" s="114">
        <f t="shared" si="1"/>
        <v>3.0550674573728648E-2</v>
      </c>
    </row>
    <row r="16" spans="1:6" x14ac:dyDescent="0.2">
      <c r="A16" s="115">
        <v>3</v>
      </c>
      <c r="B16" s="116" t="s">
        <v>115</v>
      </c>
      <c r="C16" s="113">
        <v>144867015</v>
      </c>
      <c r="D16" s="113">
        <v>161366399</v>
      </c>
      <c r="E16" s="113">
        <f t="shared" si="0"/>
        <v>16499384</v>
      </c>
      <c r="F16" s="114">
        <f t="shared" si="1"/>
        <v>0.11389331104806709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542043</v>
      </c>
      <c r="D18" s="113">
        <v>430089</v>
      </c>
      <c r="E18" s="113">
        <f t="shared" si="0"/>
        <v>-111954</v>
      </c>
      <c r="F18" s="114">
        <f t="shared" si="1"/>
        <v>-0.20654080949297379</v>
      </c>
    </row>
    <row r="19" spans="1:6" x14ac:dyDescent="0.2">
      <c r="A19" s="115">
        <v>6</v>
      </c>
      <c r="B19" s="116" t="s">
        <v>118</v>
      </c>
      <c r="C19" s="113">
        <v>39511208</v>
      </c>
      <c r="D19" s="113">
        <v>36501857</v>
      </c>
      <c r="E19" s="113">
        <f t="shared" si="0"/>
        <v>-3009351</v>
      </c>
      <c r="F19" s="114">
        <f t="shared" si="1"/>
        <v>-7.6164489832859575E-2</v>
      </c>
    </row>
    <row r="20" spans="1:6" x14ac:dyDescent="0.2">
      <c r="A20" s="115">
        <v>7</v>
      </c>
      <c r="B20" s="116" t="s">
        <v>119</v>
      </c>
      <c r="C20" s="113">
        <v>123696867</v>
      </c>
      <c r="D20" s="113">
        <v>152117243</v>
      </c>
      <c r="E20" s="113">
        <f t="shared" si="0"/>
        <v>28420376</v>
      </c>
      <c r="F20" s="114">
        <f t="shared" si="1"/>
        <v>0.22975825248670204</v>
      </c>
    </row>
    <row r="21" spans="1:6" x14ac:dyDescent="0.2">
      <c r="A21" s="115">
        <v>8</v>
      </c>
      <c r="B21" s="116" t="s">
        <v>120</v>
      </c>
      <c r="C21" s="113">
        <v>4972144</v>
      </c>
      <c r="D21" s="113">
        <v>6726696</v>
      </c>
      <c r="E21" s="113">
        <f t="shared" si="0"/>
        <v>1754552</v>
      </c>
      <c r="F21" s="114">
        <f t="shared" si="1"/>
        <v>0.35287634469154555</v>
      </c>
    </row>
    <row r="22" spans="1:6" x14ac:dyDescent="0.2">
      <c r="A22" s="115">
        <v>9</v>
      </c>
      <c r="B22" s="116" t="s">
        <v>121</v>
      </c>
      <c r="C22" s="113">
        <v>20452129</v>
      </c>
      <c r="D22" s="113">
        <v>21828716</v>
      </c>
      <c r="E22" s="113">
        <f t="shared" si="0"/>
        <v>1376587</v>
      </c>
      <c r="F22" s="114">
        <f t="shared" si="1"/>
        <v>6.7307760478138981E-2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932663</v>
      </c>
      <c r="D24" s="113">
        <v>2521374</v>
      </c>
      <c r="E24" s="113">
        <f t="shared" si="0"/>
        <v>1588711</v>
      </c>
      <c r="F24" s="114">
        <f t="shared" si="1"/>
        <v>1.7034137732492873</v>
      </c>
    </row>
    <row r="25" spans="1:6" ht="15.75" x14ac:dyDescent="0.25">
      <c r="A25" s="117"/>
      <c r="B25" s="118" t="s">
        <v>124</v>
      </c>
      <c r="C25" s="119">
        <f>SUM(C14:C24)</f>
        <v>756035776</v>
      </c>
      <c r="D25" s="119">
        <f>SUM(D14:D24)</f>
        <v>824442513</v>
      </c>
      <c r="E25" s="119">
        <f t="shared" si="0"/>
        <v>68406737</v>
      </c>
      <c r="F25" s="120">
        <f t="shared" si="1"/>
        <v>9.0480820050505117E-2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106454359</v>
      </c>
      <c r="D27" s="113">
        <v>117127675</v>
      </c>
      <c r="E27" s="113">
        <f t="shared" ref="E27:E38" si="2">D27-C27</f>
        <v>10673316</v>
      </c>
      <c r="F27" s="114">
        <f t="shared" ref="F27:F38" si="3">IF(C27=0,0,E27/C27)</f>
        <v>0.10026189721362185</v>
      </c>
    </row>
    <row r="28" spans="1:6" x14ac:dyDescent="0.2">
      <c r="A28" s="115">
        <v>2</v>
      </c>
      <c r="B28" s="116" t="s">
        <v>114</v>
      </c>
      <c r="C28" s="113">
        <v>45866214</v>
      </c>
      <c r="D28" s="113">
        <v>52117456</v>
      </c>
      <c r="E28" s="113">
        <f t="shared" si="2"/>
        <v>6251242</v>
      </c>
      <c r="F28" s="114">
        <f t="shared" si="3"/>
        <v>0.13629295847265702</v>
      </c>
    </row>
    <row r="29" spans="1:6" x14ac:dyDescent="0.2">
      <c r="A29" s="115">
        <v>3</v>
      </c>
      <c r="B29" s="116" t="s">
        <v>115</v>
      </c>
      <c r="C29" s="113">
        <v>99756592</v>
      </c>
      <c r="D29" s="113">
        <v>121007554</v>
      </c>
      <c r="E29" s="113">
        <f t="shared" si="2"/>
        <v>21250962</v>
      </c>
      <c r="F29" s="114">
        <f t="shared" si="3"/>
        <v>0.21302814755339677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258853</v>
      </c>
      <c r="D31" s="113">
        <v>352871</v>
      </c>
      <c r="E31" s="113">
        <f t="shared" si="2"/>
        <v>94018</v>
      </c>
      <c r="F31" s="114">
        <f t="shared" si="3"/>
        <v>0.36321000722417746</v>
      </c>
    </row>
    <row r="32" spans="1:6" x14ac:dyDescent="0.2">
      <c r="A32" s="115">
        <v>6</v>
      </c>
      <c r="B32" s="116" t="s">
        <v>118</v>
      </c>
      <c r="C32" s="113">
        <v>46397607</v>
      </c>
      <c r="D32" s="113">
        <v>35175091</v>
      </c>
      <c r="E32" s="113">
        <f t="shared" si="2"/>
        <v>-11222516</v>
      </c>
      <c r="F32" s="114">
        <f t="shared" si="3"/>
        <v>-0.241877043356999</v>
      </c>
    </row>
    <row r="33" spans="1:6" x14ac:dyDescent="0.2">
      <c r="A33" s="115">
        <v>7</v>
      </c>
      <c r="B33" s="116" t="s">
        <v>119</v>
      </c>
      <c r="C33" s="113">
        <v>110616013</v>
      </c>
      <c r="D33" s="113">
        <v>120209847</v>
      </c>
      <c r="E33" s="113">
        <f t="shared" si="2"/>
        <v>9593834</v>
      </c>
      <c r="F33" s="114">
        <f t="shared" si="3"/>
        <v>8.6730969050565945E-2</v>
      </c>
    </row>
    <row r="34" spans="1:6" x14ac:dyDescent="0.2">
      <c r="A34" s="115">
        <v>8</v>
      </c>
      <c r="B34" s="116" t="s">
        <v>120</v>
      </c>
      <c r="C34" s="113">
        <v>3578598</v>
      </c>
      <c r="D34" s="113">
        <v>4852168</v>
      </c>
      <c r="E34" s="113">
        <f t="shared" si="2"/>
        <v>1273570</v>
      </c>
      <c r="F34" s="114">
        <f t="shared" si="3"/>
        <v>0.35588518185054596</v>
      </c>
    </row>
    <row r="35" spans="1:6" x14ac:dyDescent="0.2">
      <c r="A35" s="115">
        <v>9</v>
      </c>
      <c r="B35" s="116" t="s">
        <v>121</v>
      </c>
      <c r="C35" s="113">
        <v>29956877</v>
      </c>
      <c r="D35" s="113">
        <v>29623086</v>
      </c>
      <c r="E35" s="113">
        <f t="shared" si="2"/>
        <v>-333791</v>
      </c>
      <c r="F35" s="114">
        <f t="shared" si="3"/>
        <v>-1.1142383099546726E-2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167823</v>
      </c>
      <c r="D37" s="113">
        <v>1345859</v>
      </c>
      <c r="E37" s="113">
        <f t="shared" si="2"/>
        <v>1178036</v>
      </c>
      <c r="F37" s="114">
        <f t="shared" si="3"/>
        <v>7.01951460765211</v>
      </c>
    </row>
    <row r="38" spans="1:6" ht="15.75" x14ac:dyDescent="0.25">
      <c r="A38" s="117"/>
      <c r="B38" s="118" t="s">
        <v>126</v>
      </c>
      <c r="C38" s="119">
        <f>SUM(C27:C37)</f>
        <v>443052936</v>
      </c>
      <c r="D38" s="119">
        <f>SUM(D27:D37)</f>
        <v>481811607</v>
      </c>
      <c r="E38" s="119">
        <f t="shared" si="2"/>
        <v>38758671</v>
      </c>
      <c r="F38" s="120">
        <f t="shared" si="3"/>
        <v>8.7480903184896167E-2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399189767</v>
      </c>
      <c r="D41" s="119">
        <f t="shared" si="4"/>
        <v>427831060</v>
      </c>
      <c r="E41" s="123">
        <f t="shared" ref="E41:E52" si="5">D41-C41</f>
        <v>28641293</v>
      </c>
      <c r="F41" s="124">
        <f t="shared" ref="F41:F52" si="6">IF(C41=0,0,E41/C41)</f>
        <v>7.1748565137943532E-2</v>
      </c>
    </row>
    <row r="42" spans="1:6" ht="15.75" x14ac:dyDescent="0.25">
      <c r="A42" s="121">
        <v>2</v>
      </c>
      <c r="B42" s="122" t="s">
        <v>114</v>
      </c>
      <c r="C42" s="119">
        <f t="shared" si="4"/>
        <v>174192513</v>
      </c>
      <c r="D42" s="119">
        <f t="shared" si="4"/>
        <v>184364210</v>
      </c>
      <c r="E42" s="123">
        <f t="shared" si="5"/>
        <v>10171697</v>
      </c>
      <c r="F42" s="124">
        <f t="shared" si="6"/>
        <v>5.839342245438528E-2</v>
      </c>
    </row>
    <row r="43" spans="1:6" ht="15.75" x14ac:dyDescent="0.25">
      <c r="A43" s="121">
        <v>3</v>
      </c>
      <c r="B43" s="122" t="s">
        <v>115</v>
      </c>
      <c r="C43" s="119">
        <f t="shared" si="4"/>
        <v>244623607</v>
      </c>
      <c r="D43" s="119">
        <f t="shared" si="4"/>
        <v>282373953</v>
      </c>
      <c r="E43" s="123">
        <f t="shared" si="5"/>
        <v>37750346</v>
      </c>
      <c r="F43" s="124">
        <f t="shared" si="6"/>
        <v>0.15432012659350575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800896</v>
      </c>
      <c r="D45" s="119">
        <f t="shared" si="4"/>
        <v>782960</v>
      </c>
      <c r="E45" s="123">
        <f t="shared" si="5"/>
        <v>-17936</v>
      </c>
      <c r="F45" s="124">
        <f t="shared" si="6"/>
        <v>-2.2394917692184754E-2</v>
      </c>
    </row>
    <row r="46" spans="1:6" ht="15.75" x14ac:dyDescent="0.25">
      <c r="A46" s="121">
        <v>6</v>
      </c>
      <c r="B46" s="122" t="s">
        <v>118</v>
      </c>
      <c r="C46" s="119">
        <f t="shared" si="4"/>
        <v>85908815</v>
      </c>
      <c r="D46" s="119">
        <f t="shared" si="4"/>
        <v>71676948</v>
      </c>
      <c r="E46" s="123">
        <f t="shared" si="5"/>
        <v>-14231867</v>
      </c>
      <c r="F46" s="124">
        <f t="shared" si="6"/>
        <v>-0.16566247596361328</v>
      </c>
    </row>
    <row r="47" spans="1:6" ht="15.75" x14ac:dyDescent="0.25">
      <c r="A47" s="121">
        <v>7</v>
      </c>
      <c r="B47" s="122" t="s">
        <v>119</v>
      </c>
      <c r="C47" s="119">
        <f t="shared" si="4"/>
        <v>234312880</v>
      </c>
      <c r="D47" s="119">
        <f t="shared" si="4"/>
        <v>272327090</v>
      </c>
      <c r="E47" s="123">
        <f t="shared" si="5"/>
        <v>38014210</v>
      </c>
      <c r="F47" s="124">
        <f t="shared" si="6"/>
        <v>0.16223696281655536</v>
      </c>
    </row>
    <row r="48" spans="1:6" ht="15.75" x14ac:dyDescent="0.25">
      <c r="A48" s="121">
        <v>8</v>
      </c>
      <c r="B48" s="122" t="s">
        <v>120</v>
      </c>
      <c r="C48" s="119">
        <f t="shared" si="4"/>
        <v>8550742</v>
      </c>
      <c r="D48" s="119">
        <f t="shared" si="4"/>
        <v>11578864</v>
      </c>
      <c r="E48" s="123">
        <f t="shared" si="5"/>
        <v>3028122</v>
      </c>
      <c r="F48" s="124">
        <f t="shared" si="6"/>
        <v>0.35413558261961359</v>
      </c>
    </row>
    <row r="49" spans="1:6" ht="15.75" x14ac:dyDescent="0.25">
      <c r="A49" s="121">
        <v>9</v>
      </c>
      <c r="B49" s="122" t="s">
        <v>121</v>
      </c>
      <c r="C49" s="119">
        <f t="shared" si="4"/>
        <v>50409006</v>
      </c>
      <c r="D49" s="119">
        <f t="shared" si="4"/>
        <v>51451802</v>
      </c>
      <c r="E49" s="123">
        <f t="shared" si="5"/>
        <v>1042796</v>
      </c>
      <c r="F49" s="124">
        <f t="shared" si="6"/>
        <v>2.0686700309067788E-2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1100486</v>
      </c>
      <c r="D51" s="119">
        <f t="shared" si="4"/>
        <v>3867233</v>
      </c>
      <c r="E51" s="123">
        <f t="shared" si="5"/>
        <v>2766747</v>
      </c>
      <c r="F51" s="124">
        <f t="shared" si="6"/>
        <v>2.5141137642823264</v>
      </c>
    </row>
    <row r="52" spans="1:6" ht="18.75" customHeight="1" thickBot="1" x14ac:dyDescent="0.3">
      <c r="A52" s="125"/>
      <c r="B52" s="126" t="s">
        <v>128</v>
      </c>
      <c r="C52" s="127">
        <f>SUM(C41:C51)</f>
        <v>1199088712</v>
      </c>
      <c r="D52" s="128">
        <f>SUM(D41:D51)</f>
        <v>1306254120</v>
      </c>
      <c r="E52" s="127">
        <f t="shared" si="5"/>
        <v>107165408</v>
      </c>
      <c r="F52" s="129">
        <f t="shared" si="6"/>
        <v>8.937237664530695E-2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87654885</v>
      </c>
      <c r="D57" s="113">
        <v>73536798</v>
      </c>
      <c r="E57" s="113">
        <f t="shared" ref="E57:E68" si="7">D57-C57</f>
        <v>-14118087</v>
      </c>
      <c r="F57" s="114">
        <f t="shared" ref="F57:F68" si="8">IF(C57=0,0,E57/C57)</f>
        <v>-0.16106446320704201</v>
      </c>
    </row>
    <row r="58" spans="1:6" x14ac:dyDescent="0.2">
      <c r="A58" s="115">
        <v>2</v>
      </c>
      <c r="B58" s="116" t="s">
        <v>114</v>
      </c>
      <c r="C58" s="113">
        <v>32983724</v>
      </c>
      <c r="D58" s="113">
        <v>29086807</v>
      </c>
      <c r="E58" s="113">
        <f t="shared" si="7"/>
        <v>-3896917</v>
      </c>
      <c r="F58" s="114">
        <f t="shared" si="8"/>
        <v>-0.11814666530680405</v>
      </c>
    </row>
    <row r="59" spans="1:6" x14ac:dyDescent="0.2">
      <c r="A59" s="115">
        <v>3</v>
      </c>
      <c r="B59" s="116" t="s">
        <v>115</v>
      </c>
      <c r="C59" s="113">
        <v>36206115</v>
      </c>
      <c r="D59" s="113">
        <v>32466881</v>
      </c>
      <c r="E59" s="113">
        <f t="shared" si="7"/>
        <v>-3739234</v>
      </c>
      <c r="F59" s="114">
        <f t="shared" si="8"/>
        <v>-0.1032763111977079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154612</v>
      </c>
      <c r="D61" s="113">
        <v>169349</v>
      </c>
      <c r="E61" s="113">
        <f t="shared" si="7"/>
        <v>14737</v>
      </c>
      <c r="F61" s="114">
        <f t="shared" si="8"/>
        <v>9.5316016868030942E-2</v>
      </c>
    </row>
    <row r="62" spans="1:6" x14ac:dyDescent="0.2">
      <c r="A62" s="115">
        <v>6</v>
      </c>
      <c r="B62" s="116" t="s">
        <v>118</v>
      </c>
      <c r="C62" s="113">
        <v>18659535</v>
      </c>
      <c r="D62" s="113">
        <v>22283712</v>
      </c>
      <c r="E62" s="113">
        <f t="shared" si="7"/>
        <v>3624177</v>
      </c>
      <c r="F62" s="114">
        <f t="shared" si="8"/>
        <v>0.19422654423060381</v>
      </c>
    </row>
    <row r="63" spans="1:6" x14ac:dyDescent="0.2">
      <c r="A63" s="115">
        <v>7</v>
      </c>
      <c r="B63" s="116" t="s">
        <v>119</v>
      </c>
      <c r="C63" s="113">
        <v>70245407</v>
      </c>
      <c r="D63" s="113">
        <v>70105235</v>
      </c>
      <c r="E63" s="113">
        <f t="shared" si="7"/>
        <v>-140172</v>
      </c>
      <c r="F63" s="114">
        <f t="shared" si="8"/>
        <v>-1.9954614256843866E-3</v>
      </c>
    </row>
    <row r="64" spans="1:6" x14ac:dyDescent="0.2">
      <c r="A64" s="115">
        <v>8</v>
      </c>
      <c r="B64" s="116" t="s">
        <v>120</v>
      </c>
      <c r="C64" s="113">
        <v>4035976</v>
      </c>
      <c r="D64" s="113">
        <v>5401985</v>
      </c>
      <c r="E64" s="113">
        <f t="shared" si="7"/>
        <v>1366009</v>
      </c>
      <c r="F64" s="114">
        <f t="shared" si="8"/>
        <v>0.33845815733294748</v>
      </c>
    </row>
    <row r="65" spans="1:6" x14ac:dyDescent="0.2">
      <c r="A65" s="115">
        <v>9</v>
      </c>
      <c r="B65" s="116" t="s">
        <v>121</v>
      </c>
      <c r="C65" s="113">
        <v>1347825</v>
      </c>
      <c r="D65" s="113">
        <v>2711717</v>
      </c>
      <c r="E65" s="113">
        <f t="shared" si="7"/>
        <v>1363892</v>
      </c>
      <c r="F65" s="114">
        <f t="shared" si="8"/>
        <v>1.0119206870328121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107170</v>
      </c>
      <c r="D67" s="113">
        <v>128688</v>
      </c>
      <c r="E67" s="113">
        <f t="shared" si="7"/>
        <v>21518</v>
      </c>
      <c r="F67" s="114">
        <f t="shared" si="8"/>
        <v>0.20078380143696931</v>
      </c>
    </row>
    <row r="68" spans="1:6" ht="15.75" x14ac:dyDescent="0.25">
      <c r="A68" s="117"/>
      <c r="B68" s="118" t="s">
        <v>131</v>
      </c>
      <c r="C68" s="119">
        <f>SUM(C57:C67)</f>
        <v>251395249</v>
      </c>
      <c r="D68" s="119">
        <f>SUM(D57:D67)</f>
        <v>235891172</v>
      </c>
      <c r="E68" s="119">
        <f t="shared" si="7"/>
        <v>-15504077</v>
      </c>
      <c r="F68" s="120">
        <f t="shared" si="8"/>
        <v>-6.1672116166363984E-2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26320581</v>
      </c>
      <c r="D70" s="113">
        <v>30613813</v>
      </c>
      <c r="E70" s="113">
        <f t="shared" ref="E70:E81" si="9">D70-C70</f>
        <v>4293232</v>
      </c>
      <c r="F70" s="114">
        <f t="shared" ref="F70:F81" si="10">IF(C70=0,0,E70/C70)</f>
        <v>0.16311311668993933</v>
      </c>
    </row>
    <row r="71" spans="1:6" x14ac:dyDescent="0.2">
      <c r="A71" s="115">
        <v>2</v>
      </c>
      <c r="B71" s="116" t="s">
        <v>114</v>
      </c>
      <c r="C71" s="113">
        <v>9696584</v>
      </c>
      <c r="D71" s="113">
        <v>12956316</v>
      </c>
      <c r="E71" s="113">
        <f t="shared" si="9"/>
        <v>3259732</v>
      </c>
      <c r="F71" s="114">
        <f t="shared" si="10"/>
        <v>0.336173233790374</v>
      </c>
    </row>
    <row r="72" spans="1:6" x14ac:dyDescent="0.2">
      <c r="A72" s="115">
        <v>3</v>
      </c>
      <c r="B72" s="116" t="s">
        <v>115</v>
      </c>
      <c r="C72" s="113">
        <v>24150433</v>
      </c>
      <c r="D72" s="113">
        <v>30325692</v>
      </c>
      <c r="E72" s="113">
        <f t="shared" si="9"/>
        <v>6175259</v>
      </c>
      <c r="F72" s="114">
        <f t="shared" si="10"/>
        <v>0.25569972182279299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92891</v>
      </c>
      <c r="D74" s="113">
        <v>96023</v>
      </c>
      <c r="E74" s="113">
        <f t="shared" si="9"/>
        <v>3132</v>
      </c>
      <c r="F74" s="114">
        <f t="shared" si="10"/>
        <v>3.3716937055258314E-2</v>
      </c>
    </row>
    <row r="75" spans="1:6" x14ac:dyDescent="0.2">
      <c r="A75" s="115">
        <v>6</v>
      </c>
      <c r="B75" s="116" t="s">
        <v>118</v>
      </c>
      <c r="C75" s="113">
        <v>26902738</v>
      </c>
      <c r="D75" s="113">
        <v>20903085</v>
      </c>
      <c r="E75" s="113">
        <f t="shared" si="9"/>
        <v>-5999653</v>
      </c>
      <c r="F75" s="114">
        <f t="shared" si="10"/>
        <v>-0.22301272829553631</v>
      </c>
    </row>
    <row r="76" spans="1:6" x14ac:dyDescent="0.2">
      <c r="A76" s="115">
        <v>7</v>
      </c>
      <c r="B76" s="116" t="s">
        <v>119</v>
      </c>
      <c r="C76" s="113">
        <v>59072491</v>
      </c>
      <c r="D76" s="113">
        <v>51801160</v>
      </c>
      <c r="E76" s="113">
        <f t="shared" si="9"/>
        <v>-7271331</v>
      </c>
      <c r="F76" s="114">
        <f t="shared" si="10"/>
        <v>-0.12309166038046372</v>
      </c>
    </row>
    <row r="77" spans="1:6" x14ac:dyDescent="0.2">
      <c r="A77" s="115">
        <v>8</v>
      </c>
      <c r="B77" s="116" t="s">
        <v>120</v>
      </c>
      <c r="C77" s="113">
        <v>2612323</v>
      </c>
      <c r="D77" s="113">
        <v>3480815</v>
      </c>
      <c r="E77" s="113">
        <f t="shared" si="9"/>
        <v>868492</v>
      </c>
      <c r="F77" s="114">
        <f t="shared" si="10"/>
        <v>0.33245965372582181</v>
      </c>
    </row>
    <row r="78" spans="1:6" x14ac:dyDescent="0.2">
      <c r="A78" s="115">
        <v>9</v>
      </c>
      <c r="B78" s="116" t="s">
        <v>121</v>
      </c>
      <c r="C78" s="113">
        <v>2697891</v>
      </c>
      <c r="D78" s="113">
        <v>6483695</v>
      </c>
      <c r="E78" s="113">
        <f t="shared" si="9"/>
        <v>3785804</v>
      </c>
      <c r="F78" s="114">
        <f t="shared" si="10"/>
        <v>1.4032457204534949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60587</v>
      </c>
      <c r="D80" s="113">
        <v>124114</v>
      </c>
      <c r="E80" s="113">
        <f t="shared" si="9"/>
        <v>63527</v>
      </c>
      <c r="F80" s="114">
        <f t="shared" si="10"/>
        <v>1.0485252611946456</v>
      </c>
    </row>
    <row r="81" spans="1:6" ht="15.75" x14ac:dyDescent="0.25">
      <c r="A81" s="117"/>
      <c r="B81" s="118" t="s">
        <v>133</v>
      </c>
      <c r="C81" s="119">
        <f>SUM(C70:C80)</f>
        <v>151606519</v>
      </c>
      <c r="D81" s="119">
        <f>SUM(D70:D80)</f>
        <v>156784713</v>
      </c>
      <c r="E81" s="119">
        <f t="shared" si="9"/>
        <v>5178194</v>
      </c>
      <c r="F81" s="120">
        <f t="shared" si="10"/>
        <v>3.4155483775733943E-2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113975466</v>
      </c>
      <c r="D84" s="119">
        <f t="shared" si="11"/>
        <v>104150611</v>
      </c>
      <c r="E84" s="119">
        <f t="shared" ref="E84:E95" si="12">D84-C84</f>
        <v>-9824855</v>
      </c>
      <c r="F84" s="120">
        <f t="shared" ref="F84:F95" si="13">IF(C84=0,0,E84/C84)</f>
        <v>-8.6201490064537228E-2</v>
      </c>
    </row>
    <row r="85" spans="1:6" ht="15.75" x14ac:dyDescent="0.25">
      <c r="A85" s="130">
        <v>2</v>
      </c>
      <c r="B85" s="122" t="s">
        <v>114</v>
      </c>
      <c r="C85" s="119">
        <f t="shared" si="11"/>
        <v>42680308</v>
      </c>
      <c r="D85" s="119">
        <f t="shared" si="11"/>
        <v>42043123</v>
      </c>
      <c r="E85" s="119">
        <f t="shared" si="12"/>
        <v>-637185</v>
      </c>
      <c r="F85" s="120">
        <f t="shared" si="13"/>
        <v>-1.4929250276263236E-2</v>
      </c>
    </row>
    <row r="86" spans="1:6" ht="15.75" x14ac:dyDescent="0.25">
      <c r="A86" s="130">
        <v>3</v>
      </c>
      <c r="B86" s="122" t="s">
        <v>115</v>
      </c>
      <c r="C86" s="119">
        <f t="shared" si="11"/>
        <v>60356548</v>
      </c>
      <c r="D86" s="119">
        <f t="shared" si="11"/>
        <v>62792573</v>
      </c>
      <c r="E86" s="119">
        <f t="shared" si="12"/>
        <v>2436025</v>
      </c>
      <c r="F86" s="120">
        <f t="shared" si="13"/>
        <v>4.0360575293338509E-2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247503</v>
      </c>
      <c r="D88" s="119">
        <f t="shared" si="11"/>
        <v>265372</v>
      </c>
      <c r="E88" s="119">
        <f t="shared" si="12"/>
        <v>17869</v>
      </c>
      <c r="F88" s="120">
        <f t="shared" si="13"/>
        <v>7.2197104681559418E-2</v>
      </c>
    </row>
    <row r="89" spans="1:6" ht="15.75" x14ac:dyDescent="0.25">
      <c r="A89" s="130">
        <v>6</v>
      </c>
      <c r="B89" s="122" t="s">
        <v>118</v>
      </c>
      <c r="C89" s="119">
        <f t="shared" si="11"/>
        <v>45562273</v>
      </c>
      <c r="D89" s="119">
        <f t="shared" si="11"/>
        <v>43186797</v>
      </c>
      <c r="E89" s="119">
        <f t="shared" si="12"/>
        <v>-2375476</v>
      </c>
      <c r="F89" s="120">
        <f t="shared" si="13"/>
        <v>-5.2136907217074091E-2</v>
      </c>
    </row>
    <row r="90" spans="1:6" ht="15.75" x14ac:dyDescent="0.25">
      <c r="A90" s="130">
        <v>7</v>
      </c>
      <c r="B90" s="122" t="s">
        <v>119</v>
      </c>
      <c r="C90" s="119">
        <f t="shared" si="11"/>
        <v>129317898</v>
      </c>
      <c r="D90" s="119">
        <f t="shared" si="11"/>
        <v>121906395</v>
      </c>
      <c r="E90" s="119">
        <f t="shared" si="12"/>
        <v>-7411503</v>
      </c>
      <c r="F90" s="120">
        <f t="shared" si="13"/>
        <v>-5.7312275521212076E-2</v>
      </c>
    </row>
    <row r="91" spans="1:6" ht="15.75" x14ac:dyDescent="0.25">
      <c r="A91" s="130">
        <v>8</v>
      </c>
      <c r="B91" s="122" t="s">
        <v>120</v>
      </c>
      <c r="C91" s="119">
        <f t="shared" si="11"/>
        <v>6648299</v>
      </c>
      <c r="D91" s="119">
        <f t="shared" si="11"/>
        <v>8882800</v>
      </c>
      <c r="E91" s="119">
        <f t="shared" si="12"/>
        <v>2234501</v>
      </c>
      <c r="F91" s="120">
        <f t="shared" si="13"/>
        <v>0.33610115910851784</v>
      </c>
    </row>
    <row r="92" spans="1:6" ht="15.75" x14ac:dyDescent="0.25">
      <c r="A92" s="130">
        <v>9</v>
      </c>
      <c r="B92" s="122" t="s">
        <v>121</v>
      </c>
      <c r="C92" s="119">
        <f t="shared" si="11"/>
        <v>4045716</v>
      </c>
      <c r="D92" s="119">
        <f t="shared" si="11"/>
        <v>9195412</v>
      </c>
      <c r="E92" s="119">
        <f t="shared" si="12"/>
        <v>5149696</v>
      </c>
      <c r="F92" s="120">
        <f t="shared" si="13"/>
        <v>1.272876296803829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167757</v>
      </c>
      <c r="D94" s="119">
        <f t="shared" si="11"/>
        <v>252802</v>
      </c>
      <c r="E94" s="119">
        <f t="shared" si="12"/>
        <v>85045</v>
      </c>
      <c r="F94" s="120">
        <f t="shared" si="13"/>
        <v>0.50695351013668577</v>
      </c>
    </row>
    <row r="95" spans="1:6" ht="18.75" customHeight="1" thickBot="1" x14ac:dyDescent="0.3">
      <c r="A95" s="131"/>
      <c r="B95" s="132" t="s">
        <v>134</v>
      </c>
      <c r="C95" s="128">
        <f>SUM(C84:C94)</f>
        <v>403001768</v>
      </c>
      <c r="D95" s="128">
        <f>SUM(D84:D94)</f>
        <v>392675885</v>
      </c>
      <c r="E95" s="128">
        <f t="shared" si="12"/>
        <v>-10325883</v>
      </c>
      <c r="F95" s="129">
        <f t="shared" si="13"/>
        <v>-2.5622426053475776E-2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6020</v>
      </c>
      <c r="D100" s="133">
        <v>5831</v>
      </c>
      <c r="E100" s="133">
        <f t="shared" ref="E100:E111" si="14">D100-C100</f>
        <v>-189</v>
      </c>
      <c r="F100" s="114">
        <f t="shared" ref="F100:F111" si="15">IF(C100=0,0,E100/C100)</f>
        <v>-3.1395348837209305E-2</v>
      </c>
    </row>
    <row r="101" spans="1:6" x14ac:dyDescent="0.2">
      <c r="A101" s="115">
        <v>2</v>
      </c>
      <c r="B101" s="116" t="s">
        <v>114</v>
      </c>
      <c r="C101" s="133">
        <v>2654</v>
      </c>
      <c r="D101" s="133">
        <v>2431</v>
      </c>
      <c r="E101" s="133">
        <f t="shared" si="14"/>
        <v>-223</v>
      </c>
      <c r="F101" s="114">
        <f t="shared" si="15"/>
        <v>-8.40241145440844E-2</v>
      </c>
    </row>
    <row r="102" spans="1:6" x14ac:dyDescent="0.2">
      <c r="A102" s="115">
        <v>3</v>
      </c>
      <c r="B102" s="116" t="s">
        <v>115</v>
      </c>
      <c r="C102" s="133">
        <v>4548</v>
      </c>
      <c r="D102" s="133">
        <v>4699</v>
      </c>
      <c r="E102" s="133">
        <f t="shared" si="14"/>
        <v>151</v>
      </c>
      <c r="F102" s="114">
        <f t="shared" si="15"/>
        <v>3.3201407211961305E-2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28</v>
      </c>
      <c r="D104" s="133">
        <v>19</v>
      </c>
      <c r="E104" s="133">
        <f t="shared" si="14"/>
        <v>-9</v>
      </c>
      <c r="F104" s="114">
        <f t="shared" si="15"/>
        <v>-0.32142857142857145</v>
      </c>
    </row>
    <row r="105" spans="1:6" x14ac:dyDescent="0.2">
      <c r="A105" s="115">
        <v>6</v>
      </c>
      <c r="B105" s="116" t="s">
        <v>118</v>
      </c>
      <c r="C105" s="133">
        <v>1121</v>
      </c>
      <c r="D105" s="133">
        <v>2135</v>
      </c>
      <c r="E105" s="133">
        <f t="shared" si="14"/>
        <v>1014</v>
      </c>
      <c r="F105" s="114">
        <f t="shared" si="15"/>
        <v>0.90454950936663692</v>
      </c>
    </row>
    <row r="106" spans="1:6" x14ac:dyDescent="0.2">
      <c r="A106" s="115">
        <v>7</v>
      </c>
      <c r="B106" s="116" t="s">
        <v>119</v>
      </c>
      <c r="C106" s="133">
        <v>3625</v>
      </c>
      <c r="D106" s="133">
        <v>2522</v>
      </c>
      <c r="E106" s="133">
        <f t="shared" si="14"/>
        <v>-1103</v>
      </c>
      <c r="F106" s="114">
        <f t="shared" si="15"/>
        <v>-0.30427586206896551</v>
      </c>
    </row>
    <row r="107" spans="1:6" x14ac:dyDescent="0.2">
      <c r="A107" s="115">
        <v>8</v>
      </c>
      <c r="B107" s="116" t="s">
        <v>120</v>
      </c>
      <c r="C107" s="133">
        <v>90</v>
      </c>
      <c r="D107" s="133">
        <v>100</v>
      </c>
      <c r="E107" s="133">
        <f t="shared" si="14"/>
        <v>10</v>
      </c>
      <c r="F107" s="114">
        <f t="shared" si="15"/>
        <v>0.1111111111111111</v>
      </c>
    </row>
    <row r="108" spans="1:6" x14ac:dyDescent="0.2">
      <c r="A108" s="115">
        <v>9</v>
      </c>
      <c r="B108" s="116" t="s">
        <v>121</v>
      </c>
      <c r="C108" s="133">
        <v>584</v>
      </c>
      <c r="D108" s="133">
        <v>521</v>
      </c>
      <c r="E108" s="133">
        <f t="shared" si="14"/>
        <v>-63</v>
      </c>
      <c r="F108" s="114">
        <f t="shared" si="15"/>
        <v>-0.10787671232876712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41</v>
      </c>
      <c r="D110" s="133">
        <v>50</v>
      </c>
      <c r="E110" s="133">
        <f t="shared" si="14"/>
        <v>9</v>
      </c>
      <c r="F110" s="114">
        <f t="shared" si="15"/>
        <v>0.21951219512195122</v>
      </c>
    </row>
    <row r="111" spans="1:6" ht="15.75" x14ac:dyDescent="0.25">
      <c r="A111" s="117"/>
      <c r="B111" s="118" t="s">
        <v>138</v>
      </c>
      <c r="C111" s="134">
        <f>SUM(C100:C110)</f>
        <v>18711</v>
      </c>
      <c r="D111" s="134">
        <f>SUM(D100:D110)</f>
        <v>18308</v>
      </c>
      <c r="E111" s="134">
        <f t="shared" si="14"/>
        <v>-403</v>
      </c>
      <c r="F111" s="120">
        <f t="shared" si="15"/>
        <v>-2.1538132649243761E-2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40422</v>
      </c>
      <c r="D113" s="133">
        <v>39153</v>
      </c>
      <c r="E113" s="133">
        <f t="shared" ref="E113:E124" si="16">D113-C113</f>
        <v>-1269</v>
      </c>
      <c r="F113" s="114">
        <f t="shared" ref="F113:F124" si="17">IF(C113=0,0,E113/C113)</f>
        <v>-3.1393795457918955E-2</v>
      </c>
    </row>
    <row r="114" spans="1:6" x14ac:dyDescent="0.2">
      <c r="A114" s="115">
        <v>2</v>
      </c>
      <c r="B114" s="116" t="s">
        <v>114</v>
      </c>
      <c r="C114" s="133">
        <v>16724</v>
      </c>
      <c r="D114" s="133">
        <v>15967</v>
      </c>
      <c r="E114" s="133">
        <f t="shared" si="16"/>
        <v>-757</v>
      </c>
      <c r="F114" s="114">
        <f t="shared" si="17"/>
        <v>-4.5264290839512077E-2</v>
      </c>
    </row>
    <row r="115" spans="1:6" x14ac:dyDescent="0.2">
      <c r="A115" s="115">
        <v>3</v>
      </c>
      <c r="B115" s="116" t="s">
        <v>115</v>
      </c>
      <c r="C115" s="133">
        <v>28260</v>
      </c>
      <c r="D115" s="133">
        <v>30133</v>
      </c>
      <c r="E115" s="133">
        <f t="shared" si="16"/>
        <v>1873</v>
      </c>
      <c r="F115" s="114">
        <f t="shared" si="17"/>
        <v>6.6277423920736017E-2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117</v>
      </c>
      <c r="D117" s="133">
        <v>58</v>
      </c>
      <c r="E117" s="133">
        <f t="shared" si="16"/>
        <v>-59</v>
      </c>
      <c r="F117" s="114">
        <f t="shared" si="17"/>
        <v>-0.50427350427350426</v>
      </c>
    </row>
    <row r="118" spans="1:6" x14ac:dyDescent="0.2">
      <c r="A118" s="115">
        <v>6</v>
      </c>
      <c r="B118" s="116" t="s">
        <v>118</v>
      </c>
      <c r="C118" s="133">
        <v>5120</v>
      </c>
      <c r="D118" s="133">
        <v>10363</v>
      </c>
      <c r="E118" s="133">
        <f t="shared" si="16"/>
        <v>5243</v>
      </c>
      <c r="F118" s="114">
        <f t="shared" si="17"/>
        <v>1.0240234374999999</v>
      </c>
    </row>
    <row r="119" spans="1:6" x14ac:dyDescent="0.2">
      <c r="A119" s="115">
        <v>7</v>
      </c>
      <c r="B119" s="116" t="s">
        <v>119</v>
      </c>
      <c r="C119" s="133">
        <v>16169</v>
      </c>
      <c r="D119" s="133">
        <v>12313</v>
      </c>
      <c r="E119" s="133">
        <f t="shared" si="16"/>
        <v>-3856</v>
      </c>
      <c r="F119" s="114">
        <f t="shared" si="17"/>
        <v>-0.23848104397303482</v>
      </c>
    </row>
    <row r="120" spans="1:6" x14ac:dyDescent="0.2">
      <c r="A120" s="115">
        <v>8</v>
      </c>
      <c r="B120" s="116" t="s">
        <v>120</v>
      </c>
      <c r="C120" s="133">
        <v>377</v>
      </c>
      <c r="D120" s="133">
        <v>507</v>
      </c>
      <c r="E120" s="133">
        <f t="shared" si="16"/>
        <v>130</v>
      </c>
      <c r="F120" s="114">
        <f t="shared" si="17"/>
        <v>0.34482758620689657</v>
      </c>
    </row>
    <row r="121" spans="1:6" x14ac:dyDescent="0.2">
      <c r="A121" s="115">
        <v>9</v>
      </c>
      <c r="B121" s="116" t="s">
        <v>121</v>
      </c>
      <c r="C121" s="133">
        <v>3329</v>
      </c>
      <c r="D121" s="133">
        <v>2357</v>
      </c>
      <c r="E121" s="133">
        <f t="shared" si="16"/>
        <v>-972</v>
      </c>
      <c r="F121" s="114">
        <f t="shared" si="17"/>
        <v>-0.29197957344547915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238</v>
      </c>
      <c r="D123" s="133">
        <v>294</v>
      </c>
      <c r="E123" s="133">
        <f t="shared" si="16"/>
        <v>56</v>
      </c>
      <c r="F123" s="114">
        <f t="shared" si="17"/>
        <v>0.23529411764705882</v>
      </c>
    </row>
    <row r="124" spans="1:6" ht="15.75" x14ac:dyDescent="0.25">
      <c r="A124" s="117"/>
      <c r="B124" s="118" t="s">
        <v>140</v>
      </c>
      <c r="C124" s="134">
        <f>SUM(C113:C123)</f>
        <v>110756</v>
      </c>
      <c r="D124" s="134">
        <f>SUM(D113:D123)</f>
        <v>111145</v>
      </c>
      <c r="E124" s="134">
        <f t="shared" si="16"/>
        <v>389</v>
      </c>
      <c r="F124" s="120">
        <f t="shared" si="17"/>
        <v>3.5122250713279643E-3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47692</v>
      </c>
      <c r="D126" s="133">
        <v>27936</v>
      </c>
      <c r="E126" s="133">
        <f t="shared" ref="E126:E137" si="18">D126-C126</f>
        <v>-19756</v>
      </c>
      <c r="F126" s="114">
        <f t="shared" ref="F126:F137" si="19">IF(C126=0,0,E126/C126)</f>
        <v>-0.41424138220246581</v>
      </c>
    </row>
    <row r="127" spans="1:6" x14ac:dyDescent="0.2">
      <c r="A127" s="115">
        <v>2</v>
      </c>
      <c r="B127" s="116" t="s">
        <v>114</v>
      </c>
      <c r="C127" s="133">
        <v>19344</v>
      </c>
      <c r="D127" s="133">
        <v>11143</v>
      </c>
      <c r="E127" s="133">
        <f t="shared" si="18"/>
        <v>-8201</v>
      </c>
      <c r="F127" s="114">
        <f t="shared" si="19"/>
        <v>-0.42395574855252277</v>
      </c>
    </row>
    <row r="128" spans="1:6" x14ac:dyDescent="0.2">
      <c r="A128" s="115">
        <v>3</v>
      </c>
      <c r="B128" s="116" t="s">
        <v>115</v>
      </c>
      <c r="C128" s="133">
        <v>80598</v>
      </c>
      <c r="D128" s="133">
        <v>56782</v>
      </c>
      <c r="E128" s="133">
        <f t="shared" si="18"/>
        <v>-23816</v>
      </c>
      <c r="F128" s="114">
        <f t="shared" si="19"/>
        <v>-0.29549120325566391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351</v>
      </c>
      <c r="D130" s="133">
        <v>202</v>
      </c>
      <c r="E130" s="133">
        <f t="shared" si="18"/>
        <v>-149</v>
      </c>
      <c r="F130" s="114">
        <f t="shared" si="19"/>
        <v>-0.42450142450142453</v>
      </c>
    </row>
    <row r="131" spans="1:6" x14ac:dyDescent="0.2">
      <c r="A131" s="115">
        <v>6</v>
      </c>
      <c r="B131" s="116" t="s">
        <v>118</v>
      </c>
      <c r="C131" s="133">
        <v>20864</v>
      </c>
      <c r="D131" s="133">
        <v>33198</v>
      </c>
      <c r="E131" s="133">
        <f t="shared" si="18"/>
        <v>12334</v>
      </c>
      <c r="F131" s="114">
        <f t="shared" si="19"/>
        <v>0.5911618098159509</v>
      </c>
    </row>
    <row r="132" spans="1:6" x14ac:dyDescent="0.2">
      <c r="A132" s="115">
        <v>7</v>
      </c>
      <c r="B132" s="116" t="s">
        <v>119</v>
      </c>
      <c r="C132" s="133">
        <v>64484</v>
      </c>
      <c r="D132" s="133">
        <v>26347</v>
      </c>
      <c r="E132" s="133">
        <f t="shared" si="18"/>
        <v>-38137</v>
      </c>
      <c r="F132" s="114">
        <f t="shared" si="19"/>
        <v>-0.5914180261770362</v>
      </c>
    </row>
    <row r="133" spans="1:6" x14ac:dyDescent="0.2">
      <c r="A133" s="115">
        <v>8</v>
      </c>
      <c r="B133" s="116" t="s">
        <v>120</v>
      </c>
      <c r="C133" s="133">
        <v>6695</v>
      </c>
      <c r="D133" s="133">
        <v>2573</v>
      </c>
      <c r="E133" s="133">
        <f t="shared" si="18"/>
        <v>-4122</v>
      </c>
      <c r="F133" s="114">
        <f t="shared" si="19"/>
        <v>-0.61568334578043316</v>
      </c>
    </row>
    <row r="134" spans="1:6" x14ac:dyDescent="0.2">
      <c r="A134" s="115">
        <v>9</v>
      </c>
      <c r="B134" s="116" t="s">
        <v>121</v>
      </c>
      <c r="C134" s="133">
        <v>32910</v>
      </c>
      <c r="D134" s="133">
        <v>17650</v>
      </c>
      <c r="E134" s="133">
        <f t="shared" si="18"/>
        <v>-15260</v>
      </c>
      <c r="F134" s="114">
        <f t="shared" si="19"/>
        <v>-0.46368884837435431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491</v>
      </c>
      <c r="E136" s="133">
        <f t="shared" si="18"/>
        <v>491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272938</v>
      </c>
      <c r="D137" s="134">
        <f>SUM(D126:D136)</f>
        <v>176322</v>
      </c>
      <c r="E137" s="134">
        <f t="shared" si="18"/>
        <v>-96616</v>
      </c>
      <c r="F137" s="120">
        <f t="shared" si="19"/>
        <v>-0.3539851541375697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18098019</v>
      </c>
      <c r="D142" s="113">
        <v>19172119</v>
      </c>
      <c r="E142" s="113">
        <f t="shared" ref="E142:E153" si="20">D142-C142</f>
        <v>1074100</v>
      </c>
      <c r="F142" s="114">
        <f t="shared" ref="F142:F153" si="21">IF(C142=0,0,E142/C142)</f>
        <v>5.9349037041015372E-2</v>
      </c>
    </row>
    <row r="143" spans="1:6" x14ac:dyDescent="0.2">
      <c r="A143" s="115">
        <v>2</v>
      </c>
      <c r="B143" s="116" t="s">
        <v>114</v>
      </c>
      <c r="C143" s="113">
        <v>8178094</v>
      </c>
      <c r="D143" s="113">
        <v>8837935</v>
      </c>
      <c r="E143" s="113">
        <f t="shared" si="20"/>
        <v>659841</v>
      </c>
      <c r="F143" s="114">
        <f t="shared" si="21"/>
        <v>8.0683958878437934E-2</v>
      </c>
    </row>
    <row r="144" spans="1:6" x14ac:dyDescent="0.2">
      <c r="A144" s="115">
        <v>3</v>
      </c>
      <c r="B144" s="116" t="s">
        <v>115</v>
      </c>
      <c r="C144" s="113">
        <v>44886437</v>
      </c>
      <c r="D144" s="113">
        <v>54885348</v>
      </c>
      <c r="E144" s="113">
        <f t="shared" si="20"/>
        <v>9998911</v>
      </c>
      <c r="F144" s="114">
        <f t="shared" si="21"/>
        <v>0.2227601847747461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308238</v>
      </c>
      <c r="D146" s="113">
        <v>240443</v>
      </c>
      <c r="E146" s="113">
        <f t="shared" si="20"/>
        <v>-67795</v>
      </c>
      <c r="F146" s="114">
        <f t="shared" si="21"/>
        <v>-0.21994367988372621</v>
      </c>
    </row>
    <row r="147" spans="1:6" x14ac:dyDescent="0.2">
      <c r="A147" s="115">
        <v>6</v>
      </c>
      <c r="B147" s="116" t="s">
        <v>118</v>
      </c>
      <c r="C147" s="113">
        <v>10707885</v>
      </c>
      <c r="D147" s="113">
        <v>7910054</v>
      </c>
      <c r="E147" s="113">
        <f t="shared" si="20"/>
        <v>-2797831</v>
      </c>
      <c r="F147" s="114">
        <f t="shared" si="21"/>
        <v>-0.26128698617887658</v>
      </c>
    </row>
    <row r="148" spans="1:6" x14ac:dyDescent="0.2">
      <c r="A148" s="115">
        <v>7</v>
      </c>
      <c r="B148" s="116" t="s">
        <v>119</v>
      </c>
      <c r="C148" s="113">
        <v>24601768</v>
      </c>
      <c r="D148" s="113">
        <v>29757923</v>
      </c>
      <c r="E148" s="113">
        <f t="shared" si="20"/>
        <v>5156155</v>
      </c>
      <c r="F148" s="114">
        <f t="shared" si="21"/>
        <v>0.20958473391018076</v>
      </c>
    </row>
    <row r="149" spans="1:6" x14ac:dyDescent="0.2">
      <c r="A149" s="115">
        <v>8</v>
      </c>
      <c r="B149" s="116" t="s">
        <v>120</v>
      </c>
      <c r="C149" s="113">
        <v>1724860</v>
      </c>
      <c r="D149" s="113">
        <v>2109384</v>
      </c>
      <c r="E149" s="113">
        <f t="shared" si="20"/>
        <v>384524</v>
      </c>
      <c r="F149" s="114">
        <f t="shared" si="21"/>
        <v>0.22293055668286121</v>
      </c>
    </row>
    <row r="150" spans="1:6" x14ac:dyDescent="0.2">
      <c r="A150" s="115">
        <v>9</v>
      </c>
      <c r="B150" s="116" t="s">
        <v>121</v>
      </c>
      <c r="C150" s="113">
        <v>14444268</v>
      </c>
      <c r="D150" s="113">
        <v>14385861</v>
      </c>
      <c r="E150" s="113">
        <f t="shared" si="20"/>
        <v>-58407</v>
      </c>
      <c r="F150" s="114">
        <f t="shared" si="21"/>
        <v>-4.0436109327243166E-3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566422</v>
      </c>
      <c r="D152" s="113">
        <v>959607</v>
      </c>
      <c r="E152" s="113">
        <f t="shared" si="20"/>
        <v>393185</v>
      </c>
      <c r="F152" s="114">
        <f t="shared" si="21"/>
        <v>0.69415559423892437</v>
      </c>
    </row>
    <row r="153" spans="1:6" ht="33.75" customHeight="1" x14ac:dyDescent="0.25">
      <c r="A153" s="117"/>
      <c r="B153" s="118" t="s">
        <v>146</v>
      </c>
      <c r="C153" s="119">
        <f>SUM(C142:C152)</f>
        <v>123515991</v>
      </c>
      <c r="D153" s="119">
        <f>SUM(D142:D152)</f>
        <v>138258674</v>
      </c>
      <c r="E153" s="119">
        <f t="shared" si="20"/>
        <v>14742683</v>
      </c>
      <c r="F153" s="120">
        <f t="shared" si="21"/>
        <v>0.11935849666623329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6366628</v>
      </c>
      <c r="D155" s="113">
        <v>6777269</v>
      </c>
      <c r="E155" s="113">
        <f t="shared" ref="E155:E166" si="22">D155-C155</f>
        <v>410641</v>
      </c>
      <c r="F155" s="114">
        <f t="shared" ref="F155:F166" si="23">IF(C155=0,0,E155/C155)</f>
        <v>6.4498978108976993E-2</v>
      </c>
    </row>
    <row r="156" spans="1:6" x14ac:dyDescent="0.2">
      <c r="A156" s="115">
        <v>2</v>
      </c>
      <c r="B156" s="116" t="s">
        <v>114</v>
      </c>
      <c r="C156" s="113">
        <v>3024555</v>
      </c>
      <c r="D156" s="113">
        <v>2470720</v>
      </c>
      <c r="E156" s="113">
        <f t="shared" si="22"/>
        <v>-553835</v>
      </c>
      <c r="F156" s="114">
        <f t="shared" si="23"/>
        <v>-0.1831128876809977</v>
      </c>
    </row>
    <row r="157" spans="1:6" x14ac:dyDescent="0.2">
      <c r="A157" s="115">
        <v>3</v>
      </c>
      <c r="B157" s="116" t="s">
        <v>115</v>
      </c>
      <c r="C157" s="113">
        <v>6643928</v>
      </c>
      <c r="D157" s="113">
        <v>10523621</v>
      </c>
      <c r="E157" s="113">
        <f t="shared" si="22"/>
        <v>3879693</v>
      </c>
      <c r="F157" s="114">
        <f t="shared" si="23"/>
        <v>0.58394567189770874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54571</v>
      </c>
      <c r="D159" s="113">
        <v>44309</v>
      </c>
      <c r="E159" s="113">
        <f t="shared" si="22"/>
        <v>-10262</v>
      </c>
      <c r="F159" s="114">
        <f t="shared" si="23"/>
        <v>-0.18804859724029246</v>
      </c>
    </row>
    <row r="160" spans="1:6" x14ac:dyDescent="0.2">
      <c r="A160" s="115">
        <v>6</v>
      </c>
      <c r="B160" s="116" t="s">
        <v>118</v>
      </c>
      <c r="C160" s="113">
        <v>6287933</v>
      </c>
      <c r="D160" s="113">
        <v>13014238</v>
      </c>
      <c r="E160" s="113">
        <f t="shared" si="22"/>
        <v>6726305</v>
      </c>
      <c r="F160" s="114">
        <f t="shared" si="23"/>
        <v>1.069716391698194</v>
      </c>
    </row>
    <row r="161" spans="1:6" x14ac:dyDescent="0.2">
      <c r="A161" s="115">
        <v>7</v>
      </c>
      <c r="B161" s="116" t="s">
        <v>119</v>
      </c>
      <c r="C161" s="113">
        <v>14710247</v>
      </c>
      <c r="D161" s="113">
        <v>12088367</v>
      </c>
      <c r="E161" s="113">
        <f t="shared" si="22"/>
        <v>-2621880</v>
      </c>
      <c r="F161" s="114">
        <f t="shared" si="23"/>
        <v>-0.17823494058257486</v>
      </c>
    </row>
    <row r="162" spans="1:6" x14ac:dyDescent="0.2">
      <c r="A162" s="115">
        <v>8</v>
      </c>
      <c r="B162" s="116" t="s">
        <v>120</v>
      </c>
      <c r="C162" s="113">
        <v>1406384</v>
      </c>
      <c r="D162" s="113">
        <v>1588252</v>
      </c>
      <c r="E162" s="113">
        <f t="shared" si="22"/>
        <v>181868</v>
      </c>
      <c r="F162" s="114">
        <f t="shared" si="23"/>
        <v>0.12931603317443885</v>
      </c>
    </row>
    <row r="163" spans="1:6" x14ac:dyDescent="0.2">
      <c r="A163" s="115">
        <v>9</v>
      </c>
      <c r="B163" s="116" t="s">
        <v>121</v>
      </c>
      <c r="C163" s="113">
        <v>1067544</v>
      </c>
      <c r="D163" s="113">
        <v>284672</v>
      </c>
      <c r="E163" s="113">
        <f t="shared" si="22"/>
        <v>-782872</v>
      </c>
      <c r="F163" s="114">
        <f t="shared" si="23"/>
        <v>-0.73333932840238902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146070</v>
      </c>
      <c r="D165" s="113">
        <v>217214</v>
      </c>
      <c r="E165" s="113">
        <f t="shared" si="22"/>
        <v>71144</v>
      </c>
      <c r="F165" s="114">
        <f t="shared" si="23"/>
        <v>0.48705415211884712</v>
      </c>
    </row>
    <row r="166" spans="1:6" ht="33.75" customHeight="1" x14ac:dyDescent="0.25">
      <c r="A166" s="117"/>
      <c r="B166" s="118" t="s">
        <v>148</v>
      </c>
      <c r="C166" s="119">
        <f>SUM(C155:C165)</f>
        <v>39707860</v>
      </c>
      <c r="D166" s="119">
        <f>SUM(D155:D165)</f>
        <v>47008662</v>
      </c>
      <c r="E166" s="119">
        <f t="shared" si="22"/>
        <v>7300802</v>
      </c>
      <c r="F166" s="120">
        <f t="shared" si="23"/>
        <v>0.18386289263636973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7547</v>
      </c>
      <c r="D168" s="133">
        <v>6802</v>
      </c>
      <c r="E168" s="133">
        <f t="shared" ref="E168:E179" si="24">D168-C168</f>
        <v>-745</v>
      </c>
      <c r="F168" s="114">
        <f t="shared" ref="F168:F179" si="25">IF(C168=0,0,E168/C168)</f>
        <v>-9.8714721081224324E-2</v>
      </c>
    </row>
    <row r="169" spans="1:6" x14ac:dyDescent="0.2">
      <c r="A169" s="115">
        <v>2</v>
      </c>
      <c r="B169" s="116" t="s">
        <v>114</v>
      </c>
      <c r="C169" s="133">
        <v>3447</v>
      </c>
      <c r="D169" s="133">
        <v>3102</v>
      </c>
      <c r="E169" s="133">
        <f t="shared" si="24"/>
        <v>-345</v>
      </c>
      <c r="F169" s="114">
        <f t="shared" si="25"/>
        <v>-0.10008703220191471</v>
      </c>
    </row>
    <row r="170" spans="1:6" x14ac:dyDescent="0.2">
      <c r="A170" s="115">
        <v>3</v>
      </c>
      <c r="B170" s="116" t="s">
        <v>115</v>
      </c>
      <c r="C170" s="133">
        <v>23719</v>
      </c>
      <c r="D170" s="133">
        <v>24144</v>
      </c>
      <c r="E170" s="133">
        <f t="shared" si="24"/>
        <v>425</v>
      </c>
      <c r="F170" s="114">
        <f t="shared" si="25"/>
        <v>1.7918124710147983E-2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129</v>
      </c>
      <c r="D172" s="133">
        <v>94</v>
      </c>
      <c r="E172" s="133">
        <f t="shared" si="24"/>
        <v>-35</v>
      </c>
      <c r="F172" s="114">
        <f t="shared" si="25"/>
        <v>-0.27131782945736432</v>
      </c>
    </row>
    <row r="173" spans="1:6" x14ac:dyDescent="0.2">
      <c r="A173" s="115">
        <v>6</v>
      </c>
      <c r="B173" s="116" t="s">
        <v>118</v>
      </c>
      <c r="C173" s="133">
        <v>3823</v>
      </c>
      <c r="D173" s="133">
        <v>6351</v>
      </c>
      <c r="E173" s="133">
        <f t="shared" si="24"/>
        <v>2528</v>
      </c>
      <c r="F173" s="114">
        <f t="shared" si="25"/>
        <v>0.66126078995553228</v>
      </c>
    </row>
    <row r="174" spans="1:6" x14ac:dyDescent="0.2">
      <c r="A174" s="115">
        <v>7</v>
      </c>
      <c r="B174" s="116" t="s">
        <v>119</v>
      </c>
      <c r="C174" s="133">
        <v>10959</v>
      </c>
      <c r="D174" s="133">
        <v>6586</v>
      </c>
      <c r="E174" s="133">
        <f t="shared" si="24"/>
        <v>-4373</v>
      </c>
      <c r="F174" s="114">
        <f t="shared" si="25"/>
        <v>-0.39903275846336345</v>
      </c>
    </row>
    <row r="175" spans="1:6" x14ac:dyDescent="0.2">
      <c r="A175" s="115">
        <v>8</v>
      </c>
      <c r="B175" s="116" t="s">
        <v>120</v>
      </c>
      <c r="C175" s="133">
        <v>914</v>
      </c>
      <c r="D175" s="133">
        <v>821</v>
      </c>
      <c r="E175" s="133">
        <f t="shared" si="24"/>
        <v>-93</v>
      </c>
      <c r="F175" s="114">
        <f t="shared" si="25"/>
        <v>-0.10175054704595186</v>
      </c>
    </row>
    <row r="176" spans="1:6" x14ac:dyDescent="0.2">
      <c r="A176" s="115">
        <v>9</v>
      </c>
      <c r="B176" s="116" t="s">
        <v>121</v>
      </c>
      <c r="C176" s="133">
        <v>6784</v>
      </c>
      <c r="D176" s="133">
        <v>5981</v>
      </c>
      <c r="E176" s="133">
        <f t="shared" si="24"/>
        <v>-803</v>
      </c>
      <c r="F176" s="114">
        <f t="shared" si="25"/>
        <v>-0.11836674528301887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367</v>
      </c>
      <c r="D178" s="133">
        <v>425</v>
      </c>
      <c r="E178" s="133">
        <f t="shared" si="24"/>
        <v>58</v>
      </c>
      <c r="F178" s="114">
        <f t="shared" si="25"/>
        <v>0.15803814713896458</v>
      </c>
    </row>
    <row r="179" spans="1:6" ht="33.75" customHeight="1" x14ac:dyDescent="0.25">
      <c r="A179" s="117"/>
      <c r="B179" s="118" t="s">
        <v>150</v>
      </c>
      <c r="C179" s="134">
        <f>SUM(C168:C178)</f>
        <v>57689</v>
      </c>
      <c r="D179" s="134">
        <f>SUM(D168:D178)</f>
        <v>54306</v>
      </c>
      <c r="E179" s="134">
        <f t="shared" si="24"/>
        <v>-3383</v>
      </c>
      <c r="F179" s="120">
        <f t="shared" si="25"/>
        <v>-5.8642028809651754E-2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r:id="rId1"/>
  <headerFooter>
    <oddHeader>&amp;LOFFICE OF HEALTH CARE ACCESS&amp;CTWELVE MONTHS ACTUAL FILING&amp;RSAINT VINCENT`S MEDICAL CENTER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abSelected="1" topLeftCell="B1" zoomScale="75" workbookViewId="0">
      <selection activeCell="M14" sqref="M14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68135000</v>
      </c>
      <c r="D15" s="157">
        <v>69408000</v>
      </c>
      <c r="E15" s="157">
        <f>+D15-C15</f>
        <v>1273000</v>
      </c>
      <c r="F15" s="161">
        <f>IF(C15=0,0,E15/C15)</f>
        <v>1.8683496000587069E-2</v>
      </c>
    </row>
    <row r="16" spans="1:6" ht="15" customHeight="1" x14ac:dyDescent="0.2">
      <c r="A16" s="147">
        <v>2</v>
      </c>
      <c r="B16" s="160" t="s">
        <v>157</v>
      </c>
      <c r="C16" s="157">
        <v>5941000</v>
      </c>
      <c r="D16" s="157">
        <v>7397000</v>
      </c>
      <c r="E16" s="157">
        <f>+D16-C16</f>
        <v>1456000</v>
      </c>
      <c r="F16" s="161">
        <f>IF(C16=0,0,E16/C16)</f>
        <v>0.24507658643326038</v>
      </c>
    </row>
    <row r="17" spans="1:6" ht="15" customHeight="1" x14ac:dyDescent="0.2">
      <c r="A17" s="147">
        <v>3</v>
      </c>
      <c r="B17" s="160" t="s">
        <v>158</v>
      </c>
      <c r="C17" s="157">
        <v>77042000</v>
      </c>
      <c r="D17" s="157">
        <v>77274000</v>
      </c>
      <c r="E17" s="157">
        <f>+D17-C17</f>
        <v>232000</v>
      </c>
      <c r="F17" s="161">
        <f>IF(C17=0,0,E17/C17)</f>
        <v>3.0113444614625787E-3</v>
      </c>
    </row>
    <row r="18" spans="1:6" ht="15.75" customHeight="1" x14ac:dyDescent="0.25">
      <c r="A18" s="147"/>
      <c r="B18" s="162" t="s">
        <v>159</v>
      </c>
      <c r="C18" s="158">
        <f>SUM(C15:C17)</f>
        <v>151118000</v>
      </c>
      <c r="D18" s="158">
        <f>SUM(D15:D17)</f>
        <v>154079000</v>
      </c>
      <c r="E18" s="158">
        <f>+D18-C18</f>
        <v>2961000</v>
      </c>
      <c r="F18" s="159">
        <f>IF(C18=0,0,E18/C18)</f>
        <v>1.9593959687131911E-2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19216000</v>
      </c>
      <c r="D21" s="157">
        <v>17989000</v>
      </c>
      <c r="E21" s="157">
        <f>+D21-C21</f>
        <v>-1227000</v>
      </c>
      <c r="F21" s="161">
        <f>IF(C21=0,0,E21/C21)</f>
        <v>-6.3853039134054948E-2</v>
      </c>
    </row>
    <row r="22" spans="1:6" ht="15" customHeight="1" x14ac:dyDescent="0.2">
      <c r="A22" s="147">
        <v>2</v>
      </c>
      <c r="B22" s="160" t="s">
        <v>162</v>
      </c>
      <c r="C22" s="157">
        <v>1676000</v>
      </c>
      <c r="D22" s="157">
        <v>1917000</v>
      </c>
      <c r="E22" s="157">
        <f>+D22-C22</f>
        <v>241000</v>
      </c>
      <c r="F22" s="161">
        <f>IF(C22=0,0,E22/C22)</f>
        <v>0.14379474940334128</v>
      </c>
    </row>
    <row r="23" spans="1:6" ht="15" customHeight="1" x14ac:dyDescent="0.2">
      <c r="A23" s="147">
        <v>3</v>
      </c>
      <c r="B23" s="160" t="s">
        <v>163</v>
      </c>
      <c r="C23" s="157">
        <v>21727000</v>
      </c>
      <c r="D23" s="157">
        <v>20028000</v>
      </c>
      <c r="E23" s="157">
        <f>+D23-C23</f>
        <v>-1699000</v>
      </c>
      <c r="F23" s="161">
        <f>IF(C23=0,0,E23/C23)</f>
        <v>-7.8197634279928194E-2</v>
      </c>
    </row>
    <row r="24" spans="1:6" ht="15.75" customHeight="1" x14ac:dyDescent="0.25">
      <c r="A24" s="147"/>
      <c r="B24" s="162" t="s">
        <v>164</v>
      </c>
      <c r="C24" s="158">
        <f>SUM(C21:C23)</f>
        <v>42619000</v>
      </c>
      <c r="D24" s="158">
        <f>SUM(D21:D23)</f>
        <v>39934000</v>
      </c>
      <c r="E24" s="158">
        <f>+D24-C24</f>
        <v>-2685000</v>
      </c>
      <c r="F24" s="159">
        <f>IF(C24=0,0,E24/C24)</f>
        <v>-6.3000070391140098E-2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2213000</v>
      </c>
      <c r="D27" s="157">
        <v>1835000</v>
      </c>
      <c r="E27" s="157">
        <f>+D27-C27</f>
        <v>-378000</v>
      </c>
      <c r="F27" s="161">
        <f>IF(C27=0,0,E27/C27)</f>
        <v>-0.17080885675553548</v>
      </c>
    </row>
    <row r="28" spans="1:6" ht="15" customHeight="1" x14ac:dyDescent="0.2">
      <c r="A28" s="147">
        <v>2</v>
      </c>
      <c r="B28" s="160" t="s">
        <v>167</v>
      </c>
      <c r="C28" s="157">
        <v>32371000</v>
      </c>
      <c r="D28" s="157">
        <v>34044000</v>
      </c>
      <c r="E28" s="157">
        <f>+D28-C28</f>
        <v>1673000</v>
      </c>
      <c r="F28" s="161">
        <f>IF(C28=0,0,E28/C28)</f>
        <v>5.1682061104074632E-2</v>
      </c>
    </row>
    <row r="29" spans="1:6" ht="15" customHeight="1" x14ac:dyDescent="0.2">
      <c r="A29" s="147">
        <v>3</v>
      </c>
      <c r="B29" s="160" t="s">
        <v>168</v>
      </c>
      <c r="C29" s="157">
        <v>1302000</v>
      </c>
      <c r="D29" s="157">
        <v>1315000</v>
      </c>
      <c r="E29" s="157">
        <f>+D29-C29</f>
        <v>13000</v>
      </c>
      <c r="F29" s="161">
        <f>IF(C29=0,0,E29/C29)</f>
        <v>9.984639016897081E-3</v>
      </c>
    </row>
    <row r="30" spans="1:6" ht="15.75" customHeight="1" x14ac:dyDescent="0.25">
      <c r="A30" s="147"/>
      <c r="B30" s="162" t="s">
        <v>169</v>
      </c>
      <c r="C30" s="158">
        <f>SUM(C27:C29)</f>
        <v>35886000</v>
      </c>
      <c r="D30" s="158">
        <f>SUM(D27:D29)</f>
        <v>37194000</v>
      </c>
      <c r="E30" s="158">
        <f>+D30-C30</f>
        <v>1308000</v>
      </c>
      <c r="F30" s="159">
        <f>IF(C30=0,0,E30/C30)</f>
        <v>3.6448754388898177E-2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30990000</v>
      </c>
      <c r="D33" s="157">
        <v>31733000</v>
      </c>
      <c r="E33" s="157">
        <f>+D33-C33</f>
        <v>743000</v>
      </c>
      <c r="F33" s="161">
        <f>IF(C33=0,0,E33/C33)</f>
        <v>2.3975475959987093E-2</v>
      </c>
    </row>
    <row r="34" spans="1:6" ht="15" customHeight="1" x14ac:dyDescent="0.2">
      <c r="A34" s="147">
        <v>2</v>
      </c>
      <c r="B34" s="160" t="s">
        <v>173</v>
      </c>
      <c r="C34" s="157">
        <v>16967000</v>
      </c>
      <c r="D34" s="157">
        <v>18229000</v>
      </c>
      <c r="E34" s="157">
        <f>+D34-C34</f>
        <v>1262000</v>
      </c>
      <c r="F34" s="161">
        <f>IF(C34=0,0,E34/C34)</f>
        <v>7.4379678198856602E-2</v>
      </c>
    </row>
    <row r="35" spans="1:6" ht="15.75" customHeight="1" x14ac:dyDescent="0.25">
      <c r="A35" s="147"/>
      <c r="B35" s="162" t="s">
        <v>174</v>
      </c>
      <c r="C35" s="158">
        <f>SUM(C33:C34)</f>
        <v>47957000</v>
      </c>
      <c r="D35" s="158">
        <f>SUM(D33:D34)</f>
        <v>49962000</v>
      </c>
      <c r="E35" s="158">
        <f>+D35-C35</f>
        <v>2005000</v>
      </c>
      <c r="F35" s="159">
        <f>IF(C35=0,0,E35/C35)</f>
        <v>4.180828659007027E-2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12883000</v>
      </c>
      <c r="D38" s="157">
        <v>12581000</v>
      </c>
      <c r="E38" s="157">
        <f>+D38-C38</f>
        <v>-302000</v>
      </c>
      <c r="F38" s="161">
        <f>IF(C38=0,0,E38/C38)</f>
        <v>-2.3441744935185905E-2</v>
      </c>
    </row>
    <row r="39" spans="1:6" ht="15" customHeight="1" x14ac:dyDescent="0.2">
      <c r="A39" s="147">
        <v>2</v>
      </c>
      <c r="B39" s="160" t="s">
        <v>178</v>
      </c>
      <c r="C39" s="157">
        <v>8083000</v>
      </c>
      <c r="D39" s="157">
        <v>6493000</v>
      </c>
      <c r="E39" s="157">
        <f>+D39-C39</f>
        <v>-1590000</v>
      </c>
      <c r="F39" s="161">
        <f>IF(C39=0,0,E39/C39)</f>
        <v>-0.19670914264505754</v>
      </c>
    </row>
    <row r="40" spans="1:6" ht="15" customHeight="1" x14ac:dyDescent="0.2">
      <c r="A40" s="147">
        <v>3</v>
      </c>
      <c r="B40" s="160" t="s">
        <v>179</v>
      </c>
      <c r="C40" s="157">
        <v>5733000</v>
      </c>
      <c r="D40" s="157">
        <v>5593000</v>
      </c>
      <c r="E40" s="157">
        <f>+D40-C40</f>
        <v>-140000</v>
      </c>
      <c r="F40" s="161">
        <f>IF(C40=0,0,E40/C40)</f>
        <v>-2.442002442002442E-2</v>
      </c>
    </row>
    <row r="41" spans="1:6" ht="15.75" customHeight="1" x14ac:dyDescent="0.25">
      <c r="A41" s="147"/>
      <c r="B41" s="162" t="s">
        <v>180</v>
      </c>
      <c r="C41" s="158">
        <f>SUM(C38:C40)</f>
        <v>26699000</v>
      </c>
      <c r="D41" s="158">
        <f>SUM(D38:D40)</f>
        <v>24667000</v>
      </c>
      <c r="E41" s="158">
        <f>+D41-C41</f>
        <v>-2032000</v>
      </c>
      <c r="F41" s="159">
        <f>IF(C41=0,0,E41/C41)</f>
        <v>-7.6107719390239331E-2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1818000</v>
      </c>
      <c r="D47" s="157">
        <v>1791000</v>
      </c>
      <c r="E47" s="157">
        <f>+D47-C47</f>
        <v>-27000</v>
      </c>
      <c r="F47" s="161">
        <f>IF(C47=0,0,E47/C47)</f>
        <v>-1.4851485148514851E-2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4187000</v>
      </c>
      <c r="D50" s="157">
        <v>7350000</v>
      </c>
      <c r="E50" s="157">
        <f>+D50-C50</f>
        <v>3163000</v>
      </c>
      <c r="F50" s="161">
        <f>IF(C50=0,0,E50/C50)</f>
        <v>0.75543348459517556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568000</v>
      </c>
      <c r="D53" s="157">
        <v>586000</v>
      </c>
      <c r="E53" s="157">
        <f t="shared" ref="E53:E59" si="0">+D53-C53</f>
        <v>18000</v>
      </c>
      <c r="F53" s="161">
        <f t="shared" ref="F53:F59" si="1">IF(C53=0,0,E53/C53)</f>
        <v>3.1690140845070422E-2</v>
      </c>
    </row>
    <row r="54" spans="1:6" ht="15" customHeight="1" x14ac:dyDescent="0.2">
      <c r="A54" s="147">
        <v>2</v>
      </c>
      <c r="B54" s="160" t="s">
        <v>189</v>
      </c>
      <c r="C54" s="157">
        <v>1707000</v>
      </c>
      <c r="D54" s="157">
        <v>1658000</v>
      </c>
      <c r="E54" s="157">
        <f t="shared" si="0"/>
        <v>-49000</v>
      </c>
      <c r="F54" s="161">
        <f t="shared" si="1"/>
        <v>-2.8705330990041009E-2</v>
      </c>
    </row>
    <row r="55" spans="1:6" ht="15" customHeight="1" x14ac:dyDescent="0.2">
      <c r="A55" s="147">
        <v>3</v>
      </c>
      <c r="B55" s="160" t="s">
        <v>190</v>
      </c>
      <c r="C55" s="157">
        <v>14000</v>
      </c>
      <c r="D55" s="157">
        <v>22000</v>
      </c>
      <c r="E55" s="157">
        <f t="shared" si="0"/>
        <v>8000</v>
      </c>
      <c r="F55" s="161">
        <f t="shared" si="1"/>
        <v>0.5714285714285714</v>
      </c>
    </row>
    <row r="56" spans="1:6" ht="15" customHeight="1" x14ac:dyDescent="0.2">
      <c r="A56" s="147">
        <v>4</v>
      </c>
      <c r="B56" s="160" t="s">
        <v>191</v>
      </c>
      <c r="C56" s="157">
        <v>3503000</v>
      </c>
      <c r="D56" s="157">
        <v>3526000</v>
      </c>
      <c r="E56" s="157">
        <f t="shared" si="0"/>
        <v>23000</v>
      </c>
      <c r="F56" s="161">
        <f t="shared" si="1"/>
        <v>6.5658007422209532E-3</v>
      </c>
    </row>
    <row r="57" spans="1:6" ht="15" customHeight="1" x14ac:dyDescent="0.2">
      <c r="A57" s="147">
        <v>5</v>
      </c>
      <c r="B57" s="160" t="s">
        <v>192</v>
      </c>
      <c r="C57" s="157">
        <v>363000</v>
      </c>
      <c r="D57" s="157">
        <v>139000</v>
      </c>
      <c r="E57" s="157">
        <f t="shared" si="0"/>
        <v>-224000</v>
      </c>
      <c r="F57" s="161">
        <f t="shared" si="1"/>
        <v>-0.61707988980716255</v>
      </c>
    </row>
    <row r="58" spans="1:6" ht="15" customHeight="1" x14ac:dyDescent="0.2">
      <c r="A58" s="147">
        <v>6</v>
      </c>
      <c r="B58" s="160" t="s">
        <v>193</v>
      </c>
      <c r="C58" s="157">
        <v>44000</v>
      </c>
      <c r="D58" s="157">
        <v>194000</v>
      </c>
      <c r="E58" s="157">
        <f t="shared" si="0"/>
        <v>150000</v>
      </c>
      <c r="F58" s="161">
        <f t="shared" si="1"/>
        <v>3.4090909090909092</v>
      </c>
    </row>
    <row r="59" spans="1:6" ht="15.75" customHeight="1" x14ac:dyDescent="0.25">
      <c r="A59" s="147"/>
      <c r="B59" s="162" t="s">
        <v>194</v>
      </c>
      <c r="C59" s="158">
        <f>SUM(C53:C58)</f>
        <v>6199000</v>
      </c>
      <c r="D59" s="158">
        <f>SUM(D53:D58)</f>
        <v>6125000</v>
      </c>
      <c r="E59" s="158">
        <f t="shared" si="0"/>
        <v>-74000</v>
      </c>
      <c r="F59" s="159">
        <f t="shared" si="1"/>
        <v>-1.1937409259557993E-2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584000</v>
      </c>
      <c r="D62" s="157">
        <v>471000</v>
      </c>
      <c r="E62" s="157">
        <f t="shared" ref="E62:E90" si="2">+D62-C62</f>
        <v>-113000</v>
      </c>
      <c r="F62" s="161">
        <f t="shared" ref="F62:F90" si="3">IF(C62=0,0,E62/C62)</f>
        <v>-0.1934931506849315</v>
      </c>
    </row>
    <row r="63" spans="1:6" ht="15" customHeight="1" x14ac:dyDescent="0.2">
      <c r="A63" s="147">
        <v>2</v>
      </c>
      <c r="B63" s="160" t="s">
        <v>198</v>
      </c>
      <c r="C63" s="157">
        <v>1138000</v>
      </c>
      <c r="D63" s="157">
        <v>959000</v>
      </c>
      <c r="E63" s="157">
        <f t="shared" si="2"/>
        <v>-179000</v>
      </c>
      <c r="F63" s="161">
        <f t="shared" si="3"/>
        <v>-0.15729349736379614</v>
      </c>
    </row>
    <row r="64" spans="1:6" ht="15" customHeight="1" x14ac:dyDescent="0.2">
      <c r="A64" s="147">
        <v>3</v>
      </c>
      <c r="B64" s="160" t="s">
        <v>199</v>
      </c>
      <c r="C64" s="157">
        <v>1804000</v>
      </c>
      <c r="D64" s="157">
        <v>2102000</v>
      </c>
      <c r="E64" s="157">
        <f t="shared" si="2"/>
        <v>298000</v>
      </c>
      <c r="F64" s="161">
        <f t="shared" si="3"/>
        <v>0.16518847006651885</v>
      </c>
    </row>
    <row r="65" spans="1:6" ht="15" customHeight="1" x14ac:dyDescent="0.2">
      <c r="A65" s="147">
        <v>4</v>
      </c>
      <c r="B65" s="160" t="s">
        <v>200</v>
      </c>
      <c r="C65" s="157">
        <v>1335000</v>
      </c>
      <c r="D65" s="157">
        <v>1190000</v>
      </c>
      <c r="E65" s="157">
        <f t="shared" si="2"/>
        <v>-145000</v>
      </c>
      <c r="F65" s="161">
        <f t="shared" si="3"/>
        <v>-0.10861423220973783</v>
      </c>
    </row>
    <row r="66" spans="1:6" ht="15" customHeight="1" x14ac:dyDescent="0.2">
      <c r="A66" s="147">
        <v>5</v>
      </c>
      <c r="B66" s="160" t="s">
        <v>201</v>
      </c>
      <c r="C66" s="157">
        <v>1482000</v>
      </c>
      <c r="D66" s="157">
        <v>1614000</v>
      </c>
      <c r="E66" s="157">
        <f t="shared" si="2"/>
        <v>132000</v>
      </c>
      <c r="F66" s="161">
        <f t="shared" si="3"/>
        <v>8.9068825910931168E-2</v>
      </c>
    </row>
    <row r="67" spans="1:6" ht="15" customHeight="1" x14ac:dyDescent="0.2">
      <c r="A67" s="147">
        <v>6</v>
      </c>
      <c r="B67" s="160" t="s">
        <v>202</v>
      </c>
      <c r="C67" s="157">
        <v>3393000</v>
      </c>
      <c r="D67" s="157">
        <v>3134000</v>
      </c>
      <c r="E67" s="157">
        <f t="shared" si="2"/>
        <v>-259000</v>
      </c>
      <c r="F67" s="161">
        <f t="shared" si="3"/>
        <v>-7.6333628057765987E-2</v>
      </c>
    </row>
    <row r="68" spans="1:6" ht="15" customHeight="1" x14ac:dyDescent="0.2">
      <c r="A68" s="147">
        <v>7</v>
      </c>
      <c r="B68" s="160" t="s">
        <v>203</v>
      </c>
      <c r="C68" s="157">
        <v>2501000</v>
      </c>
      <c r="D68" s="157">
        <v>2368000</v>
      </c>
      <c r="E68" s="157">
        <f t="shared" si="2"/>
        <v>-133000</v>
      </c>
      <c r="F68" s="161">
        <f t="shared" si="3"/>
        <v>-5.3178728508596562E-2</v>
      </c>
    </row>
    <row r="69" spans="1:6" ht="15" customHeight="1" x14ac:dyDescent="0.2">
      <c r="A69" s="147">
        <v>8</v>
      </c>
      <c r="B69" s="160" t="s">
        <v>204</v>
      </c>
      <c r="C69" s="157">
        <v>550000</v>
      </c>
      <c r="D69" s="157">
        <v>472000</v>
      </c>
      <c r="E69" s="157">
        <f t="shared" si="2"/>
        <v>-78000</v>
      </c>
      <c r="F69" s="161">
        <f t="shared" si="3"/>
        <v>-0.14181818181818182</v>
      </c>
    </row>
    <row r="70" spans="1:6" ht="15" customHeight="1" x14ac:dyDescent="0.2">
      <c r="A70" s="147">
        <v>9</v>
      </c>
      <c r="B70" s="160" t="s">
        <v>205</v>
      </c>
      <c r="C70" s="157">
        <v>468000</v>
      </c>
      <c r="D70" s="157">
        <v>419000</v>
      </c>
      <c r="E70" s="157">
        <f t="shared" si="2"/>
        <v>-49000</v>
      </c>
      <c r="F70" s="161">
        <f t="shared" si="3"/>
        <v>-0.1047008547008547</v>
      </c>
    </row>
    <row r="71" spans="1:6" ht="15" customHeight="1" x14ac:dyDescent="0.2">
      <c r="A71" s="147">
        <v>10</v>
      </c>
      <c r="B71" s="160" t="s">
        <v>206</v>
      </c>
      <c r="C71" s="157">
        <v>889000</v>
      </c>
      <c r="D71" s="157">
        <v>741000</v>
      </c>
      <c r="E71" s="157">
        <f t="shared" si="2"/>
        <v>-148000</v>
      </c>
      <c r="F71" s="161">
        <f t="shared" si="3"/>
        <v>-0.16647919010123735</v>
      </c>
    </row>
    <row r="72" spans="1:6" ht="15" customHeight="1" x14ac:dyDescent="0.2">
      <c r="A72" s="147">
        <v>11</v>
      </c>
      <c r="B72" s="160" t="s">
        <v>207</v>
      </c>
      <c r="C72" s="157">
        <v>74000</v>
      </c>
      <c r="D72" s="157">
        <v>48000</v>
      </c>
      <c r="E72" s="157">
        <f t="shared" si="2"/>
        <v>-26000</v>
      </c>
      <c r="F72" s="161">
        <f t="shared" si="3"/>
        <v>-0.35135135135135137</v>
      </c>
    </row>
    <row r="73" spans="1:6" ht="15" customHeight="1" x14ac:dyDescent="0.2">
      <c r="A73" s="147">
        <v>12</v>
      </c>
      <c r="B73" s="160" t="s">
        <v>208</v>
      </c>
      <c r="C73" s="157">
        <v>5236000</v>
      </c>
      <c r="D73" s="157">
        <v>6102000</v>
      </c>
      <c r="E73" s="157">
        <f t="shared" si="2"/>
        <v>866000</v>
      </c>
      <c r="F73" s="161">
        <f t="shared" si="3"/>
        <v>0.16539343009931246</v>
      </c>
    </row>
    <row r="74" spans="1:6" ht="15" customHeight="1" x14ac:dyDescent="0.2">
      <c r="A74" s="147">
        <v>13</v>
      </c>
      <c r="B74" s="160" t="s">
        <v>209</v>
      </c>
      <c r="C74" s="157">
        <v>286000</v>
      </c>
      <c r="D74" s="157">
        <v>363000</v>
      </c>
      <c r="E74" s="157">
        <f t="shared" si="2"/>
        <v>77000</v>
      </c>
      <c r="F74" s="161">
        <f t="shared" si="3"/>
        <v>0.26923076923076922</v>
      </c>
    </row>
    <row r="75" spans="1:6" ht="15" customHeight="1" x14ac:dyDescent="0.2">
      <c r="A75" s="147">
        <v>14</v>
      </c>
      <c r="B75" s="160" t="s">
        <v>210</v>
      </c>
      <c r="C75" s="157">
        <v>192000</v>
      </c>
      <c r="D75" s="157">
        <v>242000</v>
      </c>
      <c r="E75" s="157">
        <f t="shared" si="2"/>
        <v>50000</v>
      </c>
      <c r="F75" s="161">
        <f t="shared" si="3"/>
        <v>0.26041666666666669</v>
      </c>
    </row>
    <row r="76" spans="1:6" ht="15" customHeight="1" x14ac:dyDescent="0.2">
      <c r="A76" s="147">
        <v>15</v>
      </c>
      <c r="B76" s="160" t="s">
        <v>211</v>
      </c>
      <c r="C76" s="157">
        <v>2789000</v>
      </c>
      <c r="D76" s="157">
        <v>2945000</v>
      </c>
      <c r="E76" s="157">
        <f t="shared" si="2"/>
        <v>156000</v>
      </c>
      <c r="F76" s="161">
        <f t="shared" si="3"/>
        <v>5.5934026532807456E-2</v>
      </c>
    </row>
    <row r="77" spans="1:6" ht="15" customHeight="1" x14ac:dyDescent="0.2">
      <c r="A77" s="147">
        <v>16</v>
      </c>
      <c r="B77" s="160" t="s">
        <v>212</v>
      </c>
      <c r="C77" s="157">
        <v>177000</v>
      </c>
      <c r="D77" s="157">
        <v>290000</v>
      </c>
      <c r="E77" s="157">
        <f t="shared" si="2"/>
        <v>113000</v>
      </c>
      <c r="F77" s="161">
        <f t="shared" si="3"/>
        <v>0.6384180790960452</v>
      </c>
    </row>
    <row r="78" spans="1:6" ht="15" customHeight="1" x14ac:dyDescent="0.2">
      <c r="A78" s="147">
        <v>17</v>
      </c>
      <c r="B78" s="160" t="s">
        <v>213</v>
      </c>
      <c r="C78" s="157">
        <v>443000</v>
      </c>
      <c r="D78" s="157">
        <v>298000</v>
      </c>
      <c r="E78" s="157">
        <f t="shared" si="2"/>
        <v>-145000</v>
      </c>
      <c r="F78" s="161">
        <f t="shared" si="3"/>
        <v>-0.32731376975169302</v>
      </c>
    </row>
    <row r="79" spans="1:6" ht="15" customHeight="1" x14ac:dyDescent="0.2">
      <c r="A79" s="147">
        <v>18</v>
      </c>
      <c r="B79" s="160" t="s">
        <v>214</v>
      </c>
      <c r="C79" s="157">
        <v>679000</v>
      </c>
      <c r="D79" s="157">
        <v>766000</v>
      </c>
      <c r="E79" s="157">
        <f t="shared" si="2"/>
        <v>87000</v>
      </c>
      <c r="F79" s="161">
        <f t="shared" si="3"/>
        <v>0.12812960235640647</v>
      </c>
    </row>
    <row r="80" spans="1:6" ht="15" customHeight="1" x14ac:dyDescent="0.2">
      <c r="A80" s="147">
        <v>19</v>
      </c>
      <c r="B80" s="160" t="s">
        <v>215</v>
      </c>
      <c r="C80" s="157">
        <v>3635000</v>
      </c>
      <c r="D80" s="157">
        <v>4153000</v>
      </c>
      <c r="E80" s="157">
        <f t="shared" si="2"/>
        <v>518000</v>
      </c>
      <c r="F80" s="161">
        <f t="shared" si="3"/>
        <v>0.14250343878954608</v>
      </c>
    </row>
    <row r="81" spans="1:6" ht="15" customHeight="1" x14ac:dyDescent="0.2">
      <c r="A81" s="147">
        <v>20</v>
      </c>
      <c r="B81" s="160" t="s">
        <v>216</v>
      </c>
      <c r="C81" s="157">
        <v>4981000</v>
      </c>
      <c r="D81" s="157">
        <v>3982000</v>
      </c>
      <c r="E81" s="157">
        <f t="shared" si="2"/>
        <v>-999000</v>
      </c>
      <c r="F81" s="161">
        <f t="shared" si="3"/>
        <v>-0.20056213611724552</v>
      </c>
    </row>
    <row r="82" spans="1:6" ht="15" customHeight="1" x14ac:dyDescent="0.2">
      <c r="A82" s="147">
        <v>21</v>
      </c>
      <c r="B82" s="160" t="s">
        <v>217</v>
      </c>
      <c r="C82" s="157">
        <v>3933000</v>
      </c>
      <c r="D82" s="157">
        <v>3119000</v>
      </c>
      <c r="E82" s="157">
        <f t="shared" si="2"/>
        <v>-814000</v>
      </c>
      <c r="F82" s="161">
        <f t="shared" si="3"/>
        <v>-0.20696669209255023</v>
      </c>
    </row>
    <row r="83" spans="1:6" ht="15" customHeight="1" x14ac:dyDescent="0.2">
      <c r="A83" s="147">
        <v>22</v>
      </c>
      <c r="B83" s="160" t="s">
        <v>218</v>
      </c>
      <c r="C83" s="157">
        <v>451000</v>
      </c>
      <c r="D83" s="157">
        <v>615000</v>
      </c>
      <c r="E83" s="157">
        <f t="shared" si="2"/>
        <v>164000</v>
      </c>
      <c r="F83" s="161">
        <f t="shared" si="3"/>
        <v>0.36363636363636365</v>
      </c>
    </row>
    <row r="84" spans="1:6" ht="15" customHeight="1" x14ac:dyDescent="0.2">
      <c r="A84" s="147">
        <v>23</v>
      </c>
      <c r="B84" s="160" t="s">
        <v>219</v>
      </c>
      <c r="C84" s="157">
        <v>1688000</v>
      </c>
      <c r="D84" s="157">
        <v>1231000</v>
      </c>
      <c r="E84" s="157">
        <f t="shared" si="2"/>
        <v>-457000</v>
      </c>
      <c r="F84" s="161">
        <f t="shared" si="3"/>
        <v>-0.27073459715639808</v>
      </c>
    </row>
    <row r="85" spans="1:6" ht="15" customHeight="1" x14ac:dyDescent="0.2">
      <c r="A85" s="147">
        <v>24</v>
      </c>
      <c r="B85" s="160" t="s">
        <v>220</v>
      </c>
      <c r="C85" s="157">
        <v>547000</v>
      </c>
      <c r="D85" s="157">
        <v>251000</v>
      </c>
      <c r="E85" s="157">
        <f t="shared" si="2"/>
        <v>-296000</v>
      </c>
      <c r="F85" s="161">
        <f t="shared" si="3"/>
        <v>-0.5411334552102377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9714000</v>
      </c>
      <c r="D87" s="157">
        <v>10049000</v>
      </c>
      <c r="E87" s="157">
        <f t="shared" si="2"/>
        <v>335000</v>
      </c>
      <c r="F87" s="161">
        <f t="shared" si="3"/>
        <v>3.4486308420835908E-2</v>
      </c>
    </row>
    <row r="88" spans="1:6" ht="15" customHeight="1" x14ac:dyDescent="0.2">
      <c r="A88" s="147">
        <v>27</v>
      </c>
      <c r="B88" s="160" t="s">
        <v>223</v>
      </c>
      <c r="C88" s="157">
        <v>30590000</v>
      </c>
      <c r="D88" s="157">
        <v>37874000</v>
      </c>
      <c r="E88" s="157">
        <f t="shared" si="2"/>
        <v>7284000</v>
      </c>
      <c r="F88" s="161">
        <f t="shared" si="3"/>
        <v>0.23811703170970905</v>
      </c>
    </row>
    <row r="89" spans="1:6" ht="15" customHeight="1" x14ac:dyDescent="0.2">
      <c r="A89" s="147">
        <v>28</v>
      </c>
      <c r="B89" s="160" t="s">
        <v>224</v>
      </c>
      <c r="C89" s="157">
        <v>2350000</v>
      </c>
      <c r="D89" s="157">
        <v>17894000</v>
      </c>
      <c r="E89" s="157">
        <f t="shared" si="2"/>
        <v>15544000</v>
      </c>
      <c r="F89" s="161">
        <f t="shared" si="3"/>
        <v>6.6144680851063828</v>
      </c>
    </row>
    <row r="90" spans="1:6" ht="15.75" customHeight="1" x14ac:dyDescent="0.25">
      <c r="A90" s="147"/>
      <c r="B90" s="162" t="s">
        <v>225</v>
      </c>
      <c r="C90" s="158">
        <f>SUM(C62:C89)</f>
        <v>81909000</v>
      </c>
      <c r="D90" s="158">
        <f>SUM(D62:D89)</f>
        <v>103692000</v>
      </c>
      <c r="E90" s="158">
        <f t="shared" si="2"/>
        <v>21783000</v>
      </c>
      <c r="F90" s="159">
        <f t="shared" si="3"/>
        <v>0.26594147163315385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398392000</v>
      </c>
      <c r="D95" s="158">
        <f>+D93+D90+D59+D50+D47+D44+D41+D35+D30+D24+D18</f>
        <v>424794000</v>
      </c>
      <c r="E95" s="158">
        <f>+D95-C95</f>
        <v>26402000</v>
      </c>
      <c r="F95" s="159">
        <f>IF(C95=0,0,E95/C95)</f>
        <v>6.6271411072511499E-2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51955994</v>
      </c>
      <c r="D103" s="157">
        <v>77867000</v>
      </c>
      <c r="E103" s="157">
        <f t="shared" ref="E103:E121" si="4">D103-C103</f>
        <v>25911006</v>
      </c>
      <c r="F103" s="161">
        <f t="shared" ref="F103:F121" si="5">IF(C103=0,0,E103/C103)</f>
        <v>0.4987106203761591</v>
      </c>
    </row>
    <row r="104" spans="1:6" ht="15" customHeight="1" x14ac:dyDescent="0.2">
      <c r="A104" s="147">
        <v>2</v>
      </c>
      <c r="B104" s="169" t="s">
        <v>234</v>
      </c>
      <c r="C104" s="157">
        <v>2447260</v>
      </c>
      <c r="D104" s="157">
        <v>3162000</v>
      </c>
      <c r="E104" s="157">
        <f t="shared" si="4"/>
        <v>714740</v>
      </c>
      <c r="F104" s="161">
        <f t="shared" si="5"/>
        <v>0.29205723952501983</v>
      </c>
    </row>
    <row r="105" spans="1:6" ht="15" customHeight="1" x14ac:dyDescent="0.2">
      <c r="A105" s="147">
        <v>3</v>
      </c>
      <c r="B105" s="169" t="s">
        <v>235</v>
      </c>
      <c r="C105" s="157">
        <v>4787736</v>
      </c>
      <c r="D105" s="157">
        <v>5217000</v>
      </c>
      <c r="E105" s="157">
        <f t="shared" si="4"/>
        <v>429264</v>
      </c>
      <c r="F105" s="161">
        <f t="shared" si="5"/>
        <v>8.9659078946708839E-2</v>
      </c>
    </row>
    <row r="106" spans="1:6" ht="15" customHeight="1" x14ac:dyDescent="0.2">
      <c r="A106" s="147">
        <v>4</v>
      </c>
      <c r="B106" s="169" t="s">
        <v>236</v>
      </c>
      <c r="C106" s="157">
        <v>3181744</v>
      </c>
      <c r="D106" s="157">
        <v>2869000</v>
      </c>
      <c r="E106" s="157">
        <f t="shared" si="4"/>
        <v>-312744</v>
      </c>
      <c r="F106" s="161">
        <f t="shared" si="5"/>
        <v>-9.8293263065790337E-2</v>
      </c>
    </row>
    <row r="107" spans="1:6" ht="15" customHeight="1" x14ac:dyDescent="0.2">
      <c r="A107" s="147">
        <v>5</v>
      </c>
      <c r="B107" s="169" t="s">
        <v>237</v>
      </c>
      <c r="C107" s="157">
        <v>26571937</v>
      </c>
      <c r="D107" s="157">
        <v>25166000</v>
      </c>
      <c r="E107" s="157">
        <f t="shared" si="4"/>
        <v>-1405937</v>
      </c>
      <c r="F107" s="161">
        <f t="shared" si="5"/>
        <v>-5.2910595113935428E-2</v>
      </c>
    </row>
    <row r="108" spans="1:6" ht="15" customHeight="1" x14ac:dyDescent="0.2">
      <c r="A108" s="147">
        <v>6</v>
      </c>
      <c r="B108" s="169" t="s">
        <v>238</v>
      </c>
      <c r="C108" s="157">
        <v>832920</v>
      </c>
      <c r="D108" s="157">
        <v>523000</v>
      </c>
      <c r="E108" s="157">
        <f t="shared" si="4"/>
        <v>-309920</v>
      </c>
      <c r="F108" s="161">
        <f t="shared" si="5"/>
        <v>-0.37208855592373818</v>
      </c>
    </row>
    <row r="109" spans="1:6" ht="15" customHeight="1" x14ac:dyDescent="0.2">
      <c r="A109" s="147">
        <v>7</v>
      </c>
      <c r="B109" s="169" t="s">
        <v>239</v>
      </c>
      <c r="C109" s="157">
        <v>33041708</v>
      </c>
      <c r="D109" s="157">
        <v>42538000</v>
      </c>
      <c r="E109" s="157">
        <f t="shared" si="4"/>
        <v>9496292</v>
      </c>
      <c r="F109" s="161">
        <f t="shared" si="5"/>
        <v>0.28740318145781085</v>
      </c>
    </row>
    <row r="110" spans="1:6" ht="15" customHeight="1" x14ac:dyDescent="0.2">
      <c r="A110" s="147">
        <v>8</v>
      </c>
      <c r="B110" s="169" t="s">
        <v>240</v>
      </c>
      <c r="C110" s="157">
        <v>3674535</v>
      </c>
      <c r="D110" s="157">
        <v>3835000</v>
      </c>
      <c r="E110" s="157">
        <f t="shared" si="4"/>
        <v>160465</v>
      </c>
      <c r="F110" s="161">
        <f t="shared" si="5"/>
        <v>4.3669471103146382E-2</v>
      </c>
    </row>
    <row r="111" spans="1:6" ht="15" customHeight="1" x14ac:dyDescent="0.2">
      <c r="A111" s="147">
        <v>9</v>
      </c>
      <c r="B111" s="169" t="s">
        <v>241</v>
      </c>
      <c r="C111" s="157">
        <v>1233385</v>
      </c>
      <c r="D111" s="157">
        <v>1764000</v>
      </c>
      <c r="E111" s="157">
        <f t="shared" si="4"/>
        <v>530615</v>
      </c>
      <c r="F111" s="161">
        <f t="shared" si="5"/>
        <v>0.43021035605265184</v>
      </c>
    </row>
    <row r="112" spans="1:6" ht="15" customHeight="1" x14ac:dyDescent="0.2">
      <c r="A112" s="147">
        <v>10</v>
      </c>
      <c r="B112" s="169" t="s">
        <v>242</v>
      </c>
      <c r="C112" s="157">
        <v>6629401</v>
      </c>
      <c r="D112" s="157">
        <v>6406000</v>
      </c>
      <c r="E112" s="157">
        <f t="shared" si="4"/>
        <v>-223401</v>
      </c>
      <c r="F112" s="161">
        <f t="shared" si="5"/>
        <v>-3.3698519670178347E-2</v>
      </c>
    </row>
    <row r="113" spans="1:6" ht="15" customHeight="1" x14ac:dyDescent="0.2">
      <c r="A113" s="147">
        <v>11</v>
      </c>
      <c r="B113" s="169" t="s">
        <v>243</v>
      </c>
      <c r="C113" s="157">
        <v>4362326</v>
      </c>
      <c r="D113" s="157">
        <v>4437000</v>
      </c>
      <c r="E113" s="157">
        <f t="shared" si="4"/>
        <v>74674</v>
      </c>
      <c r="F113" s="161">
        <f t="shared" si="5"/>
        <v>1.7117932039008549E-2</v>
      </c>
    </row>
    <row r="114" spans="1:6" ht="15" customHeight="1" x14ac:dyDescent="0.2">
      <c r="A114" s="147">
        <v>12</v>
      </c>
      <c r="B114" s="169" t="s">
        <v>244</v>
      </c>
      <c r="C114" s="157">
        <v>1219520</v>
      </c>
      <c r="D114" s="157">
        <v>690000</v>
      </c>
      <c r="E114" s="157">
        <f t="shared" si="4"/>
        <v>-529520</v>
      </c>
      <c r="F114" s="161">
        <f t="shared" si="5"/>
        <v>-0.43420362109682498</v>
      </c>
    </row>
    <row r="115" spans="1:6" ht="15" customHeight="1" x14ac:dyDescent="0.2">
      <c r="A115" s="147">
        <v>13</v>
      </c>
      <c r="B115" s="169" t="s">
        <v>245</v>
      </c>
      <c r="C115" s="157">
        <v>6946014</v>
      </c>
      <c r="D115" s="157">
        <v>8657000</v>
      </c>
      <c r="E115" s="157">
        <f t="shared" si="4"/>
        <v>1710986</v>
      </c>
      <c r="F115" s="161">
        <f t="shared" si="5"/>
        <v>0.24632631031264837</v>
      </c>
    </row>
    <row r="116" spans="1:6" ht="15" customHeight="1" x14ac:dyDescent="0.2">
      <c r="A116" s="147">
        <v>14</v>
      </c>
      <c r="B116" s="169" t="s">
        <v>246</v>
      </c>
      <c r="C116" s="157">
        <v>2298914</v>
      </c>
      <c r="D116" s="157">
        <v>2300000</v>
      </c>
      <c r="E116" s="157">
        <f t="shared" si="4"/>
        <v>1086</v>
      </c>
      <c r="F116" s="161">
        <f t="shared" si="5"/>
        <v>4.723969665676924E-4</v>
      </c>
    </row>
    <row r="117" spans="1:6" ht="15" customHeight="1" x14ac:dyDescent="0.2">
      <c r="A117" s="147">
        <v>15</v>
      </c>
      <c r="B117" s="169" t="s">
        <v>203</v>
      </c>
      <c r="C117" s="157">
        <v>9699824</v>
      </c>
      <c r="D117" s="157">
        <v>9410000</v>
      </c>
      <c r="E117" s="157">
        <f t="shared" si="4"/>
        <v>-289824</v>
      </c>
      <c r="F117" s="161">
        <f t="shared" si="5"/>
        <v>-2.9879305026565429E-2</v>
      </c>
    </row>
    <row r="118" spans="1:6" ht="15" customHeight="1" x14ac:dyDescent="0.2">
      <c r="A118" s="147">
        <v>16</v>
      </c>
      <c r="B118" s="169" t="s">
        <v>247</v>
      </c>
      <c r="C118" s="157">
        <v>975114</v>
      </c>
      <c r="D118" s="157">
        <v>936000</v>
      </c>
      <c r="E118" s="157">
        <f t="shared" si="4"/>
        <v>-39114</v>
      </c>
      <c r="F118" s="161">
        <f t="shared" si="5"/>
        <v>-4.0112233031214813E-2</v>
      </c>
    </row>
    <row r="119" spans="1:6" ht="15" customHeight="1" x14ac:dyDescent="0.2">
      <c r="A119" s="147">
        <v>17</v>
      </c>
      <c r="B119" s="169" t="s">
        <v>248</v>
      </c>
      <c r="C119" s="157">
        <v>25699553</v>
      </c>
      <c r="D119" s="157">
        <v>26457000</v>
      </c>
      <c r="E119" s="157">
        <f t="shared" si="4"/>
        <v>757447</v>
      </c>
      <c r="F119" s="161">
        <f t="shared" si="5"/>
        <v>2.9473158540928707E-2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185557885</v>
      </c>
      <c r="D121" s="158">
        <f>SUM(D103:D120)</f>
        <v>222234000</v>
      </c>
      <c r="E121" s="158">
        <f t="shared" si="4"/>
        <v>36676115</v>
      </c>
      <c r="F121" s="159">
        <f t="shared" si="5"/>
        <v>0.19765322826351464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276880</v>
      </c>
      <c r="D124" s="157">
        <v>307000</v>
      </c>
      <c r="E124" s="157">
        <f t="shared" ref="E124:E130" si="6">D124-C124</f>
        <v>30120</v>
      </c>
      <c r="F124" s="161">
        <f t="shared" ref="F124:F130" si="7">IF(C124=0,0,E124/C124)</f>
        <v>0.10878358855822017</v>
      </c>
    </row>
    <row r="125" spans="1:6" ht="15" customHeight="1" x14ac:dyDescent="0.2">
      <c r="A125" s="147">
        <v>2</v>
      </c>
      <c r="B125" s="169" t="s">
        <v>253</v>
      </c>
      <c r="C125" s="157">
        <v>4842056</v>
      </c>
      <c r="D125" s="157">
        <v>4438000</v>
      </c>
      <c r="E125" s="157">
        <f t="shared" si="6"/>
        <v>-404056</v>
      </c>
      <c r="F125" s="161">
        <f t="shared" si="7"/>
        <v>-8.3447196810611024E-2</v>
      </c>
    </row>
    <row r="126" spans="1:6" ht="15" customHeight="1" x14ac:dyDescent="0.2">
      <c r="A126" s="147">
        <v>3</v>
      </c>
      <c r="B126" s="169" t="s">
        <v>254</v>
      </c>
      <c r="C126" s="157">
        <v>2737342</v>
      </c>
      <c r="D126" s="157">
        <v>3069000</v>
      </c>
      <c r="E126" s="157">
        <f t="shared" si="6"/>
        <v>331658</v>
      </c>
      <c r="F126" s="161">
        <f t="shared" si="7"/>
        <v>0.12116060031958009</v>
      </c>
    </row>
    <row r="127" spans="1:6" ht="15" customHeight="1" x14ac:dyDescent="0.2">
      <c r="A127" s="147">
        <v>4</v>
      </c>
      <c r="B127" s="169" t="s">
        <v>255</v>
      </c>
      <c r="C127" s="157">
        <v>3788315</v>
      </c>
      <c r="D127" s="157">
        <v>3952000</v>
      </c>
      <c r="E127" s="157">
        <f t="shared" si="6"/>
        <v>163685</v>
      </c>
      <c r="F127" s="161">
        <f t="shared" si="7"/>
        <v>4.3207864182360757E-2</v>
      </c>
    </row>
    <row r="128" spans="1:6" ht="15" customHeight="1" x14ac:dyDescent="0.2">
      <c r="A128" s="147">
        <v>5</v>
      </c>
      <c r="B128" s="169" t="s">
        <v>256</v>
      </c>
      <c r="C128" s="157">
        <v>966786</v>
      </c>
      <c r="D128" s="157">
        <v>968000</v>
      </c>
      <c r="E128" s="157">
        <f t="shared" si="6"/>
        <v>1214</v>
      </c>
      <c r="F128" s="161">
        <f t="shared" si="7"/>
        <v>1.2557070540947014E-3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12611379</v>
      </c>
      <c r="D130" s="158">
        <f>SUM(D124:D129)</f>
        <v>12734000</v>
      </c>
      <c r="E130" s="158">
        <f t="shared" si="6"/>
        <v>122621</v>
      </c>
      <c r="F130" s="159">
        <f t="shared" si="7"/>
        <v>9.7230445615820449E-3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26152076</v>
      </c>
      <c r="D133" s="157">
        <v>25542000</v>
      </c>
      <c r="E133" s="157">
        <f t="shared" ref="E133:E167" si="8">D133-C133</f>
        <v>-610076</v>
      </c>
      <c r="F133" s="161">
        <f t="shared" ref="F133:F167" si="9">IF(C133=0,0,E133/C133)</f>
        <v>-2.3328014189007405E-2</v>
      </c>
    </row>
    <row r="134" spans="1:6" ht="15" customHeight="1" x14ac:dyDescent="0.2">
      <c r="A134" s="147">
        <v>2</v>
      </c>
      <c r="B134" s="169" t="s">
        <v>261</v>
      </c>
      <c r="C134" s="157">
        <v>1738067</v>
      </c>
      <c r="D134" s="157">
        <v>1639000</v>
      </c>
      <c r="E134" s="157">
        <f t="shared" si="8"/>
        <v>-99067</v>
      </c>
      <c r="F134" s="161">
        <f t="shared" si="9"/>
        <v>-5.6998378083238446E-2</v>
      </c>
    </row>
    <row r="135" spans="1:6" ht="15" customHeight="1" x14ac:dyDescent="0.2">
      <c r="A135" s="147">
        <v>3</v>
      </c>
      <c r="B135" s="169" t="s">
        <v>262</v>
      </c>
      <c r="C135" s="157">
        <v>1304481</v>
      </c>
      <c r="D135" s="157">
        <v>1067000</v>
      </c>
      <c r="E135" s="157">
        <f t="shared" si="8"/>
        <v>-237481</v>
      </c>
      <c r="F135" s="161">
        <f t="shared" si="9"/>
        <v>-0.18205017934335571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3800982</v>
      </c>
      <c r="D137" s="157">
        <v>3609000</v>
      </c>
      <c r="E137" s="157">
        <f t="shared" si="8"/>
        <v>-191982</v>
      </c>
      <c r="F137" s="161">
        <f t="shared" si="9"/>
        <v>-5.0508526480788386E-2</v>
      </c>
    </row>
    <row r="138" spans="1:6" ht="15" customHeight="1" x14ac:dyDescent="0.2">
      <c r="A138" s="147">
        <v>6</v>
      </c>
      <c r="B138" s="169" t="s">
        <v>265</v>
      </c>
      <c r="C138" s="157">
        <v>760350</v>
      </c>
      <c r="D138" s="157">
        <v>741456</v>
      </c>
      <c r="E138" s="157">
        <f t="shared" si="8"/>
        <v>-18894</v>
      </c>
      <c r="F138" s="161">
        <f t="shared" si="9"/>
        <v>-2.4849082659301639E-2</v>
      </c>
    </row>
    <row r="139" spans="1:6" ht="15" customHeight="1" x14ac:dyDescent="0.2">
      <c r="A139" s="147">
        <v>7</v>
      </c>
      <c r="B139" s="169" t="s">
        <v>266</v>
      </c>
      <c r="C139" s="157">
        <v>1621777</v>
      </c>
      <c r="D139" s="157">
        <v>1418544</v>
      </c>
      <c r="E139" s="157">
        <f t="shared" si="8"/>
        <v>-203233</v>
      </c>
      <c r="F139" s="161">
        <f t="shared" si="9"/>
        <v>-0.12531500940018264</v>
      </c>
    </row>
    <row r="140" spans="1:6" ht="15" customHeight="1" x14ac:dyDescent="0.2">
      <c r="A140" s="147">
        <v>8</v>
      </c>
      <c r="B140" s="169" t="s">
        <v>267</v>
      </c>
      <c r="C140" s="157">
        <v>303595</v>
      </c>
      <c r="D140" s="157">
        <v>537000</v>
      </c>
      <c r="E140" s="157">
        <f t="shared" si="8"/>
        <v>233405</v>
      </c>
      <c r="F140" s="161">
        <f t="shared" si="9"/>
        <v>0.76880383405523811</v>
      </c>
    </row>
    <row r="141" spans="1:6" ht="15" customHeight="1" x14ac:dyDescent="0.2">
      <c r="A141" s="147">
        <v>9</v>
      </c>
      <c r="B141" s="169" t="s">
        <v>268</v>
      </c>
      <c r="C141" s="157">
        <v>1527740</v>
      </c>
      <c r="D141" s="157">
        <v>1509000</v>
      </c>
      <c r="E141" s="157">
        <f t="shared" si="8"/>
        <v>-18740</v>
      </c>
      <c r="F141" s="161">
        <f t="shared" si="9"/>
        <v>-1.2266485134905154E-2</v>
      </c>
    </row>
    <row r="142" spans="1:6" ht="15" customHeight="1" x14ac:dyDescent="0.2">
      <c r="A142" s="147">
        <v>10</v>
      </c>
      <c r="B142" s="169" t="s">
        <v>269</v>
      </c>
      <c r="C142" s="157">
        <v>8258450</v>
      </c>
      <c r="D142" s="157">
        <v>7384000</v>
      </c>
      <c r="E142" s="157">
        <f t="shared" si="8"/>
        <v>-874450</v>
      </c>
      <c r="F142" s="161">
        <f t="shared" si="9"/>
        <v>-0.10588548698605671</v>
      </c>
    </row>
    <row r="143" spans="1:6" ht="15" customHeight="1" x14ac:dyDescent="0.2">
      <c r="A143" s="147">
        <v>11</v>
      </c>
      <c r="B143" s="169" t="s">
        <v>270</v>
      </c>
      <c r="C143" s="157">
        <v>2487088</v>
      </c>
      <c r="D143" s="157">
        <v>2126000</v>
      </c>
      <c r="E143" s="157">
        <f t="shared" si="8"/>
        <v>-361088</v>
      </c>
      <c r="F143" s="161">
        <f t="shared" si="9"/>
        <v>-0.1451850517553058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7908833</v>
      </c>
      <c r="D145" s="157">
        <v>7211000</v>
      </c>
      <c r="E145" s="157">
        <f t="shared" si="8"/>
        <v>-697833</v>
      </c>
      <c r="F145" s="161">
        <f t="shared" si="9"/>
        <v>-8.8234635881172349E-2</v>
      </c>
    </row>
    <row r="146" spans="1:6" ht="15" customHeight="1" x14ac:dyDescent="0.2">
      <c r="A146" s="147">
        <v>14</v>
      </c>
      <c r="B146" s="169" t="s">
        <v>273</v>
      </c>
      <c r="C146" s="157">
        <v>58103</v>
      </c>
      <c r="D146" s="157">
        <v>0</v>
      </c>
      <c r="E146" s="157">
        <f t="shared" si="8"/>
        <v>-58103</v>
      </c>
      <c r="F146" s="161">
        <f t="shared" si="9"/>
        <v>-1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2950203</v>
      </c>
      <c r="D150" s="157">
        <v>2733000</v>
      </c>
      <c r="E150" s="157">
        <f t="shared" si="8"/>
        <v>-217203</v>
      </c>
      <c r="F150" s="161">
        <f t="shared" si="9"/>
        <v>-7.3623069327771684E-2</v>
      </c>
    </row>
    <row r="151" spans="1:6" ht="15" customHeight="1" x14ac:dyDescent="0.2">
      <c r="A151" s="147">
        <v>19</v>
      </c>
      <c r="B151" s="169" t="s">
        <v>278</v>
      </c>
      <c r="C151" s="157">
        <v>384642</v>
      </c>
      <c r="D151" s="157">
        <v>372000</v>
      </c>
      <c r="E151" s="157">
        <f t="shared" si="8"/>
        <v>-12642</v>
      </c>
      <c r="F151" s="161">
        <f t="shared" si="9"/>
        <v>-3.2866925608747877E-2</v>
      </c>
    </row>
    <row r="152" spans="1:6" ht="15" customHeight="1" x14ac:dyDescent="0.2">
      <c r="A152" s="147">
        <v>20</v>
      </c>
      <c r="B152" s="169" t="s">
        <v>279</v>
      </c>
      <c r="C152" s="157">
        <v>140555</v>
      </c>
      <c r="D152" s="157">
        <v>85000</v>
      </c>
      <c r="E152" s="157">
        <f t="shared" si="8"/>
        <v>-55555</v>
      </c>
      <c r="F152" s="161">
        <f t="shared" si="9"/>
        <v>-0.39525452669773398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983022</v>
      </c>
      <c r="D155" s="157">
        <v>1252000</v>
      </c>
      <c r="E155" s="157">
        <f t="shared" si="8"/>
        <v>268978</v>
      </c>
      <c r="F155" s="161">
        <f t="shared" si="9"/>
        <v>0.27362358116095065</v>
      </c>
    </row>
    <row r="156" spans="1:6" ht="15" customHeight="1" x14ac:dyDescent="0.2">
      <c r="A156" s="147">
        <v>24</v>
      </c>
      <c r="B156" s="169" t="s">
        <v>283</v>
      </c>
      <c r="C156" s="157">
        <v>20758018</v>
      </c>
      <c r="D156" s="157">
        <v>19615000</v>
      </c>
      <c r="E156" s="157">
        <f t="shared" si="8"/>
        <v>-1143018</v>
      </c>
      <c r="F156" s="161">
        <f t="shared" si="9"/>
        <v>-5.5063927586920872E-2</v>
      </c>
    </row>
    <row r="157" spans="1:6" ht="15" customHeight="1" x14ac:dyDescent="0.2">
      <c r="A157" s="147">
        <v>25</v>
      </c>
      <c r="B157" s="169" t="s">
        <v>284</v>
      </c>
      <c r="C157" s="157">
        <v>517500</v>
      </c>
      <c r="D157" s="157">
        <v>550000</v>
      </c>
      <c r="E157" s="157">
        <f t="shared" si="8"/>
        <v>32500</v>
      </c>
      <c r="F157" s="161">
        <f t="shared" si="9"/>
        <v>6.280193236714976E-2</v>
      </c>
    </row>
    <row r="158" spans="1:6" ht="15" customHeight="1" x14ac:dyDescent="0.2">
      <c r="A158" s="147">
        <v>26</v>
      </c>
      <c r="B158" s="169" t="s">
        <v>285</v>
      </c>
      <c r="C158" s="157">
        <v>167214</v>
      </c>
      <c r="D158" s="157">
        <v>154000</v>
      </c>
      <c r="E158" s="157">
        <f t="shared" si="8"/>
        <v>-13214</v>
      </c>
      <c r="F158" s="161">
        <f t="shared" si="9"/>
        <v>-7.9024483595871164E-2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1366862</v>
      </c>
      <c r="D160" s="157">
        <v>1213000</v>
      </c>
      <c r="E160" s="157">
        <f t="shared" si="8"/>
        <v>-153862</v>
      </c>
      <c r="F160" s="161">
        <f t="shared" si="9"/>
        <v>-0.11256586253769583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13642748</v>
      </c>
      <c r="D163" s="157">
        <v>12553000</v>
      </c>
      <c r="E163" s="157">
        <f t="shared" si="8"/>
        <v>-1089748</v>
      </c>
      <c r="F163" s="161">
        <f t="shared" si="9"/>
        <v>-7.9877455773572886E-2</v>
      </c>
    </row>
    <row r="164" spans="1:6" ht="15" customHeight="1" x14ac:dyDescent="0.2">
      <c r="A164" s="147">
        <v>32</v>
      </c>
      <c r="B164" s="169" t="s">
        <v>291</v>
      </c>
      <c r="C164" s="157">
        <v>2661178</v>
      </c>
      <c r="D164" s="157">
        <v>2501000</v>
      </c>
      <c r="E164" s="157">
        <f t="shared" si="8"/>
        <v>-160178</v>
      </c>
      <c r="F164" s="161">
        <f t="shared" si="9"/>
        <v>-6.0190637379386125E-2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3548166</v>
      </c>
      <c r="D166" s="157">
        <v>3646000</v>
      </c>
      <c r="E166" s="157">
        <f t="shared" si="8"/>
        <v>97834</v>
      </c>
      <c r="F166" s="161">
        <f t="shared" si="9"/>
        <v>2.7573118055919593E-2</v>
      </c>
    </row>
    <row r="167" spans="1:6" ht="15.75" customHeight="1" x14ac:dyDescent="0.25">
      <c r="A167" s="147"/>
      <c r="B167" s="165" t="s">
        <v>294</v>
      </c>
      <c r="C167" s="158">
        <f>SUM(C133:C166)</f>
        <v>103041650</v>
      </c>
      <c r="D167" s="158">
        <f>SUM(D133:D166)</f>
        <v>97458000</v>
      </c>
      <c r="E167" s="158">
        <f t="shared" si="8"/>
        <v>-5583650</v>
      </c>
      <c r="F167" s="159">
        <f t="shared" si="9"/>
        <v>-5.4188282116988618E-2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46460571</v>
      </c>
      <c r="D170" s="157">
        <v>46252000</v>
      </c>
      <c r="E170" s="157">
        <f t="shared" ref="E170:E183" si="10">D170-C170</f>
        <v>-208571</v>
      </c>
      <c r="F170" s="161">
        <f t="shared" ref="F170:F183" si="11">IF(C170=0,0,E170/C170)</f>
        <v>-4.4892044051718606E-3</v>
      </c>
    </row>
    <row r="171" spans="1:6" ht="15" customHeight="1" x14ac:dyDescent="0.2">
      <c r="A171" s="147">
        <v>2</v>
      </c>
      <c r="B171" s="169" t="s">
        <v>297</v>
      </c>
      <c r="C171" s="157">
        <v>9476813</v>
      </c>
      <c r="D171" s="157">
        <v>8338000</v>
      </c>
      <c r="E171" s="157">
        <f t="shared" si="10"/>
        <v>-1138813</v>
      </c>
      <c r="F171" s="161">
        <f t="shared" si="11"/>
        <v>-0.1201683519554517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10295738</v>
      </c>
      <c r="D173" s="157">
        <v>9988000</v>
      </c>
      <c r="E173" s="157">
        <f t="shared" si="10"/>
        <v>-307738</v>
      </c>
      <c r="F173" s="161">
        <f t="shared" si="11"/>
        <v>-2.988984373922491E-2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4216850</v>
      </c>
      <c r="D175" s="157">
        <v>4084000</v>
      </c>
      <c r="E175" s="157">
        <f t="shared" si="10"/>
        <v>-132850</v>
      </c>
      <c r="F175" s="161">
        <f t="shared" si="11"/>
        <v>-3.1504559090316228E-2</v>
      </c>
    </row>
    <row r="176" spans="1:6" ht="15" customHeight="1" x14ac:dyDescent="0.2">
      <c r="A176" s="147">
        <v>7</v>
      </c>
      <c r="B176" s="169" t="s">
        <v>302</v>
      </c>
      <c r="C176" s="157">
        <v>1342081</v>
      </c>
      <c r="D176" s="157">
        <v>1490000</v>
      </c>
      <c r="E176" s="157">
        <f t="shared" si="10"/>
        <v>147919</v>
      </c>
      <c r="F176" s="161">
        <f t="shared" si="11"/>
        <v>0.11021614939783814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2460680</v>
      </c>
      <c r="D178" s="157">
        <v>2451000</v>
      </c>
      <c r="E178" s="157">
        <f t="shared" si="10"/>
        <v>-9680</v>
      </c>
      <c r="F178" s="161">
        <f t="shared" si="11"/>
        <v>-3.9338719378383211E-3</v>
      </c>
    </row>
    <row r="179" spans="1:6" ht="15" customHeight="1" x14ac:dyDescent="0.2">
      <c r="A179" s="147">
        <v>10</v>
      </c>
      <c r="B179" s="169" t="s">
        <v>305</v>
      </c>
      <c r="C179" s="157">
        <v>6762581</v>
      </c>
      <c r="D179" s="157">
        <v>6381000</v>
      </c>
      <c r="E179" s="157">
        <f t="shared" si="10"/>
        <v>-381581</v>
      </c>
      <c r="F179" s="161">
        <f t="shared" si="11"/>
        <v>-5.642535002538232E-2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15815651</v>
      </c>
      <c r="D181" s="157">
        <v>13324000</v>
      </c>
      <c r="E181" s="157">
        <f t="shared" si="10"/>
        <v>-2491651</v>
      </c>
      <c r="F181" s="161">
        <f t="shared" si="11"/>
        <v>-0.15754337270087712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96830965</v>
      </c>
      <c r="D183" s="158">
        <f>SUM(D170:D182)</f>
        <v>92308000</v>
      </c>
      <c r="E183" s="158">
        <f t="shared" si="10"/>
        <v>-4522965</v>
      </c>
      <c r="F183" s="159">
        <f t="shared" si="11"/>
        <v>-4.6709903180248175E-2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350121</v>
      </c>
      <c r="D186" s="157">
        <v>60000</v>
      </c>
      <c r="E186" s="157">
        <f>D186-C186</f>
        <v>-290121</v>
      </c>
      <c r="F186" s="161">
        <f>IF(C186=0,0,E186/C186)</f>
        <v>-0.8286306733957689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398392000</v>
      </c>
      <c r="D188" s="158">
        <f>+D186+D183+D167+D130+D121</f>
        <v>424794000</v>
      </c>
      <c r="E188" s="158">
        <f>D188-C188</f>
        <v>26402000</v>
      </c>
      <c r="F188" s="159">
        <f>IF(C188=0,0,E188/C188)</f>
        <v>6.6271411072511499E-2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r:id="rId1"/>
  <headerFooter>
    <oddHeader>&amp;LOFFICE OF HEALTH CARE ACCESS&amp;CTWELVE MONTHS ACTUAL FILING&amp;RSAINT VINCENT`S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tabSelected="1" zoomScale="75" zoomScaleSheetLayoutView="75" workbookViewId="0">
      <selection activeCell="M14" sqref="M14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408184000</v>
      </c>
      <c r="D11" s="183">
        <v>401065000</v>
      </c>
      <c r="E11" s="76">
        <v>402610000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16547000</v>
      </c>
      <c r="D12" s="185">
        <v>20648000</v>
      </c>
      <c r="E12" s="185">
        <v>18338000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424731000</v>
      </c>
      <c r="D13" s="76">
        <f>+D11+D12</f>
        <v>421713000</v>
      </c>
      <c r="E13" s="76">
        <f>+E11+E12</f>
        <v>420948000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394491000</v>
      </c>
      <c r="D14" s="185">
        <v>398392000</v>
      </c>
      <c r="E14" s="185">
        <v>424794000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30240000</v>
      </c>
      <c r="D15" s="76">
        <f>+D13-D14</f>
        <v>23321000</v>
      </c>
      <c r="E15" s="76">
        <f>+E13-E14</f>
        <v>-3846000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23663000</v>
      </c>
      <c r="D16" s="185">
        <v>21661000</v>
      </c>
      <c r="E16" s="185">
        <v>-11242000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53903000</v>
      </c>
      <c r="D17" s="76">
        <f>D15+D16</f>
        <v>44982000</v>
      </c>
      <c r="E17" s="76">
        <f>E15+E16</f>
        <v>-15088000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6.7440688323215744E-2</v>
      </c>
      <c r="D20" s="189">
        <f>IF(+D27=0,0,+D24/+D27)</f>
        <v>5.2598934533824714E-2</v>
      </c>
      <c r="E20" s="189">
        <f>IF(+E27=0,0,+E24/+E27)</f>
        <v>-9.387219127862419E-3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5.2772784649214755E-2</v>
      </c>
      <c r="D21" s="189">
        <f>IF(D27=0,0,+D26/D27)</f>
        <v>4.8854917067757693E-2</v>
      </c>
      <c r="E21" s="189">
        <f>IF(E27=0,0,+E26/E27)</f>
        <v>-2.7439188100735649E-2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0.1202134729724305</v>
      </c>
      <c r="D22" s="189">
        <f>IF(D27=0,0,+D28/D27)</f>
        <v>0.10145385160158241</v>
      </c>
      <c r="E22" s="189">
        <f>IF(E27=0,0,+E28/E27)</f>
        <v>-3.682640722859807E-2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30240000</v>
      </c>
      <c r="D24" s="76">
        <f>+D15</f>
        <v>23321000</v>
      </c>
      <c r="E24" s="76">
        <f>+E15</f>
        <v>-3846000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424731000</v>
      </c>
      <c r="D25" s="76">
        <f>+D13</f>
        <v>421713000</v>
      </c>
      <c r="E25" s="76">
        <f>+E13</f>
        <v>420948000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23663000</v>
      </c>
      <c r="D26" s="76">
        <f>+D16</f>
        <v>21661000</v>
      </c>
      <c r="E26" s="76">
        <f>+E16</f>
        <v>-11242000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448394000</v>
      </c>
      <c r="D27" s="76">
        <f>+D25+D26</f>
        <v>443374000</v>
      </c>
      <c r="E27" s="76">
        <f>+E25+E26</f>
        <v>409706000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53903000</v>
      </c>
      <c r="D28" s="76">
        <f>+D17</f>
        <v>44982000</v>
      </c>
      <c r="E28" s="76">
        <f>+E17</f>
        <v>-15088000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517788000</v>
      </c>
      <c r="D31" s="76">
        <v>522872000</v>
      </c>
      <c r="E31" s="76">
        <v>480367000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538420000</v>
      </c>
      <c r="D32" s="76">
        <v>544973000</v>
      </c>
      <c r="E32" s="76">
        <v>502440000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43136000</v>
      </c>
      <c r="D33" s="76">
        <f>+D32-C32</f>
        <v>6553000</v>
      </c>
      <c r="E33" s="76">
        <f>+E32-D32</f>
        <v>-42533000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1.087</v>
      </c>
      <c r="D34" s="193">
        <f>IF(C32=0,0,+D33/C32)</f>
        <v>1.2170796032836819E-2</v>
      </c>
      <c r="E34" s="193">
        <f>IF(D32=0,0,+E33/D32)</f>
        <v>-7.8046068337330479E-2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0.32638909914369779</v>
      </c>
      <c r="D38" s="195">
        <f>IF((D40+D41)=0,0,+D39/(D40+D41))</f>
        <v>0.32662130776301501</v>
      </c>
      <c r="E38" s="195">
        <f>IF((E40+E41)=0,0,+E39/(E40+E41))</f>
        <v>0.32017103283719889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394491000</v>
      </c>
      <c r="D39" s="76">
        <v>398392000</v>
      </c>
      <c r="E39" s="196">
        <v>424794000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1192685498</v>
      </c>
      <c r="D40" s="76">
        <v>1199088712</v>
      </c>
      <c r="E40" s="196">
        <v>1306254120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15967000</v>
      </c>
      <c r="D41" s="76">
        <v>20648000</v>
      </c>
      <c r="E41" s="196">
        <v>20518000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1.7762978516481744</v>
      </c>
      <c r="D43" s="197">
        <f>IF(D38=0,0,IF((D46-D47)=0,0,((+D44-D45)/(D46-D47)/D38)))</f>
        <v>1.6904597438635987</v>
      </c>
      <c r="E43" s="197">
        <f>IF(E38=0,0,IF((E46-E47)=0,0,((+E44-E45)/(E46-E47)/E38)))</f>
        <v>1.5281515085953559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187090654</v>
      </c>
      <c r="D44" s="76">
        <v>185574186</v>
      </c>
      <c r="E44" s="196">
        <v>183171404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3466251</v>
      </c>
      <c r="D45" s="76">
        <v>4045716</v>
      </c>
      <c r="E45" s="196">
        <v>9195412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373127096</v>
      </c>
      <c r="D46" s="76">
        <v>379181443</v>
      </c>
      <c r="E46" s="196">
        <v>407034704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56404564</v>
      </c>
      <c r="D47" s="76">
        <v>50409006</v>
      </c>
      <c r="E47" s="76">
        <v>51451802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0.85614807949022165</v>
      </c>
      <c r="D49" s="198">
        <f>IF(D38=0,0,IF(D51=0,0,(D50/D51)/D38))</f>
        <v>0.83648397644345784</v>
      </c>
      <c r="E49" s="198">
        <f>IF(E38=0,0,IF(E51=0,0,(E50/E51)/E38))</f>
        <v>0.74585902990284136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160682023</v>
      </c>
      <c r="D50" s="199">
        <v>156655774</v>
      </c>
      <c r="E50" s="199">
        <v>146193734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575019746</v>
      </c>
      <c r="D51" s="199">
        <v>573382280</v>
      </c>
      <c r="E51" s="199">
        <v>612195270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0.71654867775287867</v>
      </c>
      <c r="D53" s="198">
        <f>IF(D38=0,0,IF(D55=0,0,(D54/D55)/D38))</f>
        <v>0.75540788560090943</v>
      </c>
      <c r="E53" s="198">
        <f>IF(E38=0,0,IF(E55=0,0,(E54/E55)/E38))</f>
        <v>0.69454695002674105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56472732</v>
      </c>
      <c r="D54" s="199">
        <v>60356548</v>
      </c>
      <c r="E54" s="199">
        <v>62792573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241466815</v>
      </c>
      <c r="D55" s="199">
        <v>244623607</v>
      </c>
      <c r="E55" s="199">
        <v>282373953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13319286.35785602</v>
      </c>
      <c r="D57" s="88">
        <f>+D60*D38</f>
        <v>15738900.957176404</v>
      </c>
      <c r="E57" s="88">
        <f>+E60*E38</f>
        <v>13540353.149717977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14991000</v>
      </c>
      <c r="D58" s="199">
        <v>17249000</v>
      </c>
      <c r="E58" s="199">
        <v>21773000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25817000</v>
      </c>
      <c r="D59" s="199">
        <v>30938000</v>
      </c>
      <c r="E59" s="199">
        <v>20518000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40808000</v>
      </c>
      <c r="D60" s="76">
        <v>48187000</v>
      </c>
      <c r="E60" s="201">
        <v>42291000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3.3763219839884867E-2</v>
      </c>
      <c r="D62" s="202">
        <f>IF(D63=0,0,+D57/D63)</f>
        <v>3.9506066781402248E-2</v>
      </c>
      <c r="E62" s="202">
        <f>IF(E63=0,0,+E57/E63)</f>
        <v>3.1875104520586395E-2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394491000</v>
      </c>
      <c r="D63" s="199">
        <v>398392000</v>
      </c>
      <c r="E63" s="199">
        <v>424794000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1.6349820840160614</v>
      </c>
      <c r="D67" s="203">
        <f>IF(D69=0,0,D68/D69)</f>
        <v>1.4279200217135619</v>
      </c>
      <c r="E67" s="203">
        <f>IF(E69=0,0,E68/E69)</f>
        <v>2.3289825681739731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90802000</v>
      </c>
      <c r="D68" s="204">
        <v>78914000</v>
      </c>
      <c r="E68" s="204">
        <v>107953000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55537000</v>
      </c>
      <c r="D69" s="204">
        <v>55265000</v>
      </c>
      <c r="E69" s="204">
        <v>46352000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3.5616832815554456</v>
      </c>
      <c r="D71" s="203">
        <f>IF((D77/365)=0,0,+D74/(D77/365))</f>
        <v>0.64222355546109289</v>
      </c>
      <c r="E71" s="203">
        <f>IF((E77/365)=0,0,+E74/(E77/365))</f>
        <v>0.48255928742624221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3609000</v>
      </c>
      <c r="D72" s="183">
        <v>654000</v>
      </c>
      <c r="E72" s="183">
        <v>529000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3609000</v>
      </c>
      <c r="D74" s="204">
        <f>+D72+D73</f>
        <v>654000</v>
      </c>
      <c r="E74" s="204">
        <f>+E72+E73</f>
        <v>529000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394491000</v>
      </c>
      <c r="D75" s="204">
        <f>+D14</f>
        <v>398392000</v>
      </c>
      <c r="E75" s="204">
        <f>+E14</f>
        <v>424794000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24642000</v>
      </c>
      <c r="D76" s="204">
        <v>26699000</v>
      </c>
      <c r="E76" s="204">
        <v>24667000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369849000</v>
      </c>
      <c r="D77" s="204">
        <f>+D75-D76</f>
        <v>371693000</v>
      </c>
      <c r="E77" s="204">
        <f>+E75-E76</f>
        <v>400127000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41.479467593046266</v>
      </c>
      <c r="D79" s="203">
        <f>IF((D84/365)=0,0,+D83/(D84/365))</f>
        <v>46.618690237243342</v>
      </c>
      <c r="E79" s="203">
        <f>IF((E84/365)=0,0,+E83/(E84/365))</f>
        <v>45.952956955862994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52068000</v>
      </c>
      <c r="D80" s="212">
        <v>61867000</v>
      </c>
      <c r="E80" s="212">
        <v>60164000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5681000</v>
      </c>
      <c r="D82" s="212">
        <v>10642000</v>
      </c>
      <c r="E82" s="212">
        <v>9476000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46387000</v>
      </c>
      <c r="D83" s="212">
        <f>+D80+D81-D82</f>
        <v>51225000</v>
      </c>
      <c r="E83" s="212">
        <f>+E80+E81-E82</f>
        <v>50688000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408184000</v>
      </c>
      <c r="D84" s="204">
        <f>+D11</f>
        <v>401065000</v>
      </c>
      <c r="E84" s="204">
        <f>+E11</f>
        <v>402610000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54.808867943403925</v>
      </c>
      <c r="D86" s="203">
        <f>IF((D90/365)=0,0,+D87/(D90/365))</f>
        <v>54.269854422870488</v>
      </c>
      <c r="E86" s="203">
        <f>IF((E90/365)=0,0,+E87/(E90/365))</f>
        <v>42.282775218868011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55537000</v>
      </c>
      <c r="D87" s="76">
        <f>+D69</f>
        <v>55265000</v>
      </c>
      <c r="E87" s="76">
        <f>+E69</f>
        <v>46352000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394491000</v>
      </c>
      <c r="D88" s="76">
        <f t="shared" si="0"/>
        <v>398392000</v>
      </c>
      <c r="E88" s="76">
        <f t="shared" si="0"/>
        <v>424794000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24642000</v>
      </c>
      <c r="D89" s="201">
        <f t="shared" si="0"/>
        <v>26699000</v>
      </c>
      <c r="E89" s="201">
        <f t="shared" si="0"/>
        <v>24667000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369849000</v>
      </c>
      <c r="D90" s="76">
        <f>+D88-D89</f>
        <v>371693000</v>
      </c>
      <c r="E90" s="76">
        <f>+E88-E89</f>
        <v>400127000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80.561154028581399</v>
      </c>
      <c r="D94" s="214">
        <f>IF(D96=0,0,(D95/D96)*100)</f>
        <v>80.869126495967464</v>
      </c>
      <c r="E94" s="214">
        <f>IF(E96=0,0,(E95/E96)*100)</f>
        <v>80.994162887831038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538420000</v>
      </c>
      <c r="D95" s="76">
        <f>+D32</f>
        <v>544973000</v>
      </c>
      <c r="E95" s="76">
        <f>+E32</f>
        <v>502440000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668337000</v>
      </c>
      <c r="D96" s="76">
        <v>673895000</v>
      </c>
      <c r="E96" s="76">
        <v>620341000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69.492860049900017</v>
      </c>
      <c r="D98" s="214">
        <f>IF(D104=0,0,(D101/D104)*100)</f>
        <v>64.13374132130842</v>
      </c>
      <c r="E98" s="214">
        <f>IF(E104=0,0,(E101/E104)*100)</f>
        <v>9.4572847453276339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53903000</v>
      </c>
      <c r="D99" s="76">
        <f>+D28</f>
        <v>44982000</v>
      </c>
      <c r="E99" s="76">
        <f>+E28</f>
        <v>-15088000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24642000</v>
      </c>
      <c r="D100" s="201">
        <f>+D76</f>
        <v>26699000</v>
      </c>
      <c r="E100" s="201">
        <f>+E76</f>
        <v>24667000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78545000</v>
      </c>
      <c r="D101" s="76">
        <f>+D99+D100</f>
        <v>71681000</v>
      </c>
      <c r="E101" s="76">
        <f>+E99+E100</f>
        <v>9579000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55537000</v>
      </c>
      <c r="D102" s="204">
        <f>+D69</f>
        <v>55265000</v>
      </c>
      <c r="E102" s="204">
        <f>+E69</f>
        <v>46352000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57489000</v>
      </c>
      <c r="D103" s="216">
        <v>56503000</v>
      </c>
      <c r="E103" s="216">
        <v>54935000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113026000</v>
      </c>
      <c r="D104" s="204">
        <f>+D102+D103</f>
        <v>111768000</v>
      </c>
      <c r="E104" s="204">
        <f>+E102+E103</f>
        <v>101287000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9.64727835961531</v>
      </c>
      <c r="D106" s="214">
        <f>IF(D109=0,0,(D107/D109)*100)</f>
        <v>9.3940572857437363</v>
      </c>
      <c r="E106" s="214">
        <f>IF(E109=0,0,(E107/E109)*100)</f>
        <v>9.856021529490917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57489000</v>
      </c>
      <c r="D107" s="204">
        <f>+D103</f>
        <v>56503000</v>
      </c>
      <c r="E107" s="204">
        <f>+E103</f>
        <v>54935000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538420000</v>
      </c>
      <c r="D108" s="204">
        <f>+D32</f>
        <v>544973000</v>
      </c>
      <c r="E108" s="204">
        <f>+E32</f>
        <v>502440000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595909000</v>
      </c>
      <c r="D109" s="204">
        <f>+D107+D108</f>
        <v>601476000</v>
      </c>
      <c r="E109" s="204">
        <f>+E107+E108</f>
        <v>557375000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33.3632846789749</v>
      </c>
      <c r="D111" s="214">
        <f>IF((+D113+D115)=0,0,((+D112+D113+D114)/(+D113+D115)))</f>
        <v>27.671284759465497</v>
      </c>
      <c r="E111" s="214">
        <f>IF((+E113+E115)=0,0,((+E112+E113+E114)/(+E113+E115)))</f>
        <v>4.3231939163498101</v>
      </c>
    </row>
    <row r="112" spans="1:6" ht="24" customHeight="1" x14ac:dyDescent="0.2">
      <c r="A112" s="85">
        <v>16</v>
      </c>
      <c r="B112" s="75" t="s">
        <v>373</v>
      </c>
      <c r="C112" s="218">
        <f>+C17</f>
        <v>53903000</v>
      </c>
      <c r="D112" s="76">
        <f>+D17</f>
        <v>44982000</v>
      </c>
      <c r="E112" s="76">
        <f>+E17</f>
        <v>-15088000</v>
      </c>
    </row>
    <row r="113" spans="1:8" ht="24" customHeight="1" x14ac:dyDescent="0.2">
      <c r="A113" s="85">
        <v>17</v>
      </c>
      <c r="B113" s="75" t="s">
        <v>88</v>
      </c>
      <c r="C113" s="218">
        <v>1954000</v>
      </c>
      <c r="D113" s="76">
        <v>1818000</v>
      </c>
      <c r="E113" s="76">
        <v>1791000</v>
      </c>
    </row>
    <row r="114" spans="1:8" ht="24" customHeight="1" x14ac:dyDescent="0.2">
      <c r="A114" s="85">
        <v>18</v>
      </c>
      <c r="B114" s="75" t="s">
        <v>374</v>
      </c>
      <c r="C114" s="218">
        <v>24642000</v>
      </c>
      <c r="D114" s="76">
        <v>26699000</v>
      </c>
      <c r="E114" s="76">
        <v>24667000</v>
      </c>
    </row>
    <row r="115" spans="1:8" ht="24" customHeight="1" x14ac:dyDescent="0.2">
      <c r="A115" s="85">
        <v>19</v>
      </c>
      <c r="B115" s="75" t="s">
        <v>104</v>
      </c>
      <c r="C115" s="218">
        <v>458802</v>
      </c>
      <c r="D115" s="76">
        <v>838147</v>
      </c>
      <c r="E115" s="76">
        <v>839000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9.6378134891648397</v>
      </c>
      <c r="D119" s="214">
        <f>IF(+D121=0,0,(+D120)/(+D121))</f>
        <v>9.6740327353084385</v>
      </c>
      <c r="E119" s="214">
        <f>IF(+E121=0,0,(+E120)/(+E121))</f>
        <v>11.220253780354319</v>
      </c>
    </row>
    <row r="120" spans="1:8" ht="24" customHeight="1" x14ac:dyDescent="0.2">
      <c r="A120" s="85">
        <v>21</v>
      </c>
      <c r="B120" s="75" t="s">
        <v>378</v>
      </c>
      <c r="C120" s="218">
        <v>237495000</v>
      </c>
      <c r="D120" s="218">
        <v>258287000</v>
      </c>
      <c r="E120" s="218">
        <v>276770000</v>
      </c>
    </row>
    <row r="121" spans="1:8" ht="24" customHeight="1" x14ac:dyDescent="0.2">
      <c r="A121" s="85">
        <v>22</v>
      </c>
      <c r="B121" s="75" t="s">
        <v>374</v>
      </c>
      <c r="C121" s="218">
        <v>24642000</v>
      </c>
      <c r="D121" s="218">
        <v>26699000</v>
      </c>
      <c r="E121" s="218">
        <v>24667000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120574</v>
      </c>
      <c r="D124" s="218">
        <v>110756</v>
      </c>
      <c r="E124" s="218">
        <v>111145</v>
      </c>
    </row>
    <row r="125" spans="1:8" ht="24" customHeight="1" x14ac:dyDescent="0.2">
      <c r="A125" s="85">
        <v>2</v>
      </c>
      <c r="B125" s="75" t="s">
        <v>381</v>
      </c>
      <c r="C125" s="218">
        <v>20324</v>
      </c>
      <c r="D125" s="218">
        <v>18711</v>
      </c>
      <c r="E125" s="218">
        <v>18308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5.9325920094469593</v>
      </c>
      <c r="D126" s="219">
        <f>IF(D125=0,0,D124/D125)</f>
        <v>5.9192988081876967</v>
      </c>
      <c r="E126" s="219">
        <f>IF(E125=0,0,E124/E125)</f>
        <v>6.0708433471706362</v>
      </c>
    </row>
    <row r="127" spans="1:8" ht="24" customHeight="1" x14ac:dyDescent="0.2">
      <c r="A127" s="85">
        <v>4</v>
      </c>
      <c r="B127" s="75" t="s">
        <v>383</v>
      </c>
      <c r="C127" s="218">
        <v>424</v>
      </c>
      <c r="D127" s="218">
        <v>424</v>
      </c>
      <c r="E127" s="218">
        <v>424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446</v>
      </c>
      <c r="E128" s="218">
        <v>446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446</v>
      </c>
      <c r="D129" s="218">
        <v>520</v>
      </c>
      <c r="E129" s="218">
        <v>520</v>
      </c>
    </row>
    <row r="130" spans="1:7" ht="24" customHeight="1" x14ac:dyDescent="0.2">
      <c r="A130" s="85">
        <v>7</v>
      </c>
      <c r="B130" s="75" t="s">
        <v>386</v>
      </c>
      <c r="C130" s="193">
        <v>0.77910000000000001</v>
      </c>
      <c r="D130" s="193">
        <v>0.71560000000000001</v>
      </c>
      <c r="E130" s="193">
        <v>0.71809999999999996</v>
      </c>
    </row>
    <row r="131" spans="1:7" ht="24" customHeight="1" x14ac:dyDescent="0.2">
      <c r="A131" s="85">
        <v>8</v>
      </c>
      <c r="B131" s="75" t="s">
        <v>387</v>
      </c>
      <c r="C131" s="193">
        <v>0.74060000000000004</v>
      </c>
      <c r="D131" s="193">
        <v>0.68030000000000002</v>
      </c>
      <c r="E131" s="193">
        <v>0.68269999999999997</v>
      </c>
    </row>
    <row r="132" spans="1:7" ht="24" customHeight="1" x14ac:dyDescent="0.2">
      <c r="A132" s="85">
        <v>9</v>
      </c>
      <c r="B132" s="75" t="s">
        <v>388</v>
      </c>
      <c r="C132" s="219">
        <v>2263.1999999999998</v>
      </c>
      <c r="D132" s="219">
        <v>2281.8000000000002</v>
      </c>
      <c r="E132" s="219">
        <v>2183.5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0.26555410670382779</v>
      </c>
      <c r="D135" s="227">
        <f>IF(D149=0,0,D143/D149)</f>
        <v>0.27418524893927948</v>
      </c>
      <c r="E135" s="227">
        <f>IF(E149=0,0,E143/E149)</f>
        <v>0.27221571710717363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0.48212185606703839</v>
      </c>
      <c r="D136" s="227">
        <f>IF(D149=0,0,D144/D149)</f>
        <v>0.47818170103831314</v>
      </c>
      <c r="E136" s="227">
        <f>IF(E149=0,0,E144/E149)</f>
        <v>0.46866475720666051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0.20245640229961109</v>
      </c>
      <c r="D137" s="227">
        <f>IF(D149=0,0,D145/D149)</f>
        <v>0.2040079308160479</v>
      </c>
      <c r="E137" s="227">
        <f>IF(E149=0,0,E145/E149)</f>
        <v>0.2161707654556527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1.7101650044545104E-3</v>
      </c>
      <c r="D138" s="227">
        <f>IF(D149=0,0,D146/D149)</f>
        <v>9.1776862627992116E-4</v>
      </c>
      <c r="E138" s="227">
        <f>IF(E149=0,0,E146/E149)</f>
        <v>2.9605518105466338E-3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4.7292068273307702E-2</v>
      </c>
      <c r="D139" s="227">
        <f>IF(D149=0,0,D147/D149)</f>
        <v>4.2039430023422655E-2</v>
      </c>
      <c r="E139" s="227">
        <f>IF(E149=0,0,E147/E149)</f>
        <v>3.9388815095182245E-2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8.6540165176050463E-4</v>
      </c>
      <c r="D140" s="227">
        <f>IF(D149=0,0,D148/D149)</f>
        <v>6.6792055665686222E-4</v>
      </c>
      <c r="E140" s="227">
        <f>IF(E149=0,0,E148/E149)</f>
        <v>5.9939332478430767E-4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316722532</v>
      </c>
      <c r="D143" s="229">
        <f>+D46-D147</f>
        <v>328772437</v>
      </c>
      <c r="E143" s="229">
        <f>+E46-E147</f>
        <v>355582902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575019746</v>
      </c>
      <c r="D144" s="229">
        <f>+D51</f>
        <v>573382280</v>
      </c>
      <c r="E144" s="229">
        <f>+E51</f>
        <v>612195270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241466815</v>
      </c>
      <c r="D145" s="229">
        <f>+D55</f>
        <v>244623607</v>
      </c>
      <c r="E145" s="229">
        <f>+E55</f>
        <v>282373953</v>
      </c>
    </row>
    <row r="146" spans="1:7" ht="20.100000000000001" customHeight="1" x14ac:dyDescent="0.2">
      <c r="A146" s="226">
        <v>11</v>
      </c>
      <c r="B146" s="224" t="s">
        <v>400</v>
      </c>
      <c r="C146" s="228">
        <v>2039689</v>
      </c>
      <c r="D146" s="229">
        <v>1100486</v>
      </c>
      <c r="E146" s="229">
        <v>3867233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56404564</v>
      </c>
      <c r="D147" s="229">
        <f>+D47</f>
        <v>50409006</v>
      </c>
      <c r="E147" s="229">
        <f>+E47</f>
        <v>51451802</v>
      </c>
    </row>
    <row r="148" spans="1:7" ht="20.100000000000001" customHeight="1" x14ac:dyDescent="0.2">
      <c r="A148" s="226">
        <v>13</v>
      </c>
      <c r="B148" s="224" t="s">
        <v>402</v>
      </c>
      <c r="C148" s="230">
        <v>1032152</v>
      </c>
      <c r="D148" s="229">
        <v>800896</v>
      </c>
      <c r="E148" s="229">
        <v>782960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1192685498</v>
      </c>
      <c r="D149" s="229">
        <f>SUM(D143:D148)</f>
        <v>1199088712</v>
      </c>
      <c r="E149" s="229">
        <f>SUM(E143:E148)</f>
        <v>1306254120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0.45328247524865367</v>
      </c>
      <c r="D152" s="227">
        <f>IF(D166=0,0,D160/D166)</f>
        <v>0.45044087747029438</v>
      </c>
      <c r="E152" s="227">
        <f>IF(E166=0,0,E160/E166)</f>
        <v>0.44305239676228142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0.39664850599079199</v>
      </c>
      <c r="D153" s="227">
        <f>IF(D166=0,0,D161/D166)</f>
        <v>0.38872229960043253</v>
      </c>
      <c r="E153" s="227">
        <f>IF(E166=0,0,E161/E166)</f>
        <v>0.37230127844494448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0.13940467240083473</v>
      </c>
      <c r="D154" s="227">
        <f>IF(D166=0,0,D162/D166)</f>
        <v>0.14976745213683529</v>
      </c>
      <c r="E154" s="227">
        <f>IF(E166=0,0,E162/E166)</f>
        <v>0.15990941995330321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1.7309139754401487E-3</v>
      </c>
      <c r="D155" s="227">
        <f>IF(D166=0,0,D163/D166)</f>
        <v>4.1626864525318906E-4</v>
      </c>
      <c r="E155" s="227">
        <f>IF(E166=0,0,E163/E166)</f>
        <v>6.4379303557181766E-4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8.5565469918130709E-3</v>
      </c>
      <c r="D156" s="227">
        <f>IF(D166=0,0,D164/D166)</f>
        <v>1.0038953476750007E-2</v>
      </c>
      <c r="E156" s="227">
        <f>IF(E166=0,0,E164/E166)</f>
        <v>2.3417307635277884E-2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3.7688539246640029E-4</v>
      </c>
      <c r="D157" s="227">
        <f>IF(D166=0,0,D165/D166)</f>
        <v>6.1414867043461702E-4</v>
      </c>
      <c r="E157" s="227">
        <f>IF(E166=0,0,E165/E166)</f>
        <v>6.7580416862115177E-4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183624403</v>
      </c>
      <c r="D160" s="229">
        <f>+D44-D164</f>
        <v>181528470</v>
      </c>
      <c r="E160" s="229">
        <f>+E44-E164</f>
        <v>173975992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160682023</v>
      </c>
      <c r="D161" s="229">
        <f>+D50</f>
        <v>156655774</v>
      </c>
      <c r="E161" s="229">
        <f>+E50</f>
        <v>146193734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56472732</v>
      </c>
      <c r="D162" s="229">
        <f>+D54</f>
        <v>60356548</v>
      </c>
      <c r="E162" s="229">
        <f>+E54</f>
        <v>62792573</v>
      </c>
    </row>
    <row r="163" spans="1:6" ht="20.100000000000001" customHeight="1" x14ac:dyDescent="0.2">
      <c r="A163" s="226">
        <v>11</v>
      </c>
      <c r="B163" s="224" t="s">
        <v>415</v>
      </c>
      <c r="C163" s="228">
        <v>701192</v>
      </c>
      <c r="D163" s="229">
        <v>167757</v>
      </c>
      <c r="E163" s="229">
        <v>252802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3466251</v>
      </c>
      <c r="D164" s="229">
        <f>+D45</f>
        <v>4045716</v>
      </c>
      <c r="E164" s="229">
        <f>+E45</f>
        <v>9195412</v>
      </c>
    </row>
    <row r="165" spans="1:6" ht="20.100000000000001" customHeight="1" x14ac:dyDescent="0.2">
      <c r="A165" s="226">
        <v>13</v>
      </c>
      <c r="B165" s="224" t="s">
        <v>417</v>
      </c>
      <c r="C165" s="230">
        <v>152676</v>
      </c>
      <c r="D165" s="229">
        <v>247503</v>
      </c>
      <c r="E165" s="229">
        <v>265372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405099277</v>
      </c>
      <c r="D166" s="229">
        <f>SUM(D160:D165)</f>
        <v>403001768</v>
      </c>
      <c r="E166" s="229">
        <f>SUM(E160:E165)</f>
        <v>392675885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6023</v>
      </c>
      <c r="D169" s="218">
        <v>5420</v>
      </c>
      <c r="E169" s="218">
        <v>5278</v>
      </c>
    </row>
    <row r="170" spans="1:6" ht="20.100000000000001" customHeight="1" x14ac:dyDescent="0.2">
      <c r="A170" s="226">
        <v>2</v>
      </c>
      <c r="B170" s="224" t="s">
        <v>420</v>
      </c>
      <c r="C170" s="218">
        <v>9550</v>
      </c>
      <c r="D170" s="218">
        <v>8674</v>
      </c>
      <c r="E170" s="218">
        <v>8262</v>
      </c>
    </row>
    <row r="171" spans="1:6" ht="20.100000000000001" customHeight="1" x14ac:dyDescent="0.2">
      <c r="A171" s="226">
        <v>3</v>
      </c>
      <c r="B171" s="224" t="s">
        <v>421</v>
      </c>
      <c r="C171" s="218">
        <v>4721</v>
      </c>
      <c r="D171" s="218">
        <v>4589</v>
      </c>
      <c r="E171" s="218">
        <v>4749</v>
      </c>
    </row>
    <row r="172" spans="1:6" ht="20.100000000000001" customHeight="1" x14ac:dyDescent="0.2">
      <c r="A172" s="226">
        <v>4</v>
      </c>
      <c r="B172" s="224" t="s">
        <v>422</v>
      </c>
      <c r="C172" s="218">
        <v>4685</v>
      </c>
      <c r="D172" s="218">
        <v>4548</v>
      </c>
      <c r="E172" s="218">
        <v>4699</v>
      </c>
    </row>
    <row r="173" spans="1:6" ht="20.100000000000001" customHeight="1" x14ac:dyDescent="0.2">
      <c r="A173" s="226">
        <v>5</v>
      </c>
      <c r="B173" s="224" t="s">
        <v>423</v>
      </c>
      <c r="C173" s="218">
        <v>36</v>
      </c>
      <c r="D173" s="218">
        <v>41</v>
      </c>
      <c r="E173" s="218">
        <v>50</v>
      </c>
    </row>
    <row r="174" spans="1:6" ht="20.100000000000001" customHeight="1" x14ac:dyDescent="0.2">
      <c r="A174" s="226">
        <v>6</v>
      </c>
      <c r="B174" s="224" t="s">
        <v>424</v>
      </c>
      <c r="C174" s="218">
        <v>30</v>
      </c>
      <c r="D174" s="218">
        <v>28</v>
      </c>
      <c r="E174" s="218">
        <v>19</v>
      </c>
    </row>
    <row r="175" spans="1:6" ht="20.100000000000001" customHeight="1" x14ac:dyDescent="0.2">
      <c r="A175" s="226">
        <v>7</v>
      </c>
      <c r="B175" s="224" t="s">
        <v>425</v>
      </c>
      <c r="C175" s="218">
        <v>793</v>
      </c>
      <c r="D175" s="218">
        <v>584</v>
      </c>
      <c r="E175" s="218">
        <v>521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20324</v>
      </c>
      <c r="D176" s="218">
        <f>+D169+D170+D171+D174</f>
        <v>18711</v>
      </c>
      <c r="E176" s="218">
        <f>+E169+E170+E171+E174</f>
        <v>18308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1.2766</v>
      </c>
      <c r="D179" s="231">
        <v>1.3435999999999999</v>
      </c>
      <c r="E179" s="231">
        <v>1.4165000000000001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1.5337000000000001</v>
      </c>
      <c r="D180" s="231">
        <v>1.5561</v>
      </c>
      <c r="E180" s="231">
        <v>1.5427</v>
      </c>
    </row>
    <row r="181" spans="1:6" ht="20.100000000000001" customHeight="1" x14ac:dyDescent="0.2">
      <c r="A181" s="226">
        <v>3</v>
      </c>
      <c r="B181" s="224" t="s">
        <v>421</v>
      </c>
      <c r="C181" s="231">
        <v>1.039231</v>
      </c>
      <c r="D181" s="231">
        <v>1.076314</v>
      </c>
      <c r="E181" s="231">
        <v>1.1376470000000001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1.04</v>
      </c>
      <c r="D182" s="231">
        <v>1.0742</v>
      </c>
      <c r="E182" s="231">
        <v>1.1379999999999999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0.93920000000000003</v>
      </c>
      <c r="D183" s="231">
        <v>1.3109</v>
      </c>
      <c r="E183" s="231">
        <v>1.1045</v>
      </c>
    </row>
    <row r="184" spans="1:6" ht="20.100000000000001" customHeight="1" x14ac:dyDescent="0.2">
      <c r="A184" s="226">
        <v>6</v>
      </c>
      <c r="B184" s="224" t="s">
        <v>424</v>
      </c>
      <c r="C184" s="231">
        <v>0.99129999999999996</v>
      </c>
      <c r="D184" s="231">
        <v>0.84150000000000003</v>
      </c>
      <c r="E184" s="231">
        <v>1.0709</v>
      </c>
    </row>
    <row r="185" spans="1:6" ht="20.100000000000001" customHeight="1" x14ac:dyDescent="0.2">
      <c r="A185" s="226">
        <v>7</v>
      </c>
      <c r="B185" s="224" t="s">
        <v>425</v>
      </c>
      <c r="C185" s="231">
        <v>1.0913999999999999</v>
      </c>
      <c r="D185" s="231">
        <v>1.1977</v>
      </c>
      <c r="E185" s="231">
        <v>1.2241</v>
      </c>
    </row>
    <row r="186" spans="1:6" ht="20.100000000000001" customHeight="1" x14ac:dyDescent="0.2">
      <c r="A186" s="226">
        <v>8</v>
      </c>
      <c r="B186" s="224" t="s">
        <v>429</v>
      </c>
      <c r="C186" s="231">
        <v>1.3418490000000001</v>
      </c>
      <c r="D186" s="231">
        <v>1.3758049999999999</v>
      </c>
      <c r="E186" s="231">
        <v>1.4007590000000001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14293</v>
      </c>
      <c r="D189" s="218">
        <v>13155</v>
      </c>
      <c r="E189" s="218">
        <v>11960</v>
      </c>
    </row>
    <row r="190" spans="1:6" ht="20.100000000000001" customHeight="1" x14ac:dyDescent="0.2">
      <c r="A190" s="226">
        <v>2</v>
      </c>
      <c r="B190" s="224" t="s">
        <v>433</v>
      </c>
      <c r="C190" s="218">
        <v>64264</v>
      </c>
      <c r="D190" s="218">
        <v>57689</v>
      </c>
      <c r="E190" s="218">
        <v>54306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78557</v>
      </c>
      <c r="D191" s="218">
        <f>+D190+D189</f>
        <v>70844</v>
      </c>
      <c r="E191" s="218">
        <f>+E190+E189</f>
        <v>66266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r:id="rId1"/>
  <headerFooter>
    <oddHeader>&amp;LOFFICE OF HEALTH CARE ACCESS&amp;CTWELVE MONTHS ACTUAL FILING&amp;RSAINT VINCENT`S MEDICAL CENTER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tabSelected="1" zoomScale="75" workbookViewId="0">
      <selection activeCell="M14" sqref="M14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2410637</v>
      </c>
      <c r="D14" s="258">
        <v>1899154</v>
      </c>
      <c r="E14" s="258">
        <f t="shared" ref="E14:E24" si="0">D14-C14</f>
        <v>-511483</v>
      </c>
      <c r="F14" s="259">
        <f t="shared" ref="F14:F24" si="1">IF(C14=0,0,E14/C14)</f>
        <v>-0.21217752818031085</v>
      </c>
    </row>
    <row r="15" spans="1:7" ht="20.25" customHeight="1" x14ac:dyDescent="0.3">
      <c r="A15" s="256">
        <v>2</v>
      </c>
      <c r="B15" s="257" t="s">
        <v>442</v>
      </c>
      <c r="C15" s="258">
        <v>665365</v>
      </c>
      <c r="D15" s="258">
        <v>624406</v>
      </c>
      <c r="E15" s="258">
        <f t="shared" si="0"/>
        <v>-40959</v>
      </c>
      <c r="F15" s="259">
        <f t="shared" si="1"/>
        <v>-6.155869334876346E-2</v>
      </c>
    </row>
    <row r="16" spans="1:7" ht="20.25" customHeight="1" x14ac:dyDescent="0.3">
      <c r="A16" s="256">
        <v>3</v>
      </c>
      <c r="B16" s="257" t="s">
        <v>443</v>
      </c>
      <c r="C16" s="258">
        <v>760978</v>
      </c>
      <c r="D16" s="258">
        <v>1537725</v>
      </c>
      <c r="E16" s="258">
        <f t="shared" si="0"/>
        <v>776747</v>
      </c>
      <c r="F16" s="259">
        <f t="shared" si="1"/>
        <v>1.0207220182449428</v>
      </c>
    </row>
    <row r="17" spans="1:6" ht="20.25" customHeight="1" x14ac:dyDescent="0.3">
      <c r="A17" s="256">
        <v>4</v>
      </c>
      <c r="B17" s="257" t="s">
        <v>444</v>
      </c>
      <c r="C17" s="258">
        <v>239375</v>
      </c>
      <c r="D17" s="258">
        <v>540494</v>
      </c>
      <c r="E17" s="258">
        <f t="shared" si="0"/>
        <v>301119</v>
      </c>
      <c r="F17" s="259">
        <f t="shared" si="1"/>
        <v>1.2579383812010443</v>
      </c>
    </row>
    <row r="18" spans="1:6" ht="20.25" customHeight="1" x14ac:dyDescent="0.3">
      <c r="A18" s="256">
        <v>5</v>
      </c>
      <c r="B18" s="257" t="s">
        <v>381</v>
      </c>
      <c r="C18" s="260">
        <v>57</v>
      </c>
      <c r="D18" s="260">
        <v>34</v>
      </c>
      <c r="E18" s="260">
        <f t="shared" si="0"/>
        <v>-23</v>
      </c>
      <c r="F18" s="259">
        <f t="shared" si="1"/>
        <v>-0.40350877192982454</v>
      </c>
    </row>
    <row r="19" spans="1:6" ht="20.25" customHeight="1" x14ac:dyDescent="0.3">
      <c r="A19" s="256">
        <v>6</v>
      </c>
      <c r="B19" s="257" t="s">
        <v>380</v>
      </c>
      <c r="C19" s="260">
        <v>331</v>
      </c>
      <c r="D19" s="260">
        <v>221</v>
      </c>
      <c r="E19" s="260">
        <f t="shared" si="0"/>
        <v>-110</v>
      </c>
      <c r="F19" s="259">
        <f t="shared" si="1"/>
        <v>-0.33232628398791542</v>
      </c>
    </row>
    <row r="20" spans="1:6" ht="20.25" customHeight="1" x14ac:dyDescent="0.3">
      <c r="A20" s="256">
        <v>7</v>
      </c>
      <c r="B20" s="257" t="s">
        <v>445</v>
      </c>
      <c r="C20" s="260">
        <v>474</v>
      </c>
      <c r="D20" s="260">
        <v>171</v>
      </c>
      <c r="E20" s="260">
        <f t="shared" si="0"/>
        <v>-303</v>
      </c>
      <c r="F20" s="259">
        <f t="shared" si="1"/>
        <v>-0.63924050632911389</v>
      </c>
    </row>
    <row r="21" spans="1:6" ht="20.25" customHeight="1" x14ac:dyDescent="0.3">
      <c r="A21" s="256">
        <v>8</v>
      </c>
      <c r="B21" s="257" t="s">
        <v>446</v>
      </c>
      <c r="C21" s="260">
        <v>59</v>
      </c>
      <c r="D21" s="260">
        <v>51</v>
      </c>
      <c r="E21" s="260">
        <f t="shared" si="0"/>
        <v>-8</v>
      </c>
      <c r="F21" s="259">
        <f t="shared" si="1"/>
        <v>-0.13559322033898305</v>
      </c>
    </row>
    <row r="22" spans="1:6" ht="20.25" customHeight="1" x14ac:dyDescent="0.3">
      <c r="A22" s="256">
        <v>9</v>
      </c>
      <c r="B22" s="257" t="s">
        <v>447</v>
      </c>
      <c r="C22" s="260">
        <v>42</v>
      </c>
      <c r="D22" s="260">
        <v>26</v>
      </c>
      <c r="E22" s="260">
        <f t="shared" si="0"/>
        <v>-16</v>
      </c>
      <c r="F22" s="259">
        <f t="shared" si="1"/>
        <v>-0.38095238095238093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3171615</v>
      </c>
      <c r="D23" s="263">
        <f>+D14+D16</f>
        <v>3436879</v>
      </c>
      <c r="E23" s="263">
        <f t="shared" si="0"/>
        <v>265264</v>
      </c>
      <c r="F23" s="264">
        <f t="shared" si="1"/>
        <v>8.3636885309219436E-2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904740</v>
      </c>
      <c r="D24" s="263">
        <f>+D15+D17</f>
        <v>1164900</v>
      </c>
      <c r="E24" s="263">
        <f t="shared" si="0"/>
        <v>260160</v>
      </c>
      <c r="F24" s="264">
        <f t="shared" si="1"/>
        <v>0.287552224948604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150181</v>
      </c>
      <c r="E27" s="258">
        <f t="shared" ref="E27:E37" si="2">D27-C27</f>
        <v>150181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116957</v>
      </c>
      <c r="E28" s="258">
        <f t="shared" si="2"/>
        <v>116957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14726</v>
      </c>
      <c r="E29" s="258">
        <f t="shared" si="2"/>
        <v>14726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9246</v>
      </c>
      <c r="E30" s="258">
        <f t="shared" si="2"/>
        <v>9246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2</v>
      </c>
      <c r="E31" s="260">
        <f t="shared" si="2"/>
        <v>2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18</v>
      </c>
      <c r="E32" s="260">
        <f t="shared" si="2"/>
        <v>18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5</v>
      </c>
      <c r="E33" s="260">
        <f t="shared" si="2"/>
        <v>5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1</v>
      </c>
      <c r="E35" s="260">
        <f t="shared" si="2"/>
        <v>1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164907</v>
      </c>
      <c r="E36" s="263">
        <f t="shared" si="2"/>
        <v>164907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126203</v>
      </c>
      <c r="E37" s="263">
        <f t="shared" si="2"/>
        <v>126203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24855573</v>
      </c>
      <c r="D40" s="258">
        <v>31590361</v>
      </c>
      <c r="E40" s="258">
        <f t="shared" ref="E40:E50" si="4">D40-C40</f>
        <v>6734788</v>
      </c>
      <c r="F40" s="259">
        <f t="shared" ref="F40:F50" si="5">IF(C40=0,0,E40/C40)</f>
        <v>0.27095685945361225</v>
      </c>
    </row>
    <row r="41" spans="1:6" ht="20.25" customHeight="1" x14ac:dyDescent="0.3">
      <c r="A41" s="256">
        <v>2</v>
      </c>
      <c r="B41" s="257" t="s">
        <v>442</v>
      </c>
      <c r="C41" s="258">
        <v>6307397</v>
      </c>
      <c r="D41" s="258">
        <v>7097225</v>
      </c>
      <c r="E41" s="258">
        <f t="shared" si="4"/>
        <v>789828</v>
      </c>
      <c r="F41" s="259">
        <f t="shared" si="5"/>
        <v>0.12522249669713195</v>
      </c>
    </row>
    <row r="42" spans="1:6" ht="20.25" customHeight="1" x14ac:dyDescent="0.3">
      <c r="A42" s="256">
        <v>3</v>
      </c>
      <c r="B42" s="257" t="s">
        <v>443</v>
      </c>
      <c r="C42" s="258">
        <v>10436568</v>
      </c>
      <c r="D42" s="258">
        <v>13802838</v>
      </c>
      <c r="E42" s="258">
        <f t="shared" si="4"/>
        <v>3366270</v>
      </c>
      <c r="F42" s="259">
        <f t="shared" si="5"/>
        <v>0.32254568743288026</v>
      </c>
    </row>
    <row r="43" spans="1:6" ht="20.25" customHeight="1" x14ac:dyDescent="0.3">
      <c r="A43" s="256">
        <v>4</v>
      </c>
      <c r="B43" s="257" t="s">
        <v>444</v>
      </c>
      <c r="C43" s="258">
        <v>2228713</v>
      </c>
      <c r="D43" s="258">
        <v>3719544</v>
      </c>
      <c r="E43" s="258">
        <f t="shared" si="4"/>
        <v>1490831</v>
      </c>
      <c r="F43" s="259">
        <f t="shared" si="5"/>
        <v>0.66892013462478117</v>
      </c>
    </row>
    <row r="44" spans="1:6" ht="20.25" customHeight="1" x14ac:dyDescent="0.3">
      <c r="A44" s="256">
        <v>5</v>
      </c>
      <c r="B44" s="257" t="s">
        <v>381</v>
      </c>
      <c r="C44" s="260">
        <v>517</v>
      </c>
      <c r="D44" s="260">
        <v>568</v>
      </c>
      <c r="E44" s="260">
        <f t="shared" si="4"/>
        <v>51</v>
      </c>
      <c r="F44" s="259">
        <f t="shared" si="5"/>
        <v>9.8646034816247577E-2</v>
      </c>
    </row>
    <row r="45" spans="1:6" ht="20.25" customHeight="1" x14ac:dyDescent="0.3">
      <c r="A45" s="256">
        <v>6</v>
      </c>
      <c r="B45" s="257" t="s">
        <v>380</v>
      </c>
      <c r="C45" s="260">
        <v>3040</v>
      </c>
      <c r="D45" s="260">
        <v>3097</v>
      </c>
      <c r="E45" s="260">
        <f t="shared" si="4"/>
        <v>57</v>
      </c>
      <c r="F45" s="259">
        <f t="shared" si="5"/>
        <v>1.8749999999999999E-2</v>
      </c>
    </row>
    <row r="46" spans="1:6" ht="20.25" customHeight="1" x14ac:dyDescent="0.3">
      <c r="A46" s="256">
        <v>7</v>
      </c>
      <c r="B46" s="257" t="s">
        <v>445</v>
      </c>
      <c r="C46" s="260">
        <v>3757</v>
      </c>
      <c r="D46" s="260">
        <v>2211</v>
      </c>
      <c r="E46" s="260">
        <f t="shared" si="4"/>
        <v>-1546</v>
      </c>
      <c r="F46" s="259">
        <f t="shared" si="5"/>
        <v>-0.41149853606601011</v>
      </c>
    </row>
    <row r="47" spans="1:6" ht="20.25" customHeight="1" x14ac:dyDescent="0.3">
      <c r="A47" s="256">
        <v>8</v>
      </c>
      <c r="B47" s="257" t="s">
        <v>446</v>
      </c>
      <c r="C47" s="260">
        <v>502</v>
      </c>
      <c r="D47" s="260">
        <v>568</v>
      </c>
      <c r="E47" s="260">
        <f t="shared" si="4"/>
        <v>66</v>
      </c>
      <c r="F47" s="259">
        <f t="shared" si="5"/>
        <v>0.13147410358565736</v>
      </c>
    </row>
    <row r="48" spans="1:6" ht="20.25" customHeight="1" x14ac:dyDescent="0.3">
      <c r="A48" s="256">
        <v>9</v>
      </c>
      <c r="B48" s="257" t="s">
        <v>447</v>
      </c>
      <c r="C48" s="260">
        <v>407</v>
      </c>
      <c r="D48" s="260">
        <v>446</v>
      </c>
      <c r="E48" s="260">
        <f t="shared" si="4"/>
        <v>39</v>
      </c>
      <c r="F48" s="259">
        <f t="shared" si="5"/>
        <v>9.5823095823095825E-2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35292141</v>
      </c>
      <c r="D49" s="263">
        <f>+D40+D42</f>
        <v>45393199</v>
      </c>
      <c r="E49" s="263">
        <f t="shared" si="4"/>
        <v>10101058</v>
      </c>
      <c r="F49" s="264">
        <f t="shared" si="5"/>
        <v>0.28621267267406647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8536110</v>
      </c>
      <c r="D50" s="263">
        <f>+D41+D43</f>
        <v>10816769</v>
      </c>
      <c r="E50" s="263">
        <f t="shared" si="4"/>
        <v>2280659</v>
      </c>
      <c r="F50" s="264">
        <f t="shared" si="5"/>
        <v>0.26717778941461628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62450</v>
      </c>
      <c r="D66" s="258">
        <v>1574147</v>
      </c>
      <c r="E66" s="258">
        <f t="shared" ref="E66:E76" si="8">D66-C66</f>
        <v>1511697</v>
      </c>
      <c r="F66" s="259">
        <f t="shared" ref="F66:F76" si="9">IF(C66=0,0,E66/C66)</f>
        <v>24.206517213771019</v>
      </c>
    </row>
    <row r="67" spans="1:6" ht="20.25" customHeight="1" x14ac:dyDescent="0.3">
      <c r="A67" s="256">
        <v>2</v>
      </c>
      <c r="B67" s="257" t="s">
        <v>442</v>
      </c>
      <c r="C67" s="258">
        <v>24962</v>
      </c>
      <c r="D67" s="258">
        <v>1011066</v>
      </c>
      <c r="E67" s="258">
        <f t="shared" si="8"/>
        <v>986104</v>
      </c>
      <c r="F67" s="259">
        <f t="shared" si="9"/>
        <v>39.504206393718455</v>
      </c>
    </row>
    <row r="68" spans="1:6" ht="20.25" customHeight="1" x14ac:dyDescent="0.3">
      <c r="A68" s="256">
        <v>3</v>
      </c>
      <c r="B68" s="257" t="s">
        <v>443</v>
      </c>
      <c r="C68" s="258">
        <v>155619</v>
      </c>
      <c r="D68" s="258">
        <v>283880</v>
      </c>
      <c r="E68" s="258">
        <f t="shared" si="8"/>
        <v>128261</v>
      </c>
      <c r="F68" s="259">
        <f t="shared" si="9"/>
        <v>0.82419884461408954</v>
      </c>
    </row>
    <row r="69" spans="1:6" ht="20.25" customHeight="1" x14ac:dyDescent="0.3">
      <c r="A69" s="256">
        <v>4</v>
      </c>
      <c r="B69" s="257" t="s">
        <v>444</v>
      </c>
      <c r="C69" s="258">
        <v>30540</v>
      </c>
      <c r="D69" s="258">
        <v>128521</v>
      </c>
      <c r="E69" s="258">
        <f t="shared" si="8"/>
        <v>97981</v>
      </c>
      <c r="F69" s="259">
        <f t="shared" si="9"/>
        <v>3.2082842174197772</v>
      </c>
    </row>
    <row r="70" spans="1:6" ht="20.25" customHeight="1" x14ac:dyDescent="0.3">
      <c r="A70" s="256">
        <v>5</v>
      </c>
      <c r="B70" s="257" t="s">
        <v>381</v>
      </c>
      <c r="C70" s="260">
        <v>10</v>
      </c>
      <c r="D70" s="260">
        <v>24</v>
      </c>
      <c r="E70" s="260">
        <f t="shared" si="8"/>
        <v>14</v>
      </c>
      <c r="F70" s="259">
        <f t="shared" si="9"/>
        <v>1.4</v>
      </c>
    </row>
    <row r="71" spans="1:6" ht="20.25" customHeight="1" x14ac:dyDescent="0.3">
      <c r="A71" s="256">
        <v>6</v>
      </c>
      <c r="B71" s="257" t="s">
        <v>380</v>
      </c>
      <c r="C71" s="260">
        <v>52</v>
      </c>
      <c r="D71" s="260">
        <v>210</v>
      </c>
      <c r="E71" s="260">
        <f t="shared" si="8"/>
        <v>158</v>
      </c>
      <c r="F71" s="259">
        <f t="shared" si="9"/>
        <v>3.0384615384615383</v>
      </c>
    </row>
    <row r="72" spans="1:6" ht="20.25" customHeight="1" x14ac:dyDescent="0.3">
      <c r="A72" s="256">
        <v>7</v>
      </c>
      <c r="B72" s="257" t="s">
        <v>445</v>
      </c>
      <c r="C72" s="260">
        <v>498</v>
      </c>
      <c r="D72" s="260">
        <v>65</v>
      </c>
      <c r="E72" s="260">
        <f t="shared" si="8"/>
        <v>-433</v>
      </c>
      <c r="F72" s="259">
        <f t="shared" si="9"/>
        <v>-0.86947791164658639</v>
      </c>
    </row>
    <row r="73" spans="1:6" ht="20.25" customHeight="1" x14ac:dyDescent="0.3">
      <c r="A73" s="256">
        <v>8</v>
      </c>
      <c r="B73" s="257" t="s">
        <v>446</v>
      </c>
      <c r="C73" s="260">
        <v>51</v>
      </c>
      <c r="D73" s="260">
        <v>33</v>
      </c>
      <c r="E73" s="260">
        <f t="shared" si="8"/>
        <v>-18</v>
      </c>
      <c r="F73" s="259">
        <f t="shared" si="9"/>
        <v>-0.35294117647058826</v>
      </c>
    </row>
    <row r="74" spans="1:6" ht="20.25" customHeight="1" x14ac:dyDescent="0.3">
      <c r="A74" s="256">
        <v>9</v>
      </c>
      <c r="B74" s="257" t="s">
        <v>447</v>
      </c>
      <c r="C74" s="260">
        <v>40</v>
      </c>
      <c r="D74" s="260">
        <v>22</v>
      </c>
      <c r="E74" s="260">
        <f t="shared" si="8"/>
        <v>-18</v>
      </c>
      <c r="F74" s="259">
        <f t="shared" si="9"/>
        <v>-0.45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218069</v>
      </c>
      <c r="D75" s="263">
        <f>+D66+D68</f>
        <v>1858027</v>
      </c>
      <c r="E75" s="263">
        <f t="shared" si="8"/>
        <v>1639958</v>
      </c>
      <c r="F75" s="264">
        <f t="shared" si="9"/>
        <v>7.5203628209419957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55502</v>
      </c>
      <c r="D76" s="263">
        <f>+D67+D69</f>
        <v>1139587</v>
      </c>
      <c r="E76" s="263">
        <f t="shared" si="8"/>
        <v>1084085</v>
      </c>
      <c r="F76" s="264">
        <f t="shared" si="9"/>
        <v>19.532359194263268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196735</v>
      </c>
      <c r="D79" s="258">
        <v>0</v>
      </c>
      <c r="E79" s="258">
        <f t="shared" ref="E79:E89" si="10">D79-C79</f>
        <v>-196735</v>
      </c>
      <c r="F79" s="259">
        <f t="shared" ref="F79:F89" si="11">IF(C79=0,0,E79/C79)</f>
        <v>-1</v>
      </c>
    </row>
    <row r="80" spans="1:6" ht="20.25" customHeight="1" x14ac:dyDescent="0.3">
      <c r="A80" s="256">
        <v>2</v>
      </c>
      <c r="B80" s="257" t="s">
        <v>442</v>
      </c>
      <c r="C80" s="258">
        <v>27892</v>
      </c>
      <c r="D80" s="258">
        <v>0</v>
      </c>
      <c r="E80" s="258">
        <f t="shared" si="10"/>
        <v>-27892</v>
      </c>
      <c r="F80" s="259">
        <f t="shared" si="11"/>
        <v>-1</v>
      </c>
    </row>
    <row r="81" spans="1:6" ht="20.25" customHeight="1" x14ac:dyDescent="0.3">
      <c r="A81" s="256">
        <v>3</v>
      </c>
      <c r="B81" s="257" t="s">
        <v>443</v>
      </c>
      <c r="C81" s="258">
        <v>124920</v>
      </c>
      <c r="D81" s="258">
        <v>0</v>
      </c>
      <c r="E81" s="258">
        <f t="shared" si="10"/>
        <v>-124920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5665</v>
      </c>
      <c r="D82" s="258">
        <v>0</v>
      </c>
      <c r="E82" s="258">
        <f t="shared" si="10"/>
        <v>-5665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2</v>
      </c>
      <c r="D83" s="260">
        <v>0</v>
      </c>
      <c r="E83" s="260">
        <f t="shared" si="10"/>
        <v>-2</v>
      </c>
      <c r="F83" s="259">
        <f t="shared" si="11"/>
        <v>-1</v>
      </c>
    </row>
    <row r="84" spans="1:6" ht="20.25" customHeight="1" x14ac:dyDescent="0.3">
      <c r="A84" s="256">
        <v>6</v>
      </c>
      <c r="B84" s="257" t="s">
        <v>380</v>
      </c>
      <c r="C84" s="260">
        <v>20</v>
      </c>
      <c r="D84" s="260">
        <v>0</v>
      </c>
      <c r="E84" s="260">
        <f t="shared" si="10"/>
        <v>-20</v>
      </c>
      <c r="F84" s="259">
        <f t="shared" si="11"/>
        <v>-1</v>
      </c>
    </row>
    <row r="85" spans="1:6" ht="20.25" customHeight="1" x14ac:dyDescent="0.3">
      <c r="A85" s="256">
        <v>7</v>
      </c>
      <c r="B85" s="257" t="s">
        <v>445</v>
      </c>
      <c r="C85" s="260">
        <v>30</v>
      </c>
      <c r="D85" s="260">
        <v>0</v>
      </c>
      <c r="E85" s="260">
        <f t="shared" si="10"/>
        <v>-30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2</v>
      </c>
      <c r="D86" s="260">
        <v>0</v>
      </c>
      <c r="E86" s="260">
        <f t="shared" si="10"/>
        <v>-2</v>
      </c>
      <c r="F86" s="259">
        <f t="shared" si="11"/>
        <v>-1</v>
      </c>
    </row>
    <row r="87" spans="1:6" ht="20.25" customHeight="1" x14ac:dyDescent="0.3">
      <c r="A87" s="256">
        <v>9</v>
      </c>
      <c r="B87" s="257" t="s">
        <v>447</v>
      </c>
      <c r="C87" s="260">
        <v>1</v>
      </c>
      <c r="D87" s="260">
        <v>0</v>
      </c>
      <c r="E87" s="260">
        <f t="shared" si="10"/>
        <v>-1</v>
      </c>
      <c r="F87" s="259">
        <f t="shared" si="11"/>
        <v>-1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321655</v>
      </c>
      <c r="D88" s="263">
        <f>+D79+D81</f>
        <v>0</v>
      </c>
      <c r="E88" s="263">
        <f t="shared" si="10"/>
        <v>-321655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33557</v>
      </c>
      <c r="D89" s="263">
        <f>+D80+D82</f>
        <v>0</v>
      </c>
      <c r="E89" s="263">
        <f t="shared" si="10"/>
        <v>-33557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64718750</v>
      </c>
      <c r="D92" s="258">
        <v>59244430</v>
      </c>
      <c r="E92" s="258">
        <f t="shared" ref="E92:E102" si="12">D92-C92</f>
        <v>-5474320</v>
      </c>
      <c r="F92" s="259">
        <f t="shared" ref="F92:F102" si="13">IF(C92=0,0,E92/C92)</f>
        <v>-8.4586306132303238E-2</v>
      </c>
    </row>
    <row r="93" spans="1:6" ht="20.25" customHeight="1" x14ac:dyDescent="0.3">
      <c r="A93" s="256">
        <v>2</v>
      </c>
      <c r="B93" s="257" t="s">
        <v>442</v>
      </c>
      <c r="C93" s="258">
        <v>17015034</v>
      </c>
      <c r="D93" s="258">
        <v>11128395</v>
      </c>
      <c r="E93" s="258">
        <f t="shared" si="12"/>
        <v>-5886639</v>
      </c>
      <c r="F93" s="259">
        <f t="shared" si="13"/>
        <v>-0.34596692548483887</v>
      </c>
    </row>
    <row r="94" spans="1:6" ht="20.25" customHeight="1" x14ac:dyDescent="0.3">
      <c r="A94" s="256">
        <v>3</v>
      </c>
      <c r="B94" s="257" t="s">
        <v>443</v>
      </c>
      <c r="C94" s="258">
        <v>19166550</v>
      </c>
      <c r="D94" s="258">
        <v>19536611</v>
      </c>
      <c r="E94" s="258">
        <f t="shared" si="12"/>
        <v>370061</v>
      </c>
      <c r="F94" s="259">
        <f t="shared" si="13"/>
        <v>1.9307647959596275E-2</v>
      </c>
    </row>
    <row r="95" spans="1:6" ht="20.25" customHeight="1" x14ac:dyDescent="0.3">
      <c r="A95" s="256">
        <v>4</v>
      </c>
      <c r="B95" s="257" t="s">
        <v>444</v>
      </c>
      <c r="C95" s="258">
        <v>4114468</v>
      </c>
      <c r="D95" s="258">
        <v>4530798</v>
      </c>
      <c r="E95" s="258">
        <f t="shared" si="12"/>
        <v>416330</v>
      </c>
      <c r="F95" s="259">
        <f t="shared" si="13"/>
        <v>0.10118683630544702</v>
      </c>
    </row>
    <row r="96" spans="1:6" ht="20.25" customHeight="1" x14ac:dyDescent="0.3">
      <c r="A96" s="256">
        <v>5</v>
      </c>
      <c r="B96" s="257" t="s">
        <v>381</v>
      </c>
      <c r="C96" s="260">
        <v>1321</v>
      </c>
      <c r="D96" s="260">
        <v>1143</v>
      </c>
      <c r="E96" s="260">
        <f t="shared" si="12"/>
        <v>-178</v>
      </c>
      <c r="F96" s="259">
        <f t="shared" si="13"/>
        <v>-0.13474640423921272</v>
      </c>
    </row>
    <row r="97" spans="1:6" ht="20.25" customHeight="1" x14ac:dyDescent="0.3">
      <c r="A97" s="256">
        <v>6</v>
      </c>
      <c r="B97" s="257" t="s">
        <v>380</v>
      </c>
      <c r="C97" s="260">
        <v>8453</v>
      </c>
      <c r="D97" s="260">
        <v>7343</v>
      </c>
      <c r="E97" s="260">
        <f t="shared" si="12"/>
        <v>-1110</v>
      </c>
      <c r="F97" s="259">
        <f t="shared" si="13"/>
        <v>-0.13131432627469539</v>
      </c>
    </row>
    <row r="98" spans="1:6" ht="20.25" customHeight="1" x14ac:dyDescent="0.3">
      <c r="A98" s="256">
        <v>7</v>
      </c>
      <c r="B98" s="257" t="s">
        <v>445</v>
      </c>
      <c r="C98" s="260">
        <v>5969</v>
      </c>
      <c r="D98" s="260">
        <v>2878</v>
      </c>
      <c r="E98" s="260">
        <f t="shared" si="12"/>
        <v>-3091</v>
      </c>
      <c r="F98" s="259">
        <f t="shared" si="13"/>
        <v>-0.51784218462053944</v>
      </c>
    </row>
    <row r="99" spans="1:6" ht="20.25" customHeight="1" x14ac:dyDescent="0.3">
      <c r="A99" s="256">
        <v>8</v>
      </c>
      <c r="B99" s="257" t="s">
        <v>446</v>
      </c>
      <c r="C99" s="260">
        <v>1457</v>
      </c>
      <c r="D99" s="260">
        <v>1314</v>
      </c>
      <c r="E99" s="260">
        <f t="shared" si="12"/>
        <v>-143</v>
      </c>
      <c r="F99" s="259">
        <f t="shared" si="13"/>
        <v>-9.8146877144818123E-2</v>
      </c>
    </row>
    <row r="100" spans="1:6" ht="20.25" customHeight="1" x14ac:dyDescent="0.3">
      <c r="A100" s="256">
        <v>9</v>
      </c>
      <c r="B100" s="257" t="s">
        <v>447</v>
      </c>
      <c r="C100" s="260">
        <v>1113</v>
      </c>
      <c r="D100" s="260">
        <v>979</v>
      </c>
      <c r="E100" s="260">
        <f t="shared" si="12"/>
        <v>-134</v>
      </c>
      <c r="F100" s="259">
        <f t="shared" si="13"/>
        <v>-0.12039532794249776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83885300</v>
      </c>
      <c r="D101" s="263">
        <f>+D92+D94</f>
        <v>78781041</v>
      </c>
      <c r="E101" s="263">
        <f t="shared" si="12"/>
        <v>-5104259</v>
      </c>
      <c r="F101" s="264">
        <f t="shared" si="13"/>
        <v>-6.0848074692466975E-2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21129502</v>
      </c>
      <c r="D102" s="263">
        <f>+D93+D95</f>
        <v>15659193</v>
      </c>
      <c r="E102" s="263">
        <f t="shared" si="12"/>
        <v>-5470309</v>
      </c>
      <c r="F102" s="264">
        <f t="shared" si="13"/>
        <v>-0.25889436485535722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12537273</v>
      </c>
      <c r="D105" s="258">
        <v>17597137</v>
      </c>
      <c r="E105" s="258">
        <f t="shared" ref="E105:E115" si="14">D105-C105</f>
        <v>5059864</v>
      </c>
      <c r="F105" s="259">
        <f t="shared" ref="F105:F115" si="15">IF(C105=0,0,E105/C105)</f>
        <v>0.40358569204004729</v>
      </c>
    </row>
    <row r="106" spans="1:6" ht="20.25" customHeight="1" x14ac:dyDescent="0.3">
      <c r="A106" s="256">
        <v>2</v>
      </c>
      <c r="B106" s="257" t="s">
        <v>442</v>
      </c>
      <c r="C106" s="258">
        <v>2572419</v>
      </c>
      <c r="D106" s="258">
        <v>6011474</v>
      </c>
      <c r="E106" s="258">
        <f t="shared" si="14"/>
        <v>3439055</v>
      </c>
      <c r="F106" s="259">
        <f t="shared" si="15"/>
        <v>1.3368953502520391</v>
      </c>
    </row>
    <row r="107" spans="1:6" ht="20.25" customHeight="1" x14ac:dyDescent="0.3">
      <c r="A107" s="256">
        <v>3</v>
      </c>
      <c r="B107" s="257" t="s">
        <v>443</v>
      </c>
      <c r="C107" s="258">
        <v>5224156</v>
      </c>
      <c r="D107" s="258">
        <v>7757926</v>
      </c>
      <c r="E107" s="258">
        <f t="shared" si="14"/>
        <v>2533770</v>
      </c>
      <c r="F107" s="259">
        <f t="shared" si="15"/>
        <v>0.48501040168019482</v>
      </c>
    </row>
    <row r="108" spans="1:6" ht="20.25" customHeight="1" x14ac:dyDescent="0.3">
      <c r="A108" s="256">
        <v>4</v>
      </c>
      <c r="B108" s="257" t="s">
        <v>444</v>
      </c>
      <c r="C108" s="258">
        <v>1026140</v>
      </c>
      <c r="D108" s="258">
        <v>1775757</v>
      </c>
      <c r="E108" s="258">
        <f t="shared" si="14"/>
        <v>749617</v>
      </c>
      <c r="F108" s="259">
        <f t="shared" si="15"/>
        <v>0.73052117644765824</v>
      </c>
    </row>
    <row r="109" spans="1:6" ht="20.25" customHeight="1" x14ac:dyDescent="0.3">
      <c r="A109" s="256">
        <v>5</v>
      </c>
      <c r="B109" s="257" t="s">
        <v>381</v>
      </c>
      <c r="C109" s="260">
        <v>273</v>
      </c>
      <c r="D109" s="260">
        <v>302</v>
      </c>
      <c r="E109" s="260">
        <f t="shared" si="14"/>
        <v>29</v>
      </c>
      <c r="F109" s="259">
        <f t="shared" si="15"/>
        <v>0.10622710622710622</v>
      </c>
    </row>
    <row r="110" spans="1:6" ht="20.25" customHeight="1" x14ac:dyDescent="0.3">
      <c r="A110" s="256">
        <v>6</v>
      </c>
      <c r="B110" s="257" t="s">
        <v>380</v>
      </c>
      <c r="C110" s="260">
        <v>1773</v>
      </c>
      <c r="D110" s="260">
        <v>2649</v>
      </c>
      <c r="E110" s="260">
        <f t="shared" si="14"/>
        <v>876</v>
      </c>
      <c r="F110" s="259">
        <f t="shared" si="15"/>
        <v>0.49407783417935702</v>
      </c>
    </row>
    <row r="111" spans="1:6" ht="20.25" customHeight="1" x14ac:dyDescent="0.3">
      <c r="A111" s="256">
        <v>7</v>
      </c>
      <c r="B111" s="257" t="s">
        <v>445</v>
      </c>
      <c r="C111" s="260">
        <v>1784</v>
      </c>
      <c r="D111" s="260">
        <v>1278</v>
      </c>
      <c r="E111" s="260">
        <f t="shared" si="14"/>
        <v>-506</v>
      </c>
      <c r="F111" s="259">
        <f t="shared" si="15"/>
        <v>-0.28363228699551568</v>
      </c>
    </row>
    <row r="112" spans="1:6" ht="20.25" customHeight="1" x14ac:dyDescent="0.3">
      <c r="A112" s="256">
        <v>8</v>
      </c>
      <c r="B112" s="257" t="s">
        <v>446</v>
      </c>
      <c r="C112" s="260">
        <v>791</v>
      </c>
      <c r="D112" s="260">
        <v>742</v>
      </c>
      <c r="E112" s="260">
        <f t="shared" si="14"/>
        <v>-49</v>
      </c>
      <c r="F112" s="259">
        <f t="shared" si="15"/>
        <v>-6.1946902654867256E-2</v>
      </c>
    </row>
    <row r="113" spans="1:6" ht="20.25" customHeight="1" x14ac:dyDescent="0.3">
      <c r="A113" s="256">
        <v>9</v>
      </c>
      <c r="B113" s="257" t="s">
        <v>447</v>
      </c>
      <c r="C113" s="260">
        <v>246</v>
      </c>
      <c r="D113" s="260">
        <v>265</v>
      </c>
      <c r="E113" s="260">
        <f t="shared" si="14"/>
        <v>19</v>
      </c>
      <c r="F113" s="259">
        <f t="shared" si="15"/>
        <v>7.7235772357723581E-2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17761429</v>
      </c>
      <c r="D114" s="263">
        <f>+D105+D107</f>
        <v>25355063</v>
      </c>
      <c r="E114" s="263">
        <f t="shared" si="14"/>
        <v>7593634</v>
      </c>
      <c r="F114" s="264">
        <f t="shared" si="15"/>
        <v>0.42753508177748534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3598559</v>
      </c>
      <c r="D115" s="263">
        <f>+D106+D108</f>
        <v>7787231</v>
      </c>
      <c r="E115" s="263">
        <f t="shared" si="14"/>
        <v>4188672</v>
      </c>
      <c r="F115" s="264">
        <f t="shared" si="15"/>
        <v>1.1639859176965002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22583872</v>
      </c>
      <c r="D118" s="258">
        <v>19187520</v>
      </c>
      <c r="E118" s="258">
        <f t="shared" ref="E118:E128" si="16">D118-C118</f>
        <v>-3396352</v>
      </c>
      <c r="F118" s="259">
        <f t="shared" ref="F118:F128" si="17">IF(C118=0,0,E118/C118)</f>
        <v>-0.15038838335605162</v>
      </c>
    </row>
    <row r="119" spans="1:6" ht="20.25" customHeight="1" x14ac:dyDescent="0.3">
      <c r="A119" s="256">
        <v>2</v>
      </c>
      <c r="B119" s="257" t="s">
        <v>442</v>
      </c>
      <c r="C119" s="258">
        <v>6139451</v>
      </c>
      <c r="D119" s="258">
        <v>2650772</v>
      </c>
      <c r="E119" s="258">
        <f t="shared" si="16"/>
        <v>-3488679</v>
      </c>
      <c r="F119" s="259">
        <f t="shared" si="17"/>
        <v>-0.5682395706065575</v>
      </c>
    </row>
    <row r="120" spans="1:6" ht="20.25" customHeight="1" x14ac:dyDescent="0.3">
      <c r="A120" s="256">
        <v>3</v>
      </c>
      <c r="B120" s="257" t="s">
        <v>443</v>
      </c>
      <c r="C120" s="258">
        <v>9589702</v>
      </c>
      <c r="D120" s="258">
        <v>8840081</v>
      </c>
      <c r="E120" s="258">
        <f t="shared" si="16"/>
        <v>-749621</v>
      </c>
      <c r="F120" s="259">
        <f t="shared" si="17"/>
        <v>-7.816937377199E-2</v>
      </c>
    </row>
    <row r="121" spans="1:6" ht="20.25" customHeight="1" x14ac:dyDescent="0.3">
      <c r="A121" s="256">
        <v>4</v>
      </c>
      <c r="B121" s="257" t="s">
        <v>444</v>
      </c>
      <c r="C121" s="258">
        <v>1907647</v>
      </c>
      <c r="D121" s="258">
        <v>2106854</v>
      </c>
      <c r="E121" s="258">
        <f t="shared" si="16"/>
        <v>199207</v>
      </c>
      <c r="F121" s="259">
        <f t="shared" si="17"/>
        <v>0.1044255042992755</v>
      </c>
    </row>
    <row r="122" spans="1:6" ht="20.25" customHeight="1" x14ac:dyDescent="0.3">
      <c r="A122" s="256">
        <v>5</v>
      </c>
      <c r="B122" s="257" t="s">
        <v>381</v>
      </c>
      <c r="C122" s="260">
        <v>459</v>
      </c>
      <c r="D122" s="260">
        <v>342</v>
      </c>
      <c r="E122" s="260">
        <f t="shared" si="16"/>
        <v>-117</v>
      </c>
      <c r="F122" s="259">
        <f t="shared" si="17"/>
        <v>-0.25490196078431371</v>
      </c>
    </row>
    <row r="123" spans="1:6" ht="20.25" customHeight="1" x14ac:dyDescent="0.3">
      <c r="A123" s="256">
        <v>6</v>
      </c>
      <c r="B123" s="257" t="s">
        <v>380</v>
      </c>
      <c r="C123" s="260">
        <v>2968</v>
      </c>
      <c r="D123" s="260">
        <v>2322</v>
      </c>
      <c r="E123" s="260">
        <f t="shared" si="16"/>
        <v>-646</v>
      </c>
      <c r="F123" s="259">
        <f t="shared" si="17"/>
        <v>-0.21765498652291104</v>
      </c>
    </row>
    <row r="124" spans="1:6" ht="20.25" customHeight="1" x14ac:dyDescent="0.3">
      <c r="A124" s="256">
        <v>7</v>
      </c>
      <c r="B124" s="257" t="s">
        <v>445</v>
      </c>
      <c r="C124" s="260">
        <v>3290</v>
      </c>
      <c r="D124" s="260">
        <v>1377</v>
      </c>
      <c r="E124" s="260">
        <f t="shared" si="16"/>
        <v>-1913</v>
      </c>
      <c r="F124" s="259">
        <f t="shared" si="17"/>
        <v>-0.58145896656534957</v>
      </c>
    </row>
    <row r="125" spans="1:6" ht="20.25" customHeight="1" x14ac:dyDescent="0.3">
      <c r="A125" s="256">
        <v>8</v>
      </c>
      <c r="B125" s="257" t="s">
        <v>446</v>
      </c>
      <c r="C125" s="260">
        <v>557</v>
      </c>
      <c r="D125" s="260">
        <v>372</v>
      </c>
      <c r="E125" s="260">
        <f t="shared" si="16"/>
        <v>-185</v>
      </c>
      <c r="F125" s="259">
        <f t="shared" si="17"/>
        <v>-0.33213644524236985</v>
      </c>
    </row>
    <row r="126" spans="1:6" ht="20.25" customHeight="1" x14ac:dyDescent="0.3">
      <c r="A126" s="256">
        <v>9</v>
      </c>
      <c r="B126" s="257" t="s">
        <v>447</v>
      </c>
      <c r="C126" s="260">
        <v>340</v>
      </c>
      <c r="D126" s="260">
        <v>267</v>
      </c>
      <c r="E126" s="260">
        <f t="shared" si="16"/>
        <v>-73</v>
      </c>
      <c r="F126" s="259">
        <f t="shared" si="17"/>
        <v>-0.21470588235294116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32173574</v>
      </c>
      <c r="D127" s="263">
        <f>+D118+D120</f>
        <v>28027601</v>
      </c>
      <c r="E127" s="263">
        <f t="shared" si="16"/>
        <v>-4145973</v>
      </c>
      <c r="F127" s="264">
        <f t="shared" si="17"/>
        <v>-0.12886268090700773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8047098</v>
      </c>
      <c r="D128" s="263">
        <f>+D119+D121</f>
        <v>4757626</v>
      </c>
      <c r="E128" s="263">
        <f t="shared" si="16"/>
        <v>-3289472</v>
      </c>
      <c r="F128" s="264">
        <f t="shared" si="17"/>
        <v>-0.40877742510405612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436481</v>
      </c>
      <c r="D131" s="258">
        <v>805049</v>
      </c>
      <c r="E131" s="258">
        <f t="shared" ref="E131:E141" si="18">D131-C131</f>
        <v>368568</v>
      </c>
      <c r="F131" s="259">
        <f t="shared" ref="F131:F141" si="19">IF(C131=0,0,E131/C131)</f>
        <v>0.844407889461397</v>
      </c>
    </row>
    <row r="132" spans="1:6" ht="20.25" customHeight="1" x14ac:dyDescent="0.3">
      <c r="A132" s="256">
        <v>2</v>
      </c>
      <c r="B132" s="257" t="s">
        <v>442</v>
      </c>
      <c r="C132" s="258">
        <v>100926</v>
      </c>
      <c r="D132" s="258">
        <v>353168</v>
      </c>
      <c r="E132" s="258">
        <f t="shared" si="18"/>
        <v>252242</v>
      </c>
      <c r="F132" s="259">
        <f t="shared" si="19"/>
        <v>2.4992766977785705</v>
      </c>
    </row>
    <row r="133" spans="1:6" ht="20.25" customHeight="1" x14ac:dyDescent="0.3">
      <c r="A133" s="256">
        <v>3</v>
      </c>
      <c r="B133" s="257" t="s">
        <v>443</v>
      </c>
      <c r="C133" s="258">
        <v>230230</v>
      </c>
      <c r="D133" s="258">
        <v>288567</v>
      </c>
      <c r="E133" s="258">
        <f t="shared" si="18"/>
        <v>58337</v>
      </c>
      <c r="F133" s="259">
        <f t="shared" si="19"/>
        <v>0.25338574469009251</v>
      </c>
    </row>
    <row r="134" spans="1:6" ht="20.25" customHeight="1" x14ac:dyDescent="0.3">
      <c r="A134" s="256">
        <v>4</v>
      </c>
      <c r="B134" s="257" t="s">
        <v>444</v>
      </c>
      <c r="C134" s="258">
        <v>120849</v>
      </c>
      <c r="D134" s="258">
        <v>126714</v>
      </c>
      <c r="E134" s="258">
        <f t="shared" si="18"/>
        <v>5865</v>
      </c>
      <c r="F134" s="259">
        <f t="shared" si="19"/>
        <v>4.8531638656505227E-2</v>
      </c>
    </row>
    <row r="135" spans="1:6" ht="20.25" customHeight="1" x14ac:dyDescent="0.3">
      <c r="A135" s="256">
        <v>5</v>
      </c>
      <c r="B135" s="257" t="s">
        <v>381</v>
      </c>
      <c r="C135" s="260">
        <v>11</v>
      </c>
      <c r="D135" s="260">
        <v>13</v>
      </c>
      <c r="E135" s="260">
        <f t="shared" si="18"/>
        <v>2</v>
      </c>
      <c r="F135" s="259">
        <f t="shared" si="19"/>
        <v>0.18181818181818182</v>
      </c>
    </row>
    <row r="136" spans="1:6" ht="20.25" customHeight="1" x14ac:dyDescent="0.3">
      <c r="A136" s="256">
        <v>6</v>
      </c>
      <c r="B136" s="257" t="s">
        <v>380</v>
      </c>
      <c r="C136" s="260">
        <v>66</v>
      </c>
      <c r="D136" s="260">
        <v>91</v>
      </c>
      <c r="E136" s="260">
        <f t="shared" si="18"/>
        <v>25</v>
      </c>
      <c r="F136" s="259">
        <f t="shared" si="19"/>
        <v>0.37878787878787878</v>
      </c>
    </row>
    <row r="137" spans="1:6" ht="20.25" customHeight="1" x14ac:dyDescent="0.3">
      <c r="A137" s="256">
        <v>7</v>
      </c>
      <c r="B137" s="257" t="s">
        <v>445</v>
      </c>
      <c r="C137" s="260">
        <v>61</v>
      </c>
      <c r="D137" s="260">
        <v>49</v>
      </c>
      <c r="E137" s="260">
        <f t="shared" si="18"/>
        <v>-12</v>
      </c>
      <c r="F137" s="259">
        <f t="shared" si="19"/>
        <v>-0.19672131147540983</v>
      </c>
    </row>
    <row r="138" spans="1:6" ht="20.25" customHeight="1" x14ac:dyDescent="0.3">
      <c r="A138" s="256">
        <v>8</v>
      </c>
      <c r="B138" s="257" t="s">
        <v>446</v>
      </c>
      <c r="C138" s="260">
        <v>20</v>
      </c>
      <c r="D138" s="260">
        <v>22</v>
      </c>
      <c r="E138" s="260">
        <f t="shared" si="18"/>
        <v>2</v>
      </c>
      <c r="F138" s="259">
        <f t="shared" si="19"/>
        <v>0.1</v>
      </c>
    </row>
    <row r="139" spans="1:6" ht="20.25" customHeight="1" x14ac:dyDescent="0.3">
      <c r="A139" s="256">
        <v>9</v>
      </c>
      <c r="B139" s="257" t="s">
        <v>447</v>
      </c>
      <c r="C139" s="260">
        <v>7</v>
      </c>
      <c r="D139" s="260">
        <v>9</v>
      </c>
      <c r="E139" s="260">
        <f t="shared" si="18"/>
        <v>2</v>
      </c>
      <c r="F139" s="259">
        <f t="shared" si="19"/>
        <v>0.2857142857142857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666711</v>
      </c>
      <c r="D140" s="263">
        <f>+D131+D133</f>
        <v>1093616</v>
      </c>
      <c r="E140" s="263">
        <f t="shared" si="18"/>
        <v>426905</v>
      </c>
      <c r="F140" s="264">
        <f t="shared" si="19"/>
        <v>0.64031491905788263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221775</v>
      </c>
      <c r="D141" s="263">
        <f>+D132+D134</f>
        <v>479882</v>
      </c>
      <c r="E141" s="263">
        <f t="shared" si="18"/>
        <v>258107</v>
      </c>
      <c r="F141" s="264">
        <f t="shared" si="19"/>
        <v>1.163823695186563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524528</v>
      </c>
      <c r="D183" s="258">
        <v>198775</v>
      </c>
      <c r="E183" s="258">
        <f t="shared" ref="E183:E193" si="26">D183-C183</f>
        <v>-325753</v>
      </c>
      <c r="F183" s="259">
        <f t="shared" ref="F183:F193" si="27">IF(C183=0,0,E183/C183)</f>
        <v>-0.62104024951956804</v>
      </c>
    </row>
    <row r="184" spans="1:6" ht="20.25" customHeight="1" x14ac:dyDescent="0.3">
      <c r="A184" s="256">
        <v>2</v>
      </c>
      <c r="B184" s="257" t="s">
        <v>442</v>
      </c>
      <c r="C184" s="258">
        <v>130278</v>
      </c>
      <c r="D184" s="258">
        <v>93344</v>
      </c>
      <c r="E184" s="258">
        <f t="shared" si="26"/>
        <v>-36934</v>
      </c>
      <c r="F184" s="259">
        <f t="shared" si="27"/>
        <v>-0.28350143539200784</v>
      </c>
    </row>
    <row r="185" spans="1:6" ht="20.25" customHeight="1" x14ac:dyDescent="0.3">
      <c r="A185" s="256">
        <v>3</v>
      </c>
      <c r="B185" s="257" t="s">
        <v>443</v>
      </c>
      <c r="C185" s="258">
        <v>177491</v>
      </c>
      <c r="D185" s="258">
        <v>55102</v>
      </c>
      <c r="E185" s="258">
        <f t="shared" si="26"/>
        <v>-122389</v>
      </c>
      <c r="F185" s="259">
        <f t="shared" si="27"/>
        <v>-0.68955045607946319</v>
      </c>
    </row>
    <row r="186" spans="1:6" ht="20.25" customHeight="1" x14ac:dyDescent="0.3">
      <c r="A186" s="256">
        <v>4</v>
      </c>
      <c r="B186" s="257" t="s">
        <v>444</v>
      </c>
      <c r="C186" s="258">
        <v>23187</v>
      </c>
      <c r="D186" s="258">
        <v>18388</v>
      </c>
      <c r="E186" s="258">
        <f t="shared" si="26"/>
        <v>-4799</v>
      </c>
      <c r="F186" s="259">
        <f t="shared" si="27"/>
        <v>-0.20696942252124034</v>
      </c>
    </row>
    <row r="187" spans="1:6" ht="20.25" customHeight="1" x14ac:dyDescent="0.3">
      <c r="A187" s="256">
        <v>5</v>
      </c>
      <c r="B187" s="257" t="s">
        <v>381</v>
      </c>
      <c r="C187" s="260">
        <v>4</v>
      </c>
      <c r="D187" s="260">
        <v>3</v>
      </c>
      <c r="E187" s="260">
        <f t="shared" si="26"/>
        <v>-1</v>
      </c>
      <c r="F187" s="259">
        <f t="shared" si="27"/>
        <v>-0.25</v>
      </c>
    </row>
    <row r="188" spans="1:6" ht="20.25" customHeight="1" x14ac:dyDescent="0.3">
      <c r="A188" s="256">
        <v>6</v>
      </c>
      <c r="B188" s="257" t="s">
        <v>380</v>
      </c>
      <c r="C188" s="260">
        <v>21</v>
      </c>
      <c r="D188" s="260">
        <v>16</v>
      </c>
      <c r="E188" s="260">
        <f t="shared" si="26"/>
        <v>-5</v>
      </c>
      <c r="F188" s="259">
        <f t="shared" si="27"/>
        <v>-0.23809523809523808</v>
      </c>
    </row>
    <row r="189" spans="1:6" ht="20.25" customHeight="1" x14ac:dyDescent="0.3">
      <c r="A189" s="256">
        <v>7</v>
      </c>
      <c r="B189" s="257" t="s">
        <v>445</v>
      </c>
      <c r="C189" s="260">
        <v>34</v>
      </c>
      <c r="D189" s="260">
        <v>7</v>
      </c>
      <c r="E189" s="260">
        <f t="shared" si="26"/>
        <v>-27</v>
      </c>
      <c r="F189" s="259">
        <f t="shared" si="27"/>
        <v>-0.79411764705882348</v>
      </c>
    </row>
    <row r="190" spans="1:6" ht="20.25" customHeight="1" x14ac:dyDescent="0.3">
      <c r="A190" s="256">
        <v>8</v>
      </c>
      <c r="B190" s="257" t="s">
        <v>446</v>
      </c>
      <c r="C190" s="260">
        <v>8</v>
      </c>
      <c r="D190" s="260">
        <v>0</v>
      </c>
      <c r="E190" s="260">
        <f t="shared" si="26"/>
        <v>-8</v>
      </c>
      <c r="F190" s="259">
        <f t="shared" si="27"/>
        <v>-1</v>
      </c>
    </row>
    <row r="191" spans="1:6" ht="20.25" customHeight="1" x14ac:dyDescent="0.3">
      <c r="A191" s="256">
        <v>9</v>
      </c>
      <c r="B191" s="257" t="s">
        <v>447</v>
      </c>
      <c r="C191" s="260">
        <v>7</v>
      </c>
      <c r="D191" s="260">
        <v>3</v>
      </c>
      <c r="E191" s="260">
        <f t="shared" si="26"/>
        <v>-4</v>
      </c>
      <c r="F191" s="259">
        <f t="shared" si="27"/>
        <v>-0.5714285714285714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702019</v>
      </c>
      <c r="D192" s="263">
        <f>+D183+D185</f>
        <v>253877</v>
      </c>
      <c r="E192" s="263">
        <f t="shared" si="26"/>
        <v>-448142</v>
      </c>
      <c r="F192" s="264">
        <f t="shared" si="27"/>
        <v>-0.63836163978467819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153465</v>
      </c>
      <c r="D193" s="263">
        <f>+D184+D186</f>
        <v>111732</v>
      </c>
      <c r="E193" s="263">
        <f t="shared" si="26"/>
        <v>-41733</v>
      </c>
      <c r="F193" s="264">
        <f t="shared" si="27"/>
        <v>-0.2719382269572867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128326299</v>
      </c>
      <c r="D198" s="263">
        <f t="shared" si="28"/>
        <v>132246754</v>
      </c>
      <c r="E198" s="263">
        <f t="shared" ref="E198:E208" si="29">D198-C198</f>
        <v>3920455</v>
      </c>
      <c r="F198" s="273">
        <f t="shared" ref="F198:F208" si="30">IF(C198=0,0,E198/C198)</f>
        <v>3.0550674573728648E-2</v>
      </c>
    </row>
    <row r="199" spans="1:9" ht="20.25" customHeight="1" x14ac:dyDescent="0.3">
      <c r="A199" s="271"/>
      <c r="B199" s="272" t="s">
        <v>466</v>
      </c>
      <c r="C199" s="263">
        <f t="shared" si="28"/>
        <v>32983724</v>
      </c>
      <c r="D199" s="263">
        <f t="shared" si="28"/>
        <v>29086807</v>
      </c>
      <c r="E199" s="263">
        <f t="shared" si="29"/>
        <v>-3896917</v>
      </c>
      <c r="F199" s="273">
        <f t="shared" si="30"/>
        <v>-0.11814666530680405</v>
      </c>
    </row>
    <row r="200" spans="1:9" ht="20.25" customHeight="1" x14ac:dyDescent="0.3">
      <c r="A200" s="271"/>
      <c r="B200" s="272" t="s">
        <v>467</v>
      </c>
      <c r="C200" s="263">
        <f t="shared" si="28"/>
        <v>45866214</v>
      </c>
      <c r="D200" s="263">
        <f t="shared" si="28"/>
        <v>52117456</v>
      </c>
      <c r="E200" s="263">
        <f t="shared" si="29"/>
        <v>6251242</v>
      </c>
      <c r="F200" s="273">
        <f t="shared" si="30"/>
        <v>0.13629295847265702</v>
      </c>
    </row>
    <row r="201" spans="1:9" ht="20.25" customHeight="1" x14ac:dyDescent="0.3">
      <c r="A201" s="271"/>
      <c r="B201" s="272" t="s">
        <v>468</v>
      </c>
      <c r="C201" s="263">
        <f t="shared" si="28"/>
        <v>9696584</v>
      </c>
      <c r="D201" s="263">
        <f t="shared" si="28"/>
        <v>12956316</v>
      </c>
      <c r="E201" s="263">
        <f t="shared" si="29"/>
        <v>3259732</v>
      </c>
      <c r="F201" s="273">
        <f t="shared" si="30"/>
        <v>0.336173233790374</v>
      </c>
    </row>
    <row r="202" spans="1:9" ht="20.25" customHeight="1" x14ac:dyDescent="0.3">
      <c r="A202" s="271"/>
      <c r="B202" s="272" t="s">
        <v>138</v>
      </c>
      <c r="C202" s="274">
        <f t="shared" si="28"/>
        <v>2654</v>
      </c>
      <c r="D202" s="274">
        <f t="shared" si="28"/>
        <v>2431</v>
      </c>
      <c r="E202" s="274">
        <f t="shared" si="29"/>
        <v>-223</v>
      </c>
      <c r="F202" s="273">
        <f t="shared" si="30"/>
        <v>-8.40241145440844E-2</v>
      </c>
    </row>
    <row r="203" spans="1:9" ht="20.25" customHeight="1" x14ac:dyDescent="0.3">
      <c r="A203" s="271"/>
      <c r="B203" s="272" t="s">
        <v>140</v>
      </c>
      <c r="C203" s="274">
        <f t="shared" si="28"/>
        <v>16724</v>
      </c>
      <c r="D203" s="274">
        <f t="shared" si="28"/>
        <v>15967</v>
      </c>
      <c r="E203" s="274">
        <f t="shared" si="29"/>
        <v>-757</v>
      </c>
      <c r="F203" s="273">
        <f t="shared" si="30"/>
        <v>-4.5264290839512077E-2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15897</v>
      </c>
      <c r="D204" s="274">
        <f t="shared" si="28"/>
        <v>8041</v>
      </c>
      <c r="E204" s="274">
        <f t="shared" si="29"/>
        <v>-7856</v>
      </c>
      <c r="F204" s="273">
        <f t="shared" si="30"/>
        <v>-0.49418129206768574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3447</v>
      </c>
      <c r="D205" s="274">
        <f t="shared" si="28"/>
        <v>3102</v>
      </c>
      <c r="E205" s="274">
        <f t="shared" si="29"/>
        <v>-345</v>
      </c>
      <c r="F205" s="273">
        <f t="shared" si="30"/>
        <v>-0.10008703220191471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2203</v>
      </c>
      <c r="D206" s="274">
        <f t="shared" si="28"/>
        <v>2018</v>
      </c>
      <c r="E206" s="274">
        <f t="shared" si="29"/>
        <v>-185</v>
      </c>
      <c r="F206" s="273">
        <f t="shared" si="30"/>
        <v>-8.3976395823876532E-2</v>
      </c>
    </row>
    <row r="207" spans="1:9" ht="20.25" customHeight="1" x14ac:dyDescent="0.3">
      <c r="A207" s="271"/>
      <c r="B207" s="262" t="s">
        <v>471</v>
      </c>
      <c r="C207" s="263">
        <f>+C198+C200</f>
        <v>174192513</v>
      </c>
      <c r="D207" s="263">
        <f>+D198+D200</f>
        <v>184364210</v>
      </c>
      <c r="E207" s="263">
        <f t="shared" si="29"/>
        <v>10171697</v>
      </c>
      <c r="F207" s="273">
        <f t="shared" si="30"/>
        <v>5.839342245438528E-2</v>
      </c>
    </row>
    <row r="208" spans="1:9" ht="20.25" customHeight="1" x14ac:dyDescent="0.3">
      <c r="A208" s="271"/>
      <c r="B208" s="262" t="s">
        <v>472</v>
      </c>
      <c r="C208" s="263">
        <f>+C199+C201</f>
        <v>42680308</v>
      </c>
      <c r="D208" s="263">
        <f>+D199+D201</f>
        <v>42043123</v>
      </c>
      <c r="E208" s="263">
        <f t="shared" si="29"/>
        <v>-637185</v>
      </c>
      <c r="F208" s="273">
        <f t="shared" si="30"/>
        <v>-1.4929250276263236E-2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5" fitToHeight="0" orientation="portrait" r:id="rId1"/>
  <headerFooter>
    <oddHeader>&amp;LOFFICE OF HEALTH CARE ACCESS&amp;CTWELVE MONTHS ACTUAL FILING&amp;RSAINT VINCENT`S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tabSelected="1" zoomScale="70" workbookViewId="0">
      <selection activeCell="M14" sqref="M14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r:id="rId1"/>
  <headerFooter>
    <oddHeader>&amp;LOFFICE OF HEALTH CARE ACCESS&amp;CTWELVE MONTHS ACTUAL FILING&amp;RSAINT VINCENT`S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activeCell="M14" sqref="M14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3300000</v>
      </c>
      <c r="D13" s="22">
        <v>7449000</v>
      </c>
      <c r="E13" s="22">
        <f t="shared" ref="E13:E22" si="0">D13-C13</f>
        <v>4149000</v>
      </c>
      <c r="F13" s="306">
        <f t="shared" ref="F13:F22" si="1">IF(C13=0,0,E13/C13)</f>
        <v>1.2572727272727273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67589000</v>
      </c>
      <c r="D15" s="22">
        <v>70492000</v>
      </c>
      <c r="E15" s="22">
        <f t="shared" si="0"/>
        <v>2903000</v>
      </c>
      <c r="F15" s="306">
        <f t="shared" si="1"/>
        <v>4.2950776013848405E-2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4264000</v>
      </c>
      <c r="D19" s="22">
        <v>4341000</v>
      </c>
      <c r="E19" s="22">
        <f t="shared" si="0"/>
        <v>77000</v>
      </c>
      <c r="F19" s="306">
        <f t="shared" si="1"/>
        <v>1.8058161350844277E-2</v>
      </c>
    </row>
    <row r="20" spans="1:11" ht="24" customHeight="1" x14ac:dyDescent="0.2">
      <c r="A20" s="304">
        <v>8</v>
      </c>
      <c r="B20" s="305" t="s">
        <v>23</v>
      </c>
      <c r="C20" s="22">
        <v>3691000</v>
      </c>
      <c r="D20" s="22">
        <v>3448000</v>
      </c>
      <c r="E20" s="22">
        <f t="shared" si="0"/>
        <v>-243000</v>
      </c>
      <c r="F20" s="306">
        <f t="shared" si="1"/>
        <v>-6.5835816851801676E-2</v>
      </c>
    </row>
    <row r="21" spans="1:11" ht="24" customHeight="1" x14ac:dyDescent="0.2">
      <c r="A21" s="304">
        <v>9</v>
      </c>
      <c r="B21" s="305" t="s">
        <v>24</v>
      </c>
      <c r="C21" s="22">
        <v>13622000</v>
      </c>
      <c r="D21" s="22">
        <v>10424000</v>
      </c>
      <c r="E21" s="22">
        <f t="shared" si="0"/>
        <v>-3198000</v>
      </c>
      <c r="F21" s="306">
        <f t="shared" si="1"/>
        <v>-0.23476728821024812</v>
      </c>
    </row>
    <row r="22" spans="1:11" ht="24" customHeight="1" x14ac:dyDescent="0.25">
      <c r="A22" s="307"/>
      <c r="B22" s="308" t="s">
        <v>25</v>
      </c>
      <c r="C22" s="309">
        <f>SUM(C13:C21)</f>
        <v>92466000</v>
      </c>
      <c r="D22" s="309">
        <f>SUM(D13:D21)</f>
        <v>96154000</v>
      </c>
      <c r="E22" s="309">
        <f t="shared" si="0"/>
        <v>3688000</v>
      </c>
      <c r="F22" s="310">
        <f t="shared" si="1"/>
        <v>3.9884930677221896E-2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43490000</v>
      </c>
      <c r="D28" s="22">
        <v>43113000</v>
      </c>
      <c r="E28" s="22">
        <f>D28-C28</f>
        <v>-377000</v>
      </c>
      <c r="F28" s="306">
        <f>IF(C28=0,0,E28/C28)</f>
        <v>-8.6686594619452741E-3</v>
      </c>
    </row>
    <row r="29" spans="1:11" ht="35.1" customHeight="1" x14ac:dyDescent="0.25">
      <c r="A29" s="307"/>
      <c r="B29" s="308" t="s">
        <v>32</v>
      </c>
      <c r="C29" s="309">
        <f>SUM(C25:C28)</f>
        <v>43490000</v>
      </c>
      <c r="D29" s="309">
        <f>SUM(D25:D28)</f>
        <v>43113000</v>
      </c>
      <c r="E29" s="309">
        <f>D29-C29</f>
        <v>-377000</v>
      </c>
      <c r="F29" s="310">
        <f>IF(C29=0,0,E29/C29)</f>
        <v>-8.6686594619452741E-3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385447000</v>
      </c>
      <c r="D32" s="22">
        <v>321091000</v>
      </c>
      <c r="E32" s="22">
        <f>D32-C32</f>
        <v>-64356000</v>
      </c>
      <c r="F32" s="306">
        <f>IF(C32=0,0,E32/C32)</f>
        <v>-0.16696458916530676</v>
      </c>
    </row>
    <row r="33" spans="1:8" ht="24" customHeight="1" x14ac:dyDescent="0.2">
      <c r="A33" s="304">
        <v>7</v>
      </c>
      <c r="B33" s="305" t="s">
        <v>35</v>
      </c>
      <c r="C33" s="22">
        <v>43092000</v>
      </c>
      <c r="D33" s="22">
        <v>38923000</v>
      </c>
      <c r="E33" s="22">
        <f>D33-C33</f>
        <v>-4169000</v>
      </c>
      <c r="F33" s="306">
        <f>IF(C33=0,0,E33/C33)</f>
        <v>-9.6746495869302881E-2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480748000</v>
      </c>
      <c r="D36" s="22">
        <v>489801000</v>
      </c>
      <c r="E36" s="22">
        <f>D36-C36</f>
        <v>9053000</v>
      </c>
      <c r="F36" s="306">
        <f>IF(C36=0,0,E36/C36)</f>
        <v>1.8831071580120977E-2</v>
      </c>
    </row>
    <row r="37" spans="1:8" ht="24" customHeight="1" x14ac:dyDescent="0.2">
      <c r="A37" s="304">
        <v>2</v>
      </c>
      <c r="B37" s="305" t="s">
        <v>39</v>
      </c>
      <c r="C37" s="22">
        <v>275790000</v>
      </c>
      <c r="D37" s="22">
        <v>296408000</v>
      </c>
      <c r="E37" s="22">
        <f>D37-C37</f>
        <v>20618000</v>
      </c>
      <c r="F37" s="22">
        <f>IF(C37=0,0,E37/C37)</f>
        <v>7.4759780992784367E-2</v>
      </c>
    </row>
    <row r="38" spans="1:8" ht="24" customHeight="1" x14ac:dyDescent="0.25">
      <c r="A38" s="307"/>
      <c r="B38" s="308" t="s">
        <v>40</v>
      </c>
      <c r="C38" s="309">
        <f>C36-C37</f>
        <v>204958000</v>
      </c>
      <c r="D38" s="309">
        <f>D36-D37</f>
        <v>193393000</v>
      </c>
      <c r="E38" s="309">
        <f>D38-C38</f>
        <v>-11565000</v>
      </c>
      <c r="F38" s="310">
        <f>IF(C38=0,0,E38/C38)</f>
        <v>-5.6426194634998393E-2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2391000</v>
      </c>
      <c r="D40" s="22">
        <v>8634000</v>
      </c>
      <c r="E40" s="22">
        <f>D40-C40</f>
        <v>6243000</v>
      </c>
      <c r="F40" s="306">
        <f>IF(C40=0,0,E40/C40)</f>
        <v>2.6110414052697615</v>
      </c>
    </row>
    <row r="41" spans="1:8" ht="24" customHeight="1" x14ac:dyDescent="0.25">
      <c r="A41" s="307"/>
      <c r="B41" s="308" t="s">
        <v>42</v>
      </c>
      <c r="C41" s="309">
        <f>+C38+C40</f>
        <v>207349000</v>
      </c>
      <c r="D41" s="309">
        <f>+D38+D40</f>
        <v>202027000</v>
      </c>
      <c r="E41" s="309">
        <f>D41-C41</f>
        <v>-5322000</v>
      </c>
      <c r="F41" s="310">
        <f>IF(C41=0,0,E41/C41)</f>
        <v>-2.5666870831303742E-2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771844000</v>
      </c>
      <c r="D43" s="309">
        <f>D22+D29+D31+D32+D33+D41</f>
        <v>701308000</v>
      </c>
      <c r="E43" s="309">
        <f>D43-C43</f>
        <v>-70536000</v>
      </c>
      <c r="F43" s="310">
        <f>IF(C43=0,0,E43/C43)</f>
        <v>-9.1386342317877706E-2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26124000</v>
      </c>
      <c r="D49" s="22">
        <v>23542000</v>
      </c>
      <c r="E49" s="22">
        <f t="shared" ref="E49:E56" si="2">D49-C49</f>
        <v>-2582000</v>
      </c>
      <c r="F49" s="306">
        <f t="shared" ref="F49:F56" si="3">IF(C49=0,0,E49/C49)</f>
        <v>-9.8836319093553823E-2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29153000</v>
      </c>
      <c r="D50" s="22">
        <v>23003000</v>
      </c>
      <c r="E50" s="22">
        <f t="shared" si="2"/>
        <v>-6150000</v>
      </c>
      <c r="F50" s="306">
        <f t="shared" si="3"/>
        <v>-0.21095599080712105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10642000</v>
      </c>
      <c r="D51" s="22">
        <v>9476000</v>
      </c>
      <c r="E51" s="22">
        <f t="shared" si="2"/>
        <v>-1166000</v>
      </c>
      <c r="F51" s="306">
        <f t="shared" si="3"/>
        <v>-0.10956587107686525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4483000</v>
      </c>
      <c r="D52" s="22">
        <v>4223000</v>
      </c>
      <c r="E52" s="22">
        <f t="shared" si="2"/>
        <v>-260000</v>
      </c>
      <c r="F52" s="306">
        <f t="shared" si="3"/>
        <v>-5.7996877091233551E-2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885000</v>
      </c>
      <c r="D53" s="22">
        <v>1614000</v>
      </c>
      <c r="E53" s="22">
        <f t="shared" si="2"/>
        <v>729000</v>
      </c>
      <c r="F53" s="306">
        <f t="shared" si="3"/>
        <v>0.82372881355932204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335000</v>
      </c>
      <c r="D55" s="22">
        <v>484000</v>
      </c>
      <c r="E55" s="22">
        <f t="shared" si="2"/>
        <v>149000</v>
      </c>
      <c r="F55" s="306">
        <f t="shared" si="3"/>
        <v>0.44477611940298506</v>
      </c>
    </row>
    <row r="56" spans="1:6" ht="24" customHeight="1" x14ac:dyDescent="0.25">
      <c r="A56" s="307"/>
      <c r="B56" s="308" t="s">
        <v>54</v>
      </c>
      <c r="C56" s="309">
        <f>SUM(C49:C55)</f>
        <v>71622000</v>
      </c>
      <c r="D56" s="309">
        <f>SUM(D49:D55)</f>
        <v>62342000</v>
      </c>
      <c r="E56" s="309">
        <f t="shared" si="2"/>
        <v>-9280000</v>
      </c>
      <c r="F56" s="310">
        <f t="shared" si="3"/>
        <v>-0.12956912680461311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56503000</v>
      </c>
      <c r="D59" s="22">
        <v>54935000</v>
      </c>
      <c r="E59" s="22">
        <f>D59-C59</f>
        <v>-1568000</v>
      </c>
      <c r="F59" s="306">
        <f>IF(C59=0,0,E59/C59)</f>
        <v>-2.7750738898819533E-2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56503000</v>
      </c>
      <c r="D61" s="309">
        <f>SUM(D59:D60)</f>
        <v>54935000</v>
      </c>
      <c r="E61" s="309">
        <f>D61-C61</f>
        <v>-1568000</v>
      </c>
      <c r="F61" s="310">
        <f>IF(C61=0,0,E61/C61)</f>
        <v>-2.7750738898819533E-2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5194000</v>
      </c>
      <c r="D63" s="22">
        <v>8113000</v>
      </c>
      <c r="E63" s="22">
        <f>D63-C63</f>
        <v>2919000</v>
      </c>
      <c r="F63" s="306">
        <f>IF(C63=0,0,E63/C63)</f>
        <v>0.56199460916442046</v>
      </c>
    </row>
    <row r="64" spans="1:6" ht="24" customHeight="1" x14ac:dyDescent="0.2">
      <c r="A64" s="304">
        <v>4</v>
      </c>
      <c r="B64" s="305" t="s">
        <v>60</v>
      </c>
      <c r="C64" s="22">
        <v>13607000</v>
      </c>
      <c r="D64" s="22">
        <v>14300000</v>
      </c>
      <c r="E64" s="22">
        <f>D64-C64</f>
        <v>693000</v>
      </c>
      <c r="F64" s="306">
        <f>IF(C64=0,0,E64/C64)</f>
        <v>5.092966855295069E-2</v>
      </c>
    </row>
    <row r="65" spans="1:6" ht="24" customHeight="1" x14ac:dyDescent="0.25">
      <c r="A65" s="307"/>
      <c r="B65" s="308" t="s">
        <v>61</v>
      </c>
      <c r="C65" s="309">
        <f>SUM(C61:C64)</f>
        <v>75304000</v>
      </c>
      <c r="D65" s="309">
        <f>SUM(D61:D64)</f>
        <v>77348000</v>
      </c>
      <c r="E65" s="309">
        <f>D65-C65</f>
        <v>2044000</v>
      </c>
      <c r="F65" s="310">
        <f>IF(C65=0,0,E65/C65)</f>
        <v>2.7143312440242217E-2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596405000</v>
      </c>
      <c r="D70" s="22">
        <v>533334000</v>
      </c>
      <c r="E70" s="22">
        <f>D70-C70</f>
        <v>-63071000</v>
      </c>
      <c r="F70" s="306">
        <f>IF(C70=0,0,E70/C70)</f>
        <v>-0.10575196385006833</v>
      </c>
    </row>
    <row r="71" spans="1:6" ht="24" customHeight="1" x14ac:dyDescent="0.2">
      <c r="A71" s="304">
        <v>2</v>
      </c>
      <c r="B71" s="305" t="s">
        <v>65</v>
      </c>
      <c r="C71" s="22">
        <v>15750000</v>
      </c>
      <c r="D71" s="22">
        <v>15414000</v>
      </c>
      <c r="E71" s="22">
        <f>D71-C71</f>
        <v>-336000</v>
      </c>
      <c r="F71" s="306">
        <f>IF(C71=0,0,E71/C71)</f>
        <v>-2.1333333333333333E-2</v>
      </c>
    </row>
    <row r="72" spans="1:6" ht="24" customHeight="1" x14ac:dyDescent="0.2">
      <c r="A72" s="304">
        <v>3</v>
      </c>
      <c r="B72" s="305" t="s">
        <v>66</v>
      </c>
      <c r="C72" s="22">
        <v>12763000</v>
      </c>
      <c r="D72" s="22">
        <v>12870000</v>
      </c>
      <c r="E72" s="22">
        <f>D72-C72</f>
        <v>107000</v>
      </c>
      <c r="F72" s="306">
        <f>IF(C72=0,0,E72/C72)</f>
        <v>8.3836088693880744E-3</v>
      </c>
    </row>
    <row r="73" spans="1:6" ht="24" customHeight="1" x14ac:dyDescent="0.25">
      <c r="A73" s="304"/>
      <c r="B73" s="308" t="s">
        <v>67</v>
      </c>
      <c r="C73" s="309">
        <f>SUM(C70:C72)</f>
        <v>624918000</v>
      </c>
      <c r="D73" s="309">
        <f>SUM(D70:D72)</f>
        <v>561618000</v>
      </c>
      <c r="E73" s="309">
        <f>D73-C73</f>
        <v>-63300000</v>
      </c>
      <c r="F73" s="310">
        <f>IF(C73=0,0,E73/C73)</f>
        <v>-0.10129328967960596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771844000</v>
      </c>
      <c r="D75" s="309">
        <f>D56+D65+D67+D73</f>
        <v>701308000</v>
      </c>
      <c r="E75" s="309">
        <f>D75-C75</f>
        <v>-70536000</v>
      </c>
      <c r="F75" s="310">
        <f>IF(C75=0,0,E75/C75)</f>
        <v>-9.1386342317877706E-2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r:id="rId1"/>
  <headerFooter>
    <oddHeader>&amp;LOFFICE OF HEALTH CARE ACCESS&amp;CTWELVE MONTHS ACTUAL FILING&amp;RST VINCENTS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="75" zoomScaleSheetLayoutView="75" workbookViewId="0">
      <selection activeCell="M14" sqref="M14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1285467000</v>
      </c>
      <c r="D11" s="76">
        <v>1431622000</v>
      </c>
      <c r="E11" s="76">
        <f t="shared" ref="E11:E20" si="0">D11-C11</f>
        <v>146155000</v>
      </c>
      <c r="F11" s="77">
        <f t="shared" ref="F11:F20" si="1">IF(C11=0,0,E11/C11)</f>
        <v>0.11369797902240976</v>
      </c>
    </row>
    <row r="12" spans="1:7" ht="23.1" customHeight="1" x14ac:dyDescent="0.2">
      <c r="A12" s="74">
        <v>2</v>
      </c>
      <c r="B12" s="75" t="s">
        <v>72</v>
      </c>
      <c r="C12" s="76">
        <v>802402000</v>
      </c>
      <c r="D12" s="76">
        <v>943281000</v>
      </c>
      <c r="E12" s="76">
        <f t="shared" si="0"/>
        <v>140879000</v>
      </c>
      <c r="F12" s="77">
        <f t="shared" si="1"/>
        <v>0.17557159628216282</v>
      </c>
    </row>
    <row r="13" spans="1:7" ht="23.1" customHeight="1" x14ac:dyDescent="0.2">
      <c r="A13" s="74">
        <v>3</v>
      </c>
      <c r="B13" s="75" t="s">
        <v>73</v>
      </c>
      <c r="C13" s="76">
        <v>17265000</v>
      </c>
      <c r="D13" s="76">
        <v>21887000</v>
      </c>
      <c r="E13" s="76">
        <f t="shared" si="0"/>
        <v>4622000</v>
      </c>
      <c r="F13" s="77">
        <f t="shared" si="1"/>
        <v>0.26770923834346944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465800000</v>
      </c>
      <c r="D15" s="79">
        <f>D11-D12-D13-D14</f>
        <v>466454000</v>
      </c>
      <c r="E15" s="79">
        <f t="shared" si="0"/>
        <v>654000</v>
      </c>
      <c r="F15" s="80">
        <f t="shared" si="1"/>
        <v>1.4040360669815371E-3</v>
      </c>
    </row>
    <row r="16" spans="1:7" ht="23.1" customHeight="1" x14ac:dyDescent="0.2">
      <c r="A16" s="74">
        <v>5</v>
      </c>
      <c r="B16" s="75" t="s">
        <v>76</v>
      </c>
      <c r="C16" s="76">
        <v>34098000</v>
      </c>
      <c r="D16" s="76">
        <v>24067000</v>
      </c>
      <c r="E16" s="76">
        <f t="shared" si="0"/>
        <v>-10031000</v>
      </c>
      <c r="F16" s="77">
        <f t="shared" si="1"/>
        <v>-0.29418147691946744</v>
      </c>
      <c r="G16" s="65"/>
    </row>
    <row r="17" spans="1:7" ht="31.5" customHeight="1" x14ac:dyDescent="0.25">
      <c r="A17" s="71"/>
      <c r="B17" s="81" t="s">
        <v>77</v>
      </c>
      <c r="C17" s="79">
        <f>C15-C16</f>
        <v>431702000</v>
      </c>
      <c r="D17" s="79">
        <f>D15-D16</f>
        <v>442387000</v>
      </c>
      <c r="E17" s="79">
        <f t="shared" si="0"/>
        <v>10685000</v>
      </c>
      <c r="F17" s="80">
        <f t="shared" si="1"/>
        <v>2.4750869812972837E-2</v>
      </c>
    </row>
    <row r="18" spans="1:7" ht="23.1" customHeight="1" x14ac:dyDescent="0.2">
      <c r="A18" s="74">
        <v>6</v>
      </c>
      <c r="B18" s="75" t="s">
        <v>78</v>
      </c>
      <c r="C18" s="76">
        <v>47142000</v>
      </c>
      <c r="D18" s="76">
        <v>44801000</v>
      </c>
      <c r="E18" s="76">
        <f t="shared" si="0"/>
        <v>-2341000</v>
      </c>
      <c r="F18" s="77">
        <f t="shared" si="1"/>
        <v>-4.9658478639005556E-2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1614000</v>
      </c>
      <c r="D19" s="76">
        <v>1307000</v>
      </c>
      <c r="E19" s="76">
        <f t="shared" si="0"/>
        <v>-307000</v>
      </c>
      <c r="F19" s="77">
        <f t="shared" si="1"/>
        <v>-0.19021065675340768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480458000</v>
      </c>
      <c r="D20" s="79">
        <f>SUM(D17:D19)</f>
        <v>488495000</v>
      </c>
      <c r="E20" s="79">
        <f t="shared" si="0"/>
        <v>8037000</v>
      </c>
      <c r="F20" s="80">
        <f t="shared" si="1"/>
        <v>1.6727788901423225E-2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206029000</v>
      </c>
      <c r="D23" s="76">
        <v>221430000</v>
      </c>
      <c r="E23" s="76">
        <f t="shared" ref="E23:E32" si="2">D23-C23</f>
        <v>15401000</v>
      </c>
      <c r="F23" s="77">
        <f t="shared" ref="F23:F32" si="3">IF(C23=0,0,E23/C23)</f>
        <v>7.4751612637055945E-2</v>
      </c>
    </row>
    <row r="24" spans="1:7" ht="23.1" customHeight="1" x14ac:dyDescent="0.2">
      <c r="A24" s="74">
        <v>2</v>
      </c>
      <c r="B24" s="75" t="s">
        <v>83</v>
      </c>
      <c r="C24" s="76">
        <v>55142000</v>
      </c>
      <c r="D24" s="76">
        <v>53194000</v>
      </c>
      <c r="E24" s="76">
        <f t="shared" si="2"/>
        <v>-1948000</v>
      </c>
      <c r="F24" s="77">
        <f t="shared" si="3"/>
        <v>-3.5326973994414423E-2</v>
      </c>
    </row>
    <row r="25" spans="1:7" ht="23.1" customHeight="1" x14ac:dyDescent="0.2">
      <c r="A25" s="74">
        <v>3</v>
      </c>
      <c r="B25" s="75" t="s">
        <v>84</v>
      </c>
      <c r="C25" s="76">
        <v>17610000</v>
      </c>
      <c r="D25" s="76">
        <v>21401000</v>
      </c>
      <c r="E25" s="76">
        <f t="shared" si="2"/>
        <v>3791000</v>
      </c>
      <c r="F25" s="77">
        <f t="shared" si="3"/>
        <v>0.21527541169789893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50105000</v>
      </c>
      <c r="D26" s="76">
        <v>51197000</v>
      </c>
      <c r="E26" s="76">
        <f t="shared" si="2"/>
        <v>1092000</v>
      </c>
      <c r="F26" s="77">
        <f t="shared" si="3"/>
        <v>2.1794232112563615E-2</v>
      </c>
    </row>
    <row r="27" spans="1:7" ht="23.1" customHeight="1" x14ac:dyDescent="0.2">
      <c r="A27" s="74">
        <v>5</v>
      </c>
      <c r="B27" s="75" t="s">
        <v>86</v>
      </c>
      <c r="C27" s="76">
        <v>28822000</v>
      </c>
      <c r="D27" s="76">
        <v>26783000</v>
      </c>
      <c r="E27" s="76">
        <f t="shared" si="2"/>
        <v>-2039000</v>
      </c>
      <c r="F27" s="77">
        <f t="shared" si="3"/>
        <v>-7.0744570120047187E-2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1818000</v>
      </c>
      <c r="D29" s="76">
        <v>1791000</v>
      </c>
      <c r="E29" s="76">
        <f t="shared" si="2"/>
        <v>-27000</v>
      </c>
      <c r="F29" s="77">
        <f t="shared" si="3"/>
        <v>-1.4851485148514851E-2</v>
      </c>
    </row>
    <row r="30" spans="1:7" ht="23.1" customHeight="1" x14ac:dyDescent="0.2">
      <c r="A30" s="74">
        <v>8</v>
      </c>
      <c r="B30" s="75" t="s">
        <v>89</v>
      </c>
      <c r="C30" s="76">
        <v>3290000</v>
      </c>
      <c r="D30" s="76">
        <v>8484000</v>
      </c>
      <c r="E30" s="76">
        <f t="shared" si="2"/>
        <v>5194000</v>
      </c>
      <c r="F30" s="77">
        <f t="shared" si="3"/>
        <v>1.5787234042553191</v>
      </c>
    </row>
    <row r="31" spans="1:7" ht="23.1" customHeight="1" x14ac:dyDescent="0.2">
      <c r="A31" s="74">
        <v>9</v>
      </c>
      <c r="B31" s="75" t="s">
        <v>90</v>
      </c>
      <c r="C31" s="76">
        <v>101241000</v>
      </c>
      <c r="D31" s="76">
        <v>123921000</v>
      </c>
      <c r="E31" s="76">
        <f t="shared" si="2"/>
        <v>22680000</v>
      </c>
      <c r="F31" s="77">
        <f t="shared" si="3"/>
        <v>0.22401991288114498</v>
      </c>
    </row>
    <row r="32" spans="1:7" ht="23.1" customHeight="1" x14ac:dyDescent="0.25">
      <c r="A32" s="71"/>
      <c r="B32" s="78" t="s">
        <v>91</v>
      </c>
      <c r="C32" s="79">
        <f>SUM(C23:C31)</f>
        <v>464057000</v>
      </c>
      <c r="D32" s="79">
        <f>SUM(D23:D31)</f>
        <v>508201000</v>
      </c>
      <c r="E32" s="79">
        <f t="shared" si="2"/>
        <v>44144000</v>
      </c>
      <c r="F32" s="80">
        <f t="shared" si="3"/>
        <v>9.5126245267283971E-2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16401000</v>
      </c>
      <c r="D34" s="79">
        <f>+D20-D32</f>
        <v>-19706000</v>
      </c>
      <c r="E34" s="79">
        <f>D34-C34</f>
        <v>-36107000</v>
      </c>
      <c r="F34" s="80">
        <f>IF(C34=0,0,E34/C34)</f>
        <v>-2.2015121029205535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26670000</v>
      </c>
      <c r="D37" s="76">
        <v>-12409000</v>
      </c>
      <c r="E37" s="76">
        <f>D37-C37</f>
        <v>-39079000</v>
      </c>
      <c r="F37" s="77">
        <f>IF(C37=0,0,E37/C37)</f>
        <v>-1.4652793400824897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-1630000</v>
      </c>
      <c r="D39" s="76">
        <v>-768000</v>
      </c>
      <c r="E39" s="76">
        <f>D39-C39</f>
        <v>862000</v>
      </c>
      <c r="F39" s="77">
        <f>IF(C39=0,0,E39/C39)</f>
        <v>-0.5288343558282208</v>
      </c>
    </row>
    <row r="40" spans="1:6" ht="23.1" customHeight="1" x14ac:dyDescent="0.25">
      <c r="A40" s="83"/>
      <c r="B40" s="78" t="s">
        <v>97</v>
      </c>
      <c r="C40" s="79">
        <f>SUM(C37:C39)</f>
        <v>25040000</v>
      </c>
      <c r="D40" s="79">
        <f>SUM(D37:D39)</f>
        <v>-13177000</v>
      </c>
      <c r="E40" s="79">
        <f>D40-C40</f>
        <v>-38217000</v>
      </c>
      <c r="F40" s="80">
        <f>IF(C40=0,0,E40/C40)</f>
        <v>-1.526238019169329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41441000</v>
      </c>
      <c r="D42" s="79">
        <f>D34+D40</f>
        <v>-32883000</v>
      </c>
      <c r="E42" s="79">
        <f>D42-C42</f>
        <v>-74324000</v>
      </c>
      <c r="F42" s="80">
        <f>IF(C42=0,0,E42/C42)</f>
        <v>-1.7934895393450929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41441000</v>
      </c>
      <c r="D49" s="79">
        <f>D42+D47</f>
        <v>-32883000</v>
      </c>
      <c r="E49" s="79">
        <f>D49-C49</f>
        <v>-74324000</v>
      </c>
      <c r="F49" s="80">
        <f>IF(C49=0,0,E49/C49)</f>
        <v>-1.7934895393450929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FILING&amp;R&amp;8ST VINCENTS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2016-07-20T14:52:28Z</cp:lastPrinted>
  <dcterms:created xsi:type="dcterms:W3CDTF">2016-07-19T18:41:48Z</dcterms:created>
  <dcterms:modified xsi:type="dcterms:W3CDTF">2016-07-20T14:53:00Z</dcterms:modified>
</cp:coreProperties>
</file>