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D98" i="22" s="1"/>
  <c r="C97" i="22"/>
  <c r="E96" i="22"/>
  <c r="E98" i="22"/>
  <c r="D96" i="22"/>
  <c r="C96" i="22"/>
  <c r="C98" i="22"/>
  <c r="E92" i="22"/>
  <c r="D92" i="22"/>
  <c r="C92" i="22"/>
  <c r="E91" i="22"/>
  <c r="E93" i="22" s="1"/>
  <c r="D91" i="22"/>
  <c r="D93" i="22" s="1"/>
  <c r="C91" i="22"/>
  <c r="C93" i="22" s="1"/>
  <c r="E87" i="22"/>
  <c r="D87" i="22"/>
  <c r="C87" i="22"/>
  <c r="E86" i="22"/>
  <c r="E88" i="22"/>
  <c r="D86" i="22"/>
  <c r="D88" i="22"/>
  <c r="C86" i="22"/>
  <c r="C88" i="22" s="1"/>
  <c r="E83" i="22"/>
  <c r="E101" i="22" s="1"/>
  <c r="D83" i="22"/>
  <c r="D102" i="22"/>
  <c r="C83" i="22"/>
  <c r="C101" i="22"/>
  <c r="E76" i="22"/>
  <c r="E102" i="22" s="1"/>
  <c r="E103" i="22" s="1"/>
  <c r="D76" i="22"/>
  <c r="C76" i="22"/>
  <c r="E75" i="22"/>
  <c r="D75" i="22"/>
  <c r="D77" i="22" s="1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D34" i="22" s="1"/>
  <c r="C12" i="22"/>
  <c r="C23" i="22" s="1"/>
  <c r="D21" i="21"/>
  <c r="E21" i="21"/>
  <c r="C21" i="21"/>
  <c r="D19" i="21"/>
  <c r="E19" i="21" s="1"/>
  <c r="F19" i="21" s="1"/>
  <c r="C19" i="21"/>
  <c r="E17" i="21"/>
  <c r="F17" i="21" s="1"/>
  <c r="E15" i="21"/>
  <c r="F15" i="21" s="1"/>
  <c r="D45" i="20"/>
  <c r="E45" i="20" s="1"/>
  <c r="F45" i="20" s="1"/>
  <c r="C45" i="20"/>
  <c r="D44" i="20"/>
  <c r="E44" i="20" s="1"/>
  <c r="C44" i="20"/>
  <c r="D43" i="20"/>
  <c r="E43" i="20" s="1"/>
  <c r="C43" i="20"/>
  <c r="C46" i="20" s="1"/>
  <c r="D36" i="20"/>
  <c r="D40" i="20" s="1"/>
  <c r="C36" i="20"/>
  <c r="E35" i="20"/>
  <c r="F35" i="20" s="1"/>
  <c r="E34" i="20"/>
  <c r="F34" i="20" s="1"/>
  <c r="F33" i="20"/>
  <c r="E33" i="20"/>
  <c r="E36" i="20"/>
  <c r="E30" i="20"/>
  <c r="F30" i="20" s="1"/>
  <c r="E29" i="20"/>
  <c r="F29" i="20" s="1"/>
  <c r="F28" i="20"/>
  <c r="E28" i="20"/>
  <c r="F27" i="20"/>
  <c r="E27" i="20"/>
  <c r="D25" i="20"/>
  <c r="D39" i="20"/>
  <c r="C25" i="20"/>
  <c r="C39" i="20"/>
  <c r="F24" i="20"/>
  <c r="E24" i="20"/>
  <c r="F23" i="20"/>
  <c r="E23" i="20"/>
  <c r="E22" i="20"/>
  <c r="F22" i="20" s="1"/>
  <c r="D19" i="20"/>
  <c r="E19" i="20" s="1"/>
  <c r="F19" i="20" s="1"/>
  <c r="C19" i="20"/>
  <c r="C20" i="20" s="1"/>
  <c r="F18" i="20"/>
  <c r="E18" i="20"/>
  <c r="D16" i="20"/>
  <c r="E16" i="20"/>
  <c r="C16" i="20"/>
  <c r="F15" i="20"/>
  <c r="E15" i="20"/>
  <c r="F13" i="20"/>
  <c r="E13" i="20"/>
  <c r="E12" i="20"/>
  <c r="F12" i="20" s="1"/>
  <c r="C139" i="19"/>
  <c r="C143" i="19" s="1"/>
  <c r="C115" i="19"/>
  <c r="C105" i="19"/>
  <c r="C137" i="19" s="1"/>
  <c r="C96" i="19"/>
  <c r="C95" i="19"/>
  <c r="C89" i="19"/>
  <c r="C88" i="19"/>
  <c r="C83" i="19"/>
  <c r="C77" i="19"/>
  <c r="C78" i="19" s="1"/>
  <c r="C63" i="19"/>
  <c r="C59" i="19"/>
  <c r="C60" i="19" s="1"/>
  <c r="C48" i="19"/>
  <c r="C36" i="19"/>
  <c r="C32" i="19"/>
  <c r="C33" i="19"/>
  <c r="C21" i="19"/>
  <c r="C37" i="19" s="1"/>
  <c r="E328" i="18"/>
  <c r="E325" i="18"/>
  <c r="D324" i="18"/>
  <c r="D326" i="18" s="1"/>
  <c r="C324" i="18"/>
  <c r="C326" i="18"/>
  <c r="C330" i="18" s="1"/>
  <c r="E318" i="18"/>
  <c r="E315" i="18"/>
  <c r="D314" i="18"/>
  <c r="D316" i="18"/>
  <c r="C314" i="18"/>
  <c r="C316" i="18" s="1"/>
  <c r="C320" i="18" s="1"/>
  <c r="E308" i="18"/>
  <c r="E305" i="18"/>
  <c r="D301" i="18"/>
  <c r="C301" i="18"/>
  <c r="C303" i="18"/>
  <c r="C306" i="18" s="1"/>
  <c r="C310" i="18" s="1"/>
  <c r="D293" i="18"/>
  <c r="E293" i="18" s="1"/>
  <c r="C293" i="18"/>
  <c r="D292" i="18"/>
  <c r="C292" i="18"/>
  <c r="E292" i="18"/>
  <c r="D291" i="18"/>
  <c r="C291" i="18"/>
  <c r="D290" i="18"/>
  <c r="E290" i="18" s="1"/>
  <c r="C290" i="18"/>
  <c r="D288" i="18"/>
  <c r="C288" i="18"/>
  <c r="E288" i="18" s="1"/>
  <c r="D287" i="18"/>
  <c r="E287" i="18"/>
  <c r="C287" i="18"/>
  <c r="D282" i="18"/>
  <c r="C282" i="18"/>
  <c r="E282" i="18" s="1"/>
  <c r="D281" i="18"/>
  <c r="E281" i="18" s="1"/>
  <c r="C281" i="18"/>
  <c r="D280" i="18"/>
  <c r="C280" i="18"/>
  <c r="D279" i="18"/>
  <c r="E279" i="18" s="1"/>
  <c r="C279" i="18"/>
  <c r="D278" i="18"/>
  <c r="C278" i="18"/>
  <c r="E278" i="18"/>
  <c r="D277" i="18"/>
  <c r="E277" i="18" s="1"/>
  <c r="C277" i="18"/>
  <c r="D276" i="18"/>
  <c r="C276" i="18"/>
  <c r="E276" i="18" s="1"/>
  <c r="E270" i="18"/>
  <c r="D265" i="18"/>
  <c r="D302" i="18" s="1"/>
  <c r="E302" i="18" s="1"/>
  <c r="C265" i="18"/>
  <c r="C302" i="18" s="1"/>
  <c r="D262" i="18"/>
  <c r="C262" i="18"/>
  <c r="D251" i="18"/>
  <c r="C251" i="18"/>
  <c r="D233" i="18"/>
  <c r="C233" i="18"/>
  <c r="C253" i="18" s="1"/>
  <c r="D232" i="18"/>
  <c r="E232" i="18" s="1"/>
  <c r="C232" i="18"/>
  <c r="D231" i="18"/>
  <c r="C231" i="18"/>
  <c r="D230" i="18"/>
  <c r="E230" i="18" s="1"/>
  <c r="C230" i="18"/>
  <c r="D228" i="18"/>
  <c r="E228" i="18" s="1"/>
  <c r="C228" i="18"/>
  <c r="D227" i="18"/>
  <c r="C227" i="18"/>
  <c r="E227" i="18"/>
  <c r="D221" i="18"/>
  <c r="C221" i="18"/>
  <c r="C245" i="18"/>
  <c r="D220" i="18"/>
  <c r="D244" i="18" s="1"/>
  <c r="C220" i="18"/>
  <c r="C244" i="18" s="1"/>
  <c r="E244" i="18"/>
  <c r="D219" i="18"/>
  <c r="C219" i="18"/>
  <c r="D218" i="18"/>
  <c r="D242" i="18"/>
  <c r="C218" i="18"/>
  <c r="C242" i="18" s="1"/>
  <c r="D216" i="18"/>
  <c r="D240" i="18"/>
  <c r="E240" i="18" s="1"/>
  <c r="C216" i="18"/>
  <c r="C240" i="18"/>
  <c r="D215" i="18"/>
  <c r="C215" i="18"/>
  <c r="C239" i="18"/>
  <c r="D210" i="18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8" i="18"/>
  <c r="D189" i="18" s="1"/>
  <c r="C188" i="18"/>
  <c r="E186" i="18"/>
  <c r="E185" i="18"/>
  <c r="D179" i="18"/>
  <c r="C179" i="18"/>
  <c r="E179" i="18" s="1"/>
  <c r="D178" i="18"/>
  <c r="E178" i="18" s="1"/>
  <c r="C178" i="18"/>
  <c r="D177" i="18"/>
  <c r="C177" i="18"/>
  <c r="D176" i="18"/>
  <c r="C176" i="18"/>
  <c r="D174" i="18"/>
  <c r="E174" i="18"/>
  <c r="C174" i="18"/>
  <c r="D173" i="18"/>
  <c r="C173" i="18"/>
  <c r="E173" i="18" s="1"/>
  <c r="D167" i="18"/>
  <c r="E167" i="18"/>
  <c r="C167" i="18"/>
  <c r="D166" i="18"/>
  <c r="E166" i="18" s="1"/>
  <c r="C166" i="18"/>
  <c r="D165" i="18"/>
  <c r="C165" i="18"/>
  <c r="D164" i="18"/>
  <c r="E164" i="18" s="1"/>
  <c r="C164" i="18"/>
  <c r="D162" i="18"/>
  <c r="E162" i="18" s="1"/>
  <c r="C162" i="18"/>
  <c r="D161" i="18"/>
  <c r="C161" i="18"/>
  <c r="E161" i="18" s="1"/>
  <c r="D156" i="18"/>
  <c r="E155" i="18"/>
  <c r="E154" i="18"/>
  <c r="E153" i="18"/>
  <c r="E152" i="18"/>
  <c r="D151" i="18"/>
  <c r="C151" i="18"/>
  <c r="C156" i="18"/>
  <c r="E150" i="18"/>
  <c r="E149" i="18"/>
  <c r="E143" i="18"/>
  <c r="E142" i="18"/>
  <c r="E141" i="18"/>
  <c r="E140" i="18"/>
  <c r="D139" i="18"/>
  <c r="C139" i="18"/>
  <c r="C144" i="18" s="1"/>
  <c r="C168" i="18" s="1"/>
  <c r="E138" i="18"/>
  <c r="E137" i="18"/>
  <c r="D75" i="18"/>
  <c r="C75" i="18"/>
  <c r="E75" i="18"/>
  <c r="D74" i="18"/>
  <c r="E74" i="18" s="1"/>
  <c r="C74" i="18"/>
  <c r="D73" i="18"/>
  <c r="E73" i="18" s="1"/>
  <c r="C73" i="18"/>
  <c r="D72" i="18"/>
  <c r="E72" i="18"/>
  <c r="C72" i="18"/>
  <c r="D70" i="18"/>
  <c r="E70" i="18" s="1"/>
  <c r="C70" i="18"/>
  <c r="D69" i="18"/>
  <c r="C69" i="18"/>
  <c r="E64" i="18"/>
  <c r="E63" i="18"/>
  <c r="E62" i="18"/>
  <c r="E61" i="18"/>
  <c r="D60" i="18"/>
  <c r="D289" i="18"/>
  <c r="C60" i="18"/>
  <c r="E59" i="18"/>
  <c r="E58" i="18"/>
  <c r="D54" i="18"/>
  <c r="D55" i="18" s="1"/>
  <c r="C54" i="18"/>
  <c r="C55" i="18" s="1"/>
  <c r="E53" i="18"/>
  <c r="E52" i="18"/>
  <c r="E51" i="18"/>
  <c r="E50" i="18"/>
  <c r="E49" i="18"/>
  <c r="E48" i="18"/>
  <c r="E47" i="18"/>
  <c r="D42" i="18"/>
  <c r="E42" i="18"/>
  <c r="C42" i="18"/>
  <c r="D41" i="18"/>
  <c r="C41" i="18"/>
  <c r="E41" i="18"/>
  <c r="D40" i="18"/>
  <c r="E40" i="18" s="1"/>
  <c r="C40" i="18"/>
  <c r="D39" i="18"/>
  <c r="E39" i="18" s="1"/>
  <c r="C39" i="18"/>
  <c r="D38" i="18"/>
  <c r="E38" i="18"/>
  <c r="C38" i="18"/>
  <c r="D37" i="18"/>
  <c r="D43" i="18"/>
  <c r="C37" i="18"/>
  <c r="C43" i="18" s="1"/>
  <c r="D36" i="18"/>
  <c r="E36" i="18"/>
  <c r="C36" i="18"/>
  <c r="C44" i="18" s="1"/>
  <c r="C33" i="18"/>
  <c r="D32" i="18"/>
  <c r="C32" i="18"/>
  <c r="E31" i="18"/>
  <c r="E30" i="18"/>
  <c r="E29" i="18"/>
  <c r="E28" i="18"/>
  <c r="E27" i="18"/>
  <c r="E26" i="18"/>
  <c r="E25" i="18"/>
  <c r="D21" i="18"/>
  <c r="D22" i="18" s="1"/>
  <c r="C21" i="18"/>
  <c r="E20" i="18"/>
  <c r="E19" i="18"/>
  <c r="E18" i="18"/>
  <c r="E17" i="18"/>
  <c r="E16" i="18"/>
  <c r="E15" i="18"/>
  <c r="E14" i="18"/>
  <c r="E335" i="17"/>
  <c r="F335" i="17" s="1"/>
  <c r="F334" i="17"/>
  <c r="E334" i="17"/>
  <c r="F333" i="17"/>
  <c r="E333" i="17"/>
  <c r="F332" i="17"/>
  <c r="E332" i="17"/>
  <c r="E331" i="17"/>
  <c r="F331" i="17" s="1"/>
  <c r="F330" i="17"/>
  <c r="E330" i="17"/>
  <c r="E329" i="17"/>
  <c r="F329" i="17" s="1"/>
  <c r="F316" i="17"/>
  <c r="E316" i="17"/>
  <c r="D311" i="17"/>
  <c r="E311" i="17"/>
  <c r="C311" i="17"/>
  <c r="F311" i="17" s="1"/>
  <c r="E308" i="17"/>
  <c r="F308" i="17"/>
  <c r="D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C250" i="17"/>
  <c r="E249" i="17"/>
  <c r="F249" i="17" s="1"/>
  <c r="E248" i="17"/>
  <c r="F248" i="17"/>
  <c r="F245" i="17"/>
  <c r="E245" i="17"/>
  <c r="E244" i="17"/>
  <c r="F244" i="17" s="1"/>
  <c r="E243" i="17"/>
  <c r="F243" i="17" s="1"/>
  <c r="D238" i="17"/>
  <c r="C238" i="17"/>
  <c r="D237" i="17"/>
  <c r="D239" i="17" s="1"/>
  <c r="C237" i="17"/>
  <c r="E234" i="17"/>
  <c r="F234" i="17"/>
  <c r="E233" i="17"/>
  <c r="F233" i="17" s="1"/>
  <c r="D230" i="17"/>
  <c r="C230" i="17"/>
  <c r="D229" i="17"/>
  <c r="C229" i="17"/>
  <c r="E228" i="17"/>
  <c r="F228" i="17"/>
  <c r="D226" i="17"/>
  <c r="D227" i="17" s="1"/>
  <c r="C226" i="17"/>
  <c r="E225" i="17"/>
  <c r="F225" i="17"/>
  <c r="E224" i="17"/>
  <c r="F224" i="17"/>
  <c r="D223" i="17"/>
  <c r="C223" i="17"/>
  <c r="E222" i="17"/>
  <c r="F222" i="17" s="1"/>
  <c r="E221" i="17"/>
  <c r="F221" i="17"/>
  <c r="D204" i="17"/>
  <c r="C204" i="17"/>
  <c r="D203" i="17"/>
  <c r="C203" i="17"/>
  <c r="D198" i="17"/>
  <c r="D200" i="17" s="1"/>
  <c r="E200" i="17" s="1"/>
  <c r="C198" i="17"/>
  <c r="D191" i="17"/>
  <c r="D280" i="17" s="1"/>
  <c r="C191" i="17"/>
  <c r="D189" i="17"/>
  <c r="D278" i="17" s="1"/>
  <c r="C189" i="17"/>
  <c r="C262" i="17" s="1"/>
  <c r="D188" i="17"/>
  <c r="D277" i="17"/>
  <c r="C188" i="17"/>
  <c r="D180" i="17"/>
  <c r="C180" i="17"/>
  <c r="D179" i="17"/>
  <c r="C179" i="17"/>
  <c r="D171" i="17"/>
  <c r="D172" i="17"/>
  <c r="D173" i="17" s="1"/>
  <c r="C171" i="17"/>
  <c r="C172" i="17"/>
  <c r="D170" i="17"/>
  <c r="C170" i="17"/>
  <c r="E169" i="17"/>
  <c r="F169" i="17" s="1"/>
  <c r="E168" i="17"/>
  <c r="F168" i="17" s="1"/>
  <c r="D165" i="17"/>
  <c r="C165" i="17"/>
  <c r="D164" i="17"/>
  <c r="C164" i="17"/>
  <c r="E163" i="17"/>
  <c r="F163" i="17" s="1"/>
  <c r="D158" i="17"/>
  <c r="D159" i="17"/>
  <c r="E159" i="17" s="1"/>
  <c r="F159" i="17" s="1"/>
  <c r="C158" i="17"/>
  <c r="C159" i="17" s="1"/>
  <c r="E157" i="17"/>
  <c r="F157" i="17"/>
  <c r="E156" i="17"/>
  <c r="F156" i="17"/>
  <c r="D155" i="17"/>
  <c r="C155" i="17"/>
  <c r="E154" i="17"/>
  <c r="F154" i="17" s="1"/>
  <c r="E153" i="17"/>
  <c r="F153" i="17"/>
  <c r="D145" i="17"/>
  <c r="C145" i="17"/>
  <c r="D144" i="17"/>
  <c r="D146" i="17"/>
  <c r="C144" i="17"/>
  <c r="D136" i="17"/>
  <c r="D137" i="17"/>
  <c r="C136" i="17"/>
  <c r="C137" i="17" s="1"/>
  <c r="D135" i="17"/>
  <c r="C135" i="17"/>
  <c r="E135" i="17" s="1"/>
  <c r="E134" i="17"/>
  <c r="F134" i="17" s="1"/>
  <c r="E133" i="17"/>
  <c r="F133" i="17" s="1"/>
  <c r="D130" i="17"/>
  <c r="C130" i="17"/>
  <c r="D129" i="17"/>
  <c r="C129" i="17"/>
  <c r="E128" i="17"/>
  <c r="F128" i="17" s="1"/>
  <c r="D123" i="17"/>
  <c r="D192" i="17"/>
  <c r="E192" i="17" s="1"/>
  <c r="C123" i="17"/>
  <c r="C124" i="17"/>
  <c r="E122" i="17"/>
  <c r="F122" i="17"/>
  <c r="E121" i="17"/>
  <c r="F121" i="17" s="1"/>
  <c r="D120" i="17"/>
  <c r="C120" i="17"/>
  <c r="E119" i="17"/>
  <c r="F119" i="17"/>
  <c r="E118" i="17"/>
  <c r="F118" i="17"/>
  <c r="D110" i="17"/>
  <c r="C110" i="17"/>
  <c r="D109" i="17"/>
  <c r="C109" i="17"/>
  <c r="D101" i="17"/>
  <c r="C101" i="17"/>
  <c r="C102" i="17" s="1"/>
  <c r="C103" i="17" s="1"/>
  <c r="D100" i="17"/>
  <c r="E100" i="17"/>
  <c r="C100" i="17"/>
  <c r="E99" i="17"/>
  <c r="F99" i="17"/>
  <c r="E98" i="17"/>
  <c r="F98" i="17" s="1"/>
  <c r="D95" i="17"/>
  <c r="E95" i="17" s="1"/>
  <c r="C95" i="17"/>
  <c r="D94" i="17"/>
  <c r="E94" i="17"/>
  <c r="F94" i="17" s="1"/>
  <c r="C94" i="17"/>
  <c r="E93" i="17"/>
  <c r="F93" i="17" s="1"/>
  <c r="D88" i="17"/>
  <c r="C88" i="17"/>
  <c r="C89" i="17"/>
  <c r="E87" i="17"/>
  <c r="F87" i="17"/>
  <c r="E86" i="17"/>
  <c r="F86" i="17" s="1"/>
  <c r="D85" i="17"/>
  <c r="E85" i="17" s="1"/>
  <c r="F85" i="17" s="1"/>
  <c r="C85" i="17"/>
  <c r="E84" i="17"/>
  <c r="F84" i="17"/>
  <c r="E83" i="17"/>
  <c r="F83" i="17" s="1"/>
  <c r="C77" i="17"/>
  <c r="D76" i="17"/>
  <c r="D77" i="17"/>
  <c r="E77" i="17" s="1"/>
  <c r="C76" i="17"/>
  <c r="E74" i="17"/>
  <c r="F74" i="17"/>
  <c r="E73" i="17"/>
  <c r="F73" i="17"/>
  <c r="D67" i="17"/>
  <c r="C67" i="17"/>
  <c r="D66" i="17"/>
  <c r="D68" i="17" s="1"/>
  <c r="C66" i="17"/>
  <c r="D59" i="17"/>
  <c r="D60" i="17" s="1"/>
  <c r="D61" i="17" s="1"/>
  <c r="C59" i="17"/>
  <c r="D58" i="17"/>
  <c r="E58" i="17" s="1"/>
  <c r="C58" i="17"/>
  <c r="F58" i="17" s="1"/>
  <c r="E57" i="17"/>
  <c r="F57" i="17"/>
  <c r="E56" i="17"/>
  <c r="F56" i="17" s="1"/>
  <c r="D53" i="17"/>
  <c r="C53" i="17"/>
  <c r="D52" i="17"/>
  <c r="C52" i="17"/>
  <c r="E51" i="17"/>
  <c r="F51" i="17"/>
  <c r="C48" i="17"/>
  <c r="D47" i="17"/>
  <c r="D48" i="17"/>
  <c r="C47" i="17"/>
  <c r="E46" i="17"/>
  <c r="F46" i="17"/>
  <c r="E45" i="17"/>
  <c r="F45" i="17"/>
  <c r="D44" i="17"/>
  <c r="E44" i="17" s="1"/>
  <c r="F44" i="17" s="1"/>
  <c r="C44" i="17"/>
  <c r="E43" i="17"/>
  <c r="F43" i="17" s="1"/>
  <c r="E42" i="17"/>
  <c r="F42" i="17"/>
  <c r="D36" i="17"/>
  <c r="C36" i="17"/>
  <c r="D35" i="17"/>
  <c r="D37" i="17" s="1"/>
  <c r="C35" i="17"/>
  <c r="D30" i="17"/>
  <c r="D31" i="17" s="1"/>
  <c r="D32" i="17" s="1"/>
  <c r="C30" i="17"/>
  <c r="C31" i="17" s="1"/>
  <c r="D29" i="17"/>
  <c r="C29" i="17"/>
  <c r="E28" i="17"/>
  <c r="F28" i="17" s="1"/>
  <c r="E27" i="17"/>
  <c r="F27" i="17"/>
  <c r="D24" i="17"/>
  <c r="C24" i="17"/>
  <c r="D23" i="17"/>
  <c r="C23" i="17"/>
  <c r="E22" i="17"/>
  <c r="F22" i="17" s="1"/>
  <c r="D20" i="17"/>
  <c r="E20" i="17" s="1"/>
  <c r="F20" i="17" s="1"/>
  <c r="C20" i="17"/>
  <c r="E19" i="17"/>
  <c r="F19" i="17"/>
  <c r="E18" i="17"/>
  <c r="F18" i="17" s="1"/>
  <c r="D17" i="17"/>
  <c r="C17" i="17"/>
  <c r="E16" i="17"/>
  <c r="F16" i="17"/>
  <c r="E15" i="17"/>
  <c r="F15" i="17"/>
  <c r="D21" i="16"/>
  <c r="E21" i="16" s="1"/>
  <c r="F21" i="16" s="1"/>
  <c r="C21" i="16"/>
  <c r="E20" i="16"/>
  <c r="F20" i="16" s="1"/>
  <c r="D17" i="16"/>
  <c r="E17" i="16"/>
  <c r="F17" i="16" s="1"/>
  <c r="C17" i="16"/>
  <c r="F16" i="16"/>
  <c r="E16" i="16"/>
  <c r="D13" i="16"/>
  <c r="E13" i="16"/>
  <c r="C13" i="16"/>
  <c r="F12" i="16"/>
  <c r="E12" i="16"/>
  <c r="D107" i="15"/>
  <c r="E107" i="15" s="1"/>
  <c r="F107" i="15" s="1"/>
  <c r="C107" i="15"/>
  <c r="E106" i="15"/>
  <c r="F106" i="15" s="1"/>
  <c r="F105" i="15"/>
  <c r="E105" i="15"/>
  <c r="F104" i="15"/>
  <c r="E104" i="15"/>
  <c r="D100" i="15"/>
  <c r="E100" i="15" s="1"/>
  <c r="C100" i="15"/>
  <c r="F99" i="15"/>
  <c r="E99" i="15"/>
  <c r="F98" i="15"/>
  <c r="E98" i="15"/>
  <c r="E97" i="15"/>
  <c r="F97" i="15" s="1"/>
  <c r="E96" i="15"/>
  <c r="F96" i="15" s="1"/>
  <c r="F95" i="15"/>
  <c r="E95" i="15"/>
  <c r="D92" i="15"/>
  <c r="E92" i="15" s="1"/>
  <c r="C92" i="15"/>
  <c r="F91" i="15"/>
  <c r="E91" i="15"/>
  <c r="F90" i="15"/>
  <c r="E90" i="15"/>
  <c r="F89" i="15"/>
  <c r="E89" i="15"/>
  <c r="F88" i="15"/>
  <c r="E88" i="15"/>
  <c r="E87" i="15"/>
  <c r="F87" i="15" s="1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 s="1"/>
  <c r="F75" i="15"/>
  <c r="D70" i="15"/>
  <c r="E70" i="15" s="1"/>
  <c r="F70" i="15" s="1"/>
  <c r="C70" i="15"/>
  <c r="F69" i="15"/>
  <c r="E69" i="15"/>
  <c r="E68" i="15"/>
  <c r="F68" i="15" s="1"/>
  <c r="D65" i="15"/>
  <c r="E65" i="15" s="1"/>
  <c r="F65" i="15" s="1"/>
  <c r="C65" i="15"/>
  <c r="F64" i="15"/>
  <c r="E64" i="15"/>
  <c r="E63" i="15"/>
  <c r="F63" i="15" s="1"/>
  <c r="D60" i="15"/>
  <c r="C60" i="15"/>
  <c r="F59" i="15"/>
  <c r="E59" i="15"/>
  <c r="E58" i="15"/>
  <c r="D55" i="15"/>
  <c r="E55" i="15" s="1"/>
  <c r="F55" i="15" s="1"/>
  <c r="C55" i="15"/>
  <c r="E54" i="15"/>
  <c r="F54" i="15" s="1"/>
  <c r="E53" i="15"/>
  <c r="F53" i="15" s="1"/>
  <c r="D50" i="15"/>
  <c r="E50" i="15" s="1"/>
  <c r="F50" i="15" s="1"/>
  <c r="C50" i="15"/>
  <c r="E49" i="15"/>
  <c r="F49" i="15" s="1"/>
  <c r="E48" i="15"/>
  <c r="F48" i="15" s="1"/>
  <c r="D45" i="15"/>
  <c r="E45" i="15" s="1"/>
  <c r="F45" i="15" s="1"/>
  <c r="C45" i="15"/>
  <c r="E44" i="15"/>
  <c r="F44" i="15" s="1"/>
  <c r="E43" i="15"/>
  <c r="F43" i="15" s="1"/>
  <c r="D37" i="15"/>
  <c r="E37" i="15" s="1"/>
  <c r="F37" i="15" s="1"/>
  <c r="C37" i="15"/>
  <c r="F36" i="15"/>
  <c r="E36" i="15"/>
  <c r="E35" i="15"/>
  <c r="F35" i="15" s="1"/>
  <c r="F34" i="15"/>
  <c r="E34" i="15"/>
  <c r="F33" i="15"/>
  <c r="E33" i="15"/>
  <c r="F30" i="15"/>
  <c r="D30" i="15"/>
  <c r="E30" i="15" s="1"/>
  <c r="C30" i="15"/>
  <c r="F29" i="15"/>
  <c r="E29" i="15"/>
  <c r="F28" i="15"/>
  <c r="E28" i="15"/>
  <c r="F27" i="15"/>
  <c r="E27" i="15"/>
  <c r="F26" i="15"/>
  <c r="E26" i="15"/>
  <c r="D23" i="15"/>
  <c r="E23" i="15" s="1"/>
  <c r="F23" i="15" s="1"/>
  <c r="C23" i="15"/>
  <c r="F22" i="15"/>
  <c r="E22" i="15"/>
  <c r="E21" i="15"/>
  <c r="F21" i="15" s="1"/>
  <c r="F20" i="15"/>
  <c r="E20" i="15"/>
  <c r="F19" i="15"/>
  <c r="E19" i="15"/>
  <c r="D16" i="15"/>
  <c r="E16" i="15"/>
  <c r="C16" i="15"/>
  <c r="F15" i="15"/>
  <c r="E15" i="15"/>
  <c r="F14" i="15"/>
  <c r="E14" i="15"/>
  <c r="E13" i="15"/>
  <c r="F13" i="15" s="1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F31" i="14" s="1"/>
  <c r="E17" i="14"/>
  <c r="D17" i="14"/>
  <c r="D31" i="14" s="1"/>
  <c r="D33" i="14"/>
  <c r="D36" i="14" s="1"/>
  <c r="D38" i="14" s="1"/>
  <c r="D40" i="14" s="1"/>
  <c r="C17" i="14"/>
  <c r="C31" i="14"/>
  <c r="I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D80" i="13"/>
  <c r="D77" i="13"/>
  <c r="C78" i="13"/>
  <c r="C80" i="13"/>
  <c r="C77" i="13" s="1"/>
  <c r="E73" i="13"/>
  <c r="E75" i="13" s="1"/>
  <c r="D73" i="13"/>
  <c r="D75" i="13" s="1"/>
  <c r="C73" i="13"/>
  <c r="C75" i="13" s="1"/>
  <c r="E71" i="13"/>
  <c r="D71" i="13"/>
  <c r="C71" i="13"/>
  <c r="E66" i="13"/>
  <c r="E65" i="13" s="1"/>
  <c r="D66" i="13"/>
  <c r="D65" i="13"/>
  <c r="C66" i="13"/>
  <c r="C65" i="13" s="1"/>
  <c r="E60" i="13"/>
  <c r="D60" i="13"/>
  <c r="C60" i="13"/>
  <c r="E58" i="13"/>
  <c r="D58" i="13"/>
  <c r="C58" i="13"/>
  <c r="E55" i="13"/>
  <c r="D55" i="13"/>
  <c r="C55" i="13"/>
  <c r="E54" i="13"/>
  <c r="E50" i="13" s="1"/>
  <c r="D54" i="13"/>
  <c r="C54" i="13"/>
  <c r="C50" i="13" s="1"/>
  <c r="E46" i="13"/>
  <c r="E59" i="13" s="1"/>
  <c r="E61" i="13" s="1"/>
  <c r="E57" i="13" s="1"/>
  <c r="D46" i="13"/>
  <c r="C46" i="13"/>
  <c r="C59" i="13"/>
  <c r="C61" i="13" s="1"/>
  <c r="C57" i="13" s="1"/>
  <c r="E45" i="13"/>
  <c r="D45" i="13"/>
  <c r="C45" i="13"/>
  <c r="E38" i="13"/>
  <c r="D38" i="13"/>
  <c r="C38" i="13"/>
  <c r="E33" i="13"/>
  <c r="E34" i="13"/>
  <c r="D33" i="13"/>
  <c r="D34" i="13" s="1"/>
  <c r="E26" i="13"/>
  <c r="D26" i="13"/>
  <c r="C26" i="13"/>
  <c r="D25" i="13"/>
  <c r="D27" i="13" s="1"/>
  <c r="D15" i="13"/>
  <c r="D24" i="13"/>
  <c r="E13" i="13"/>
  <c r="E25" i="13"/>
  <c r="E27" i="13" s="1"/>
  <c r="D13" i="13"/>
  <c r="C13" i="13"/>
  <c r="C25" i="13" s="1"/>
  <c r="C27" i="13"/>
  <c r="D47" i="12"/>
  <c r="E47" i="12" s="1"/>
  <c r="C47" i="12"/>
  <c r="F47" i="12"/>
  <c r="F46" i="12"/>
  <c r="E46" i="12"/>
  <c r="F45" i="12"/>
  <c r="E45" i="12"/>
  <c r="D40" i="12"/>
  <c r="C40" i="12"/>
  <c r="E40" i="12" s="1"/>
  <c r="F40" i="12" s="1"/>
  <c r="E39" i="12"/>
  <c r="F39" i="12"/>
  <c r="F38" i="12"/>
  <c r="E38" i="12"/>
  <c r="E37" i="12"/>
  <c r="F37" i="12" s="1"/>
  <c r="D32" i="12"/>
  <c r="C32" i="12"/>
  <c r="E31" i="12"/>
  <c r="F31" i="12"/>
  <c r="E30" i="12"/>
  <c r="F30" i="12" s="1"/>
  <c r="E29" i="12"/>
  <c r="F29" i="12" s="1"/>
  <c r="E28" i="12"/>
  <c r="F28" i="12" s="1"/>
  <c r="E27" i="12"/>
  <c r="F27" i="12"/>
  <c r="E26" i="12"/>
  <c r="F26" i="12" s="1"/>
  <c r="E25" i="12"/>
  <c r="F25" i="12" s="1"/>
  <c r="E24" i="12"/>
  <c r="F24" i="12"/>
  <c r="E23" i="12"/>
  <c r="F23" i="12"/>
  <c r="E19" i="12"/>
  <c r="F19" i="12" s="1"/>
  <c r="E18" i="12"/>
  <c r="F18" i="12" s="1"/>
  <c r="F16" i="12"/>
  <c r="E16" i="12"/>
  <c r="D15" i="12"/>
  <c r="D17" i="12"/>
  <c r="D20" i="12" s="1"/>
  <c r="C15" i="12"/>
  <c r="F14" i="12"/>
  <c r="E14" i="12"/>
  <c r="E13" i="12"/>
  <c r="F13" i="12"/>
  <c r="E12" i="12"/>
  <c r="F12" i="12" s="1"/>
  <c r="E11" i="12"/>
  <c r="F11" i="12"/>
  <c r="D73" i="11"/>
  <c r="C73" i="11"/>
  <c r="F72" i="11"/>
  <c r="E72" i="11"/>
  <c r="E71" i="11"/>
  <c r="F71" i="11" s="1"/>
  <c r="E70" i="11"/>
  <c r="F70" i="11" s="1"/>
  <c r="F67" i="11"/>
  <c r="E67" i="11"/>
  <c r="F64" i="11"/>
  <c r="E64" i="11"/>
  <c r="E63" i="11"/>
  <c r="F63" i="11" s="1"/>
  <c r="D61" i="11"/>
  <c r="D65" i="11"/>
  <c r="C61" i="11"/>
  <c r="E60" i="11"/>
  <c r="F60" i="11" s="1"/>
  <c r="F59" i="11"/>
  <c r="E59" i="11"/>
  <c r="D56" i="11"/>
  <c r="D75" i="11" s="1"/>
  <c r="C56" i="11"/>
  <c r="F55" i="11"/>
  <c r="E55" i="11"/>
  <c r="E54" i="11"/>
  <c r="F54" i="11"/>
  <c r="E53" i="11"/>
  <c r="F53" i="11" s="1"/>
  <c r="F52" i="11"/>
  <c r="E52" i="11"/>
  <c r="E51" i="11"/>
  <c r="F51" i="11" s="1"/>
  <c r="E50" i="11"/>
  <c r="F50" i="11"/>
  <c r="A50" i="11"/>
  <c r="A51" i="11" s="1"/>
  <c r="A52" i="11" s="1"/>
  <c r="A53" i="11" s="1"/>
  <c r="A54" i="11" s="1"/>
  <c r="A55" i="11" s="1"/>
  <c r="E49" i="11"/>
  <c r="F49" i="11" s="1"/>
  <c r="E40" i="11"/>
  <c r="F40" i="11" s="1"/>
  <c r="D38" i="11"/>
  <c r="D41" i="11" s="1"/>
  <c r="E41" i="11" s="1"/>
  <c r="C38" i="11"/>
  <c r="C41" i="11" s="1"/>
  <c r="F37" i="11"/>
  <c r="E37" i="11"/>
  <c r="F36" i="11"/>
  <c r="E36" i="11"/>
  <c r="E33" i="11"/>
  <c r="F33" i="11" s="1"/>
  <c r="F32" i="11"/>
  <c r="E32" i="11"/>
  <c r="F31" i="11"/>
  <c r="E31" i="11"/>
  <c r="D29" i="11"/>
  <c r="E29" i="11"/>
  <c r="C29" i="11"/>
  <c r="F28" i="11"/>
  <c r="E28" i="11"/>
  <c r="F27" i="11"/>
  <c r="E27" i="11"/>
  <c r="F26" i="11"/>
  <c r="E26" i="11"/>
  <c r="F25" i="11"/>
  <c r="E25" i="11"/>
  <c r="D22" i="11"/>
  <c r="C22" i="11"/>
  <c r="F21" i="11"/>
  <c r="E21" i="11"/>
  <c r="E20" i="11"/>
  <c r="F20" i="11" s="1"/>
  <c r="E19" i="11"/>
  <c r="F19" i="11" s="1"/>
  <c r="F18" i="11"/>
  <c r="E18" i="11"/>
  <c r="F17" i="11"/>
  <c r="E17" i="11"/>
  <c r="F16" i="11"/>
  <c r="E16" i="11"/>
  <c r="E15" i="11"/>
  <c r="F15" i="11" s="1"/>
  <c r="E14" i="11"/>
  <c r="F14" i="11" s="1"/>
  <c r="F13" i="11"/>
  <c r="E13" i="11"/>
  <c r="D120" i="10"/>
  <c r="C120" i="10"/>
  <c r="D119" i="10"/>
  <c r="C119" i="10"/>
  <c r="D118" i="10"/>
  <c r="C118" i="10"/>
  <c r="D117" i="10"/>
  <c r="C117" i="10"/>
  <c r="D116" i="10"/>
  <c r="C116" i="10"/>
  <c r="D115" i="10"/>
  <c r="C115" i="10"/>
  <c r="D114" i="10"/>
  <c r="C114" i="10"/>
  <c r="D113" i="10"/>
  <c r="D122" i="10" s="1"/>
  <c r="C113" i="10"/>
  <c r="D112" i="10"/>
  <c r="D121" i="10" s="1"/>
  <c r="C112" i="10"/>
  <c r="D108" i="10"/>
  <c r="C108" i="10"/>
  <c r="D107" i="10"/>
  <c r="E107" i="10" s="1"/>
  <c r="C107" i="10"/>
  <c r="E106" i="10"/>
  <c r="F106" i="10"/>
  <c r="E105" i="10"/>
  <c r="F105" i="10"/>
  <c r="E104" i="10"/>
  <c r="F104" i="10"/>
  <c r="E103" i="10"/>
  <c r="F103" i="10" s="1"/>
  <c r="E102" i="10"/>
  <c r="F102" i="10" s="1"/>
  <c r="E101" i="10"/>
  <c r="F101" i="10"/>
  <c r="E100" i="10"/>
  <c r="F100" i="10"/>
  <c r="E99" i="10"/>
  <c r="F99" i="10" s="1"/>
  <c r="E98" i="10"/>
  <c r="F98" i="10"/>
  <c r="D96" i="10"/>
  <c r="C96" i="10"/>
  <c r="D95" i="10"/>
  <c r="C95" i="10"/>
  <c r="E94" i="10"/>
  <c r="F94" i="10" s="1"/>
  <c r="E93" i="10"/>
  <c r="F93" i="10"/>
  <c r="E92" i="10"/>
  <c r="F92" i="10"/>
  <c r="E91" i="10"/>
  <c r="F91" i="10"/>
  <c r="E90" i="10"/>
  <c r="F90" i="10" s="1"/>
  <c r="E89" i="10"/>
  <c r="F89" i="10"/>
  <c r="E88" i="10"/>
  <c r="F88" i="10"/>
  <c r="E87" i="10"/>
  <c r="F87" i="10"/>
  <c r="E86" i="10"/>
  <c r="F86" i="10" s="1"/>
  <c r="D84" i="10"/>
  <c r="C84" i="10"/>
  <c r="F84" i="10" s="1"/>
  <c r="D83" i="10"/>
  <c r="C83" i="10"/>
  <c r="F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 s="1"/>
  <c r="D71" i="10"/>
  <c r="C71" i="10"/>
  <c r="F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D59" i="10"/>
  <c r="C59" i="10"/>
  <c r="E58" i="10"/>
  <c r="F58" i="10"/>
  <c r="E57" i="10"/>
  <c r="F57" i="10" s="1"/>
  <c r="E56" i="10"/>
  <c r="F56" i="10"/>
  <c r="E55" i="10"/>
  <c r="F55" i="10"/>
  <c r="E54" i="10"/>
  <c r="F54" i="10"/>
  <c r="E53" i="10"/>
  <c r="F53" i="10" s="1"/>
  <c r="E52" i="10"/>
  <c r="F52" i="10" s="1"/>
  <c r="E51" i="10"/>
  <c r="F51" i="10"/>
  <c r="E50" i="10"/>
  <c r="F50" i="10"/>
  <c r="D48" i="10"/>
  <c r="C48" i="10"/>
  <c r="F48" i="10"/>
  <c r="D47" i="10"/>
  <c r="C47" i="10"/>
  <c r="F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D35" i="10"/>
  <c r="C35" i="10"/>
  <c r="E34" i="10"/>
  <c r="F34" i="10"/>
  <c r="E33" i="10"/>
  <c r="F33" i="10"/>
  <c r="E32" i="10"/>
  <c r="F32" i="10" s="1"/>
  <c r="E31" i="10"/>
  <c r="F31" i="10"/>
  <c r="E30" i="10"/>
  <c r="F30" i="10"/>
  <c r="E29" i="10"/>
  <c r="F29" i="10"/>
  <c r="E28" i="10"/>
  <c r="F28" i="10" s="1"/>
  <c r="E27" i="10"/>
  <c r="F27" i="10"/>
  <c r="E26" i="10"/>
  <c r="F26" i="10"/>
  <c r="D24" i="10"/>
  <c r="C24" i="10"/>
  <c r="F24" i="10" s="1"/>
  <c r="D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F206" i="9" s="1"/>
  <c r="C206" i="9"/>
  <c r="D205" i="9"/>
  <c r="E205" i="9" s="1"/>
  <c r="C205" i="9"/>
  <c r="D204" i="9"/>
  <c r="E204" i="9"/>
  <c r="F204" i="9" s="1"/>
  <c r="C204" i="9"/>
  <c r="D203" i="9"/>
  <c r="E203" i="9"/>
  <c r="C203" i="9"/>
  <c r="F203" i="9" s="1"/>
  <c r="D202" i="9"/>
  <c r="E202" i="9"/>
  <c r="F202" i="9"/>
  <c r="C202" i="9"/>
  <c r="D201" i="9"/>
  <c r="E201" i="9"/>
  <c r="C201" i="9"/>
  <c r="F201" i="9" s="1"/>
  <c r="D200" i="9"/>
  <c r="E200" i="9"/>
  <c r="F200" i="9" s="1"/>
  <c r="C200" i="9"/>
  <c r="D199" i="9"/>
  <c r="D208" i="9" s="1"/>
  <c r="E208" i="9" s="1"/>
  <c r="C199" i="9"/>
  <c r="C208" i="9" s="1"/>
  <c r="D198" i="9"/>
  <c r="D207" i="9"/>
  <c r="E207" i="9" s="1"/>
  <c r="C198" i="9"/>
  <c r="C207" i="9" s="1"/>
  <c r="D193" i="9"/>
  <c r="C193" i="9"/>
  <c r="D192" i="9"/>
  <c r="C192" i="9"/>
  <c r="E191" i="9"/>
  <c r="F191" i="9" s="1"/>
  <c r="E190" i="9"/>
  <c r="F190" i="9" s="1"/>
  <c r="F189" i="9"/>
  <c r="E189" i="9"/>
  <c r="F188" i="9"/>
  <c r="E188" i="9"/>
  <c r="E187" i="9"/>
  <c r="F187" i="9" s="1"/>
  <c r="E186" i="9"/>
  <c r="F186" i="9" s="1"/>
  <c r="F185" i="9"/>
  <c r="E185" i="9"/>
  <c r="E184" i="9"/>
  <c r="F184" i="9" s="1"/>
  <c r="E183" i="9"/>
  <c r="F183" i="9" s="1"/>
  <c r="D180" i="9"/>
  <c r="E180" i="9"/>
  <c r="C180" i="9"/>
  <c r="F180" i="9" s="1"/>
  <c r="F179" i="9"/>
  <c r="D179" i="9"/>
  <c r="E179" i="9" s="1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 s="1"/>
  <c r="D166" i="9"/>
  <c r="E166" i="9" s="1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 s="1"/>
  <c r="D153" i="9"/>
  <c r="E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D140" i="9"/>
  <c r="C140" i="9"/>
  <c r="E139" i="9"/>
  <c r="F139" i="9" s="1"/>
  <c r="E138" i="9"/>
  <c r="F138" i="9" s="1"/>
  <c r="F137" i="9"/>
  <c r="E137" i="9"/>
  <c r="F136" i="9"/>
  <c r="E136" i="9"/>
  <c r="E135" i="9"/>
  <c r="F135" i="9" s="1"/>
  <c r="F134" i="9"/>
  <c r="E134" i="9"/>
  <c r="E133" i="9"/>
  <c r="F133" i="9" s="1"/>
  <c r="F132" i="9"/>
  <c r="E132" i="9"/>
  <c r="E131" i="9"/>
  <c r="F131" i="9" s="1"/>
  <c r="D128" i="9"/>
  <c r="E128" i="9" s="1"/>
  <c r="C128" i="9"/>
  <c r="D127" i="9"/>
  <c r="E127" i="9" s="1"/>
  <c r="C127" i="9"/>
  <c r="E126" i="9"/>
  <c r="F126" i="9" s="1"/>
  <c r="F125" i="9"/>
  <c r="E125" i="9"/>
  <c r="E124" i="9"/>
  <c r="F124" i="9" s="1"/>
  <c r="E123" i="9"/>
  <c r="F123" i="9" s="1"/>
  <c r="F122" i="9"/>
  <c r="E122" i="9"/>
  <c r="F121" i="9"/>
  <c r="E121" i="9"/>
  <c r="E120" i="9"/>
  <c r="F120" i="9" s="1"/>
  <c r="E119" i="9"/>
  <c r="F119" i="9" s="1"/>
  <c r="F118" i="9"/>
  <c r="E118" i="9"/>
  <c r="D115" i="9"/>
  <c r="E115" i="9"/>
  <c r="F115" i="9" s="1"/>
  <c r="C115" i="9"/>
  <c r="D114" i="9"/>
  <c r="E114" i="9"/>
  <c r="C114" i="9"/>
  <c r="E113" i="9"/>
  <c r="F113" i="9" s="1"/>
  <c r="F112" i="9"/>
  <c r="E112" i="9"/>
  <c r="E111" i="9"/>
  <c r="F111" i="9" s="1"/>
  <c r="F110" i="9"/>
  <c r="E110" i="9"/>
  <c r="F109" i="9"/>
  <c r="E109" i="9"/>
  <c r="E108" i="9"/>
  <c r="F108" i="9" s="1"/>
  <c r="E107" i="9"/>
  <c r="F107" i="9" s="1"/>
  <c r="E106" i="9"/>
  <c r="F106" i="9" s="1"/>
  <c r="F105" i="9"/>
  <c r="E105" i="9"/>
  <c r="D102" i="9"/>
  <c r="E102" i="9"/>
  <c r="C102" i="9"/>
  <c r="D101" i="9"/>
  <c r="C101" i="9"/>
  <c r="F100" i="9"/>
  <c r="E100" i="9"/>
  <c r="E99" i="9"/>
  <c r="F99" i="9" s="1"/>
  <c r="F98" i="9"/>
  <c r="E98" i="9"/>
  <c r="E97" i="9"/>
  <c r="F97" i="9" s="1"/>
  <c r="E96" i="9"/>
  <c r="F96" i="9" s="1"/>
  <c r="E95" i="9"/>
  <c r="F95" i="9" s="1"/>
  <c r="F94" i="9"/>
  <c r="E94" i="9"/>
  <c r="E93" i="9"/>
  <c r="F93" i="9" s="1"/>
  <c r="E92" i="9"/>
  <c r="F92" i="9" s="1"/>
  <c r="D89" i="9"/>
  <c r="F89" i="9"/>
  <c r="C89" i="9"/>
  <c r="E89" i="9" s="1"/>
  <c r="D88" i="9"/>
  <c r="C88" i="9"/>
  <c r="E87" i="9"/>
  <c r="F87" i="9" s="1"/>
  <c r="E86" i="9"/>
  <c r="F86" i="9" s="1"/>
  <c r="F85" i="9"/>
  <c r="E85" i="9"/>
  <c r="E84" i="9"/>
  <c r="F84" i="9" s="1"/>
  <c r="F83" i="9"/>
  <c r="E83" i="9"/>
  <c r="E82" i="9"/>
  <c r="F82" i="9" s="1"/>
  <c r="F81" i="9"/>
  <c r="E81" i="9"/>
  <c r="E80" i="9"/>
  <c r="F80" i="9" s="1"/>
  <c r="F79" i="9"/>
  <c r="E79" i="9"/>
  <c r="D76" i="9"/>
  <c r="E76" i="9"/>
  <c r="F76" i="9"/>
  <c r="C76" i="9"/>
  <c r="D75" i="9"/>
  <c r="C75" i="9"/>
  <c r="E74" i="9"/>
  <c r="F74" i="9" s="1"/>
  <c r="F73" i="9"/>
  <c r="E73" i="9"/>
  <c r="E72" i="9"/>
  <c r="F72" i="9" s="1"/>
  <c r="F71" i="9"/>
  <c r="E71" i="9"/>
  <c r="E70" i="9"/>
  <c r="F70" i="9" s="1"/>
  <c r="F69" i="9"/>
  <c r="E69" i="9"/>
  <c r="E68" i="9"/>
  <c r="F68" i="9" s="1"/>
  <c r="F67" i="9"/>
  <c r="E67" i="9"/>
  <c r="E66" i="9"/>
  <c r="F66" i="9" s="1"/>
  <c r="D63" i="9"/>
  <c r="C63" i="9"/>
  <c r="F62" i="9"/>
  <c r="D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C50" i="9"/>
  <c r="D49" i="9"/>
  <c r="E49" i="9"/>
  <c r="F49" i="9" s="1"/>
  <c r="C49" i="9"/>
  <c r="E48" i="9"/>
  <c r="F48" i="9" s="1"/>
  <c r="F47" i="9"/>
  <c r="E47" i="9"/>
  <c r="E46" i="9"/>
  <c r="F46" i="9" s="1"/>
  <c r="F45" i="9"/>
  <c r="E45" i="9"/>
  <c r="E44" i="9"/>
  <c r="F44" i="9" s="1"/>
  <c r="F43" i="9"/>
  <c r="E43" i="9"/>
  <c r="E42" i="9"/>
  <c r="F42" i="9" s="1"/>
  <c r="F41" i="9"/>
  <c r="E41" i="9"/>
  <c r="E40" i="9"/>
  <c r="F40" i="9" s="1"/>
  <c r="F37" i="9"/>
  <c r="D37" i="9"/>
  <c r="C37" i="9"/>
  <c r="D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 s="1"/>
  <c r="C23" i="9"/>
  <c r="E22" i="9"/>
  <c r="F22" i="9" s="1"/>
  <c r="F21" i="9"/>
  <c r="E21" i="9"/>
  <c r="E20" i="9"/>
  <c r="F20" i="9" s="1"/>
  <c r="E19" i="9"/>
  <c r="F19" i="9" s="1"/>
  <c r="E18" i="9"/>
  <c r="F18" i="9" s="1"/>
  <c r="F17" i="9"/>
  <c r="E17" i="9"/>
  <c r="E16" i="9"/>
  <c r="F16" i="9" s="1"/>
  <c r="F15" i="9"/>
  <c r="E15" i="9"/>
  <c r="E14" i="9"/>
  <c r="F14" i="9" s="1"/>
  <c r="E191" i="8"/>
  <c r="D191" i="8"/>
  <c r="C191" i="8"/>
  <c r="E176" i="8"/>
  <c r="D176" i="8"/>
  <c r="C176" i="8"/>
  <c r="E164" i="8"/>
  <c r="D164" i="8"/>
  <c r="D160" i="8"/>
  <c r="D166" i="8" s="1"/>
  <c r="C164" i="8"/>
  <c r="E162" i="8"/>
  <c r="E166" i="8" s="1"/>
  <c r="D162" i="8"/>
  <c r="C162" i="8"/>
  <c r="E161" i="8"/>
  <c r="D161" i="8"/>
  <c r="C161" i="8"/>
  <c r="E160" i="8"/>
  <c r="C160" i="8"/>
  <c r="C166" i="8" s="1"/>
  <c r="E147" i="8"/>
  <c r="E143" i="8" s="1"/>
  <c r="D147" i="8"/>
  <c r="D143" i="8"/>
  <c r="D149" i="8" s="1"/>
  <c r="C147" i="8"/>
  <c r="E145" i="8"/>
  <c r="D145" i="8"/>
  <c r="C145" i="8"/>
  <c r="E144" i="8"/>
  <c r="D144" i="8"/>
  <c r="C144" i="8"/>
  <c r="C149" i="8" s="1"/>
  <c r="C143" i="8"/>
  <c r="E126" i="8"/>
  <c r="D126" i="8"/>
  <c r="C126" i="8"/>
  <c r="E119" i="8"/>
  <c r="D119" i="8"/>
  <c r="C119" i="8"/>
  <c r="E109" i="8"/>
  <c r="E106" i="8" s="1"/>
  <c r="E108" i="8"/>
  <c r="D108" i="8"/>
  <c r="C108" i="8"/>
  <c r="E107" i="8"/>
  <c r="D107" i="8"/>
  <c r="D109" i="8"/>
  <c r="D106" i="8" s="1"/>
  <c r="C107" i="8"/>
  <c r="E104" i="8"/>
  <c r="C104" i="8"/>
  <c r="E102" i="8"/>
  <c r="D102" i="8"/>
  <c r="D104" i="8"/>
  <c r="C102" i="8"/>
  <c r="E100" i="8"/>
  <c r="D100" i="8"/>
  <c r="C100" i="8"/>
  <c r="E95" i="8"/>
  <c r="E94" i="8" s="1"/>
  <c r="D95" i="8"/>
  <c r="D94" i="8" s="1"/>
  <c r="C95" i="8"/>
  <c r="C94" i="8" s="1"/>
  <c r="E89" i="8"/>
  <c r="E90" i="8" s="1"/>
  <c r="E86" i="8" s="1"/>
  <c r="D89" i="8"/>
  <c r="C89" i="8"/>
  <c r="E88" i="8"/>
  <c r="C88" i="8"/>
  <c r="C90" i="8" s="1"/>
  <c r="C86" i="8" s="1"/>
  <c r="E87" i="8"/>
  <c r="D87" i="8"/>
  <c r="C87" i="8"/>
  <c r="E84" i="8"/>
  <c r="E79" i="8" s="1"/>
  <c r="D84" i="8"/>
  <c r="C84" i="8"/>
  <c r="C79" i="8" s="1"/>
  <c r="E83" i="8"/>
  <c r="D83" i="8"/>
  <c r="C83" i="8"/>
  <c r="D79" i="8"/>
  <c r="E77" i="8"/>
  <c r="E75" i="8"/>
  <c r="D75" i="8"/>
  <c r="C75" i="8"/>
  <c r="C77" i="8" s="1"/>
  <c r="E74" i="8"/>
  <c r="D74" i="8"/>
  <c r="C74" i="8"/>
  <c r="E67" i="8"/>
  <c r="D67" i="8"/>
  <c r="C67" i="8"/>
  <c r="D53" i="8"/>
  <c r="D43" i="8"/>
  <c r="E38" i="8"/>
  <c r="E57" i="8" s="1"/>
  <c r="D38" i="8"/>
  <c r="D57" i="8"/>
  <c r="D62" i="8"/>
  <c r="C38" i="8"/>
  <c r="E33" i="8"/>
  <c r="E34" i="8"/>
  <c r="D33" i="8"/>
  <c r="D34" i="8"/>
  <c r="E26" i="8"/>
  <c r="D26" i="8"/>
  <c r="C26" i="8"/>
  <c r="E13" i="8"/>
  <c r="E15" i="8" s="1"/>
  <c r="D13" i="8"/>
  <c r="C13" i="8"/>
  <c r="F186" i="7"/>
  <c r="E186" i="7"/>
  <c r="D183" i="7"/>
  <c r="D188" i="7" s="1"/>
  <c r="E188" i="7" s="1"/>
  <c r="F188" i="7" s="1"/>
  <c r="C183" i="7"/>
  <c r="C188" i="7"/>
  <c r="F182" i="7"/>
  <c r="E182" i="7"/>
  <c r="E181" i="7"/>
  <c r="F181" i="7" s="1"/>
  <c r="F180" i="7"/>
  <c r="E180" i="7"/>
  <c r="E179" i="7"/>
  <c r="F179" i="7" s="1"/>
  <c r="E178" i="7"/>
  <c r="F178" i="7" s="1"/>
  <c r="F177" i="7"/>
  <c r="E177" i="7"/>
  <c r="F176" i="7"/>
  <c r="E176" i="7"/>
  <c r="F175" i="7"/>
  <c r="E175" i="7"/>
  <c r="F174" i="7"/>
  <c r="E174" i="7"/>
  <c r="E173" i="7"/>
  <c r="F173" i="7" s="1"/>
  <c r="F172" i="7"/>
  <c r="E172" i="7"/>
  <c r="F171" i="7"/>
  <c r="E171" i="7"/>
  <c r="E170" i="7"/>
  <c r="F170" i="7" s="1"/>
  <c r="D167" i="7"/>
  <c r="E167" i="7"/>
  <c r="F167" i="7"/>
  <c r="C167" i="7"/>
  <c r="E166" i="7"/>
  <c r="F166" i="7" s="1"/>
  <c r="F165" i="7"/>
  <c r="E165" i="7"/>
  <c r="E164" i="7"/>
  <c r="F164" i="7" s="1"/>
  <c r="F163" i="7"/>
  <c r="E163" i="7"/>
  <c r="F162" i="7"/>
  <c r="E162" i="7"/>
  <c r="F161" i="7"/>
  <c r="E161" i="7"/>
  <c r="E160" i="7"/>
  <c r="F160" i="7" s="1"/>
  <c r="F159" i="7"/>
  <c r="E159" i="7"/>
  <c r="E158" i="7"/>
  <c r="F158" i="7" s="1"/>
  <c r="E157" i="7"/>
  <c r="F157" i="7" s="1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E145" i="7"/>
  <c r="F145" i="7" s="1"/>
  <c r="F144" i="7"/>
  <c r="E144" i="7"/>
  <c r="F143" i="7"/>
  <c r="E143" i="7"/>
  <c r="E142" i="7"/>
  <c r="F142" i="7" s="1"/>
  <c r="E141" i="7"/>
  <c r="F141" i="7" s="1"/>
  <c r="F140" i="7"/>
  <c r="E140" i="7"/>
  <c r="F139" i="7"/>
  <c r="E139" i="7"/>
  <c r="E138" i="7"/>
  <c r="F138" i="7" s="1"/>
  <c r="E137" i="7"/>
  <c r="F137" i="7" s="1"/>
  <c r="F136" i="7"/>
  <c r="E136" i="7"/>
  <c r="F135" i="7"/>
  <c r="E135" i="7"/>
  <c r="E134" i="7"/>
  <c r="F134" i="7" s="1"/>
  <c r="E133" i="7"/>
  <c r="F133" i="7" s="1"/>
  <c r="D130" i="7"/>
  <c r="E130" i="7" s="1"/>
  <c r="F130" i="7"/>
  <c r="C130" i="7"/>
  <c r="F129" i="7"/>
  <c r="E129" i="7"/>
  <c r="E128" i="7"/>
  <c r="F128" i="7" s="1"/>
  <c r="F127" i="7"/>
  <c r="E127" i="7"/>
  <c r="F126" i="7"/>
  <c r="E126" i="7"/>
  <c r="E125" i="7"/>
  <c r="F125" i="7" s="1"/>
  <c r="E124" i="7"/>
  <c r="F124" i="7" s="1"/>
  <c r="D121" i="7"/>
  <c r="E121" i="7"/>
  <c r="F121" i="7" s="1"/>
  <c r="C121" i="7"/>
  <c r="F120" i="7"/>
  <c r="E120" i="7"/>
  <c r="E119" i="7"/>
  <c r="F119" i="7" s="1"/>
  <c r="E118" i="7"/>
  <c r="F118" i="7" s="1"/>
  <c r="F117" i="7"/>
  <c r="E117" i="7"/>
  <c r="E116" i="7"/>
  <c r="F116" i="7" s="1"/>
  <c r="E115" i="7"/>
  <c r="F115" i="7" s="1"/>
  <c r="F114" i="7"/>
  <c r="E114" i="7"/>
  <c r="F113" i="7"/>
  <c r="E113" i="7"/>
  <c r="F112" i="7"/>
  <c r="E112" i="7"/>
  <c r="E111" i="7"/>
  <c r="F111" i="7" s="1"/>
  <c r="E110" i="7"/>
  <c r="F110" i="7" s="1"/>
  <c r="F109" i="7"/>
  <c r="E109" i="7"/>
  <c r="E108" i="7"/>
  <c r="F108" i="7" s="1"/>
  <c r="E107" i="7"/>
  <c r="F107" i="7" s="1"/>
  <c r="F106" i="7"/>
  <c r="E106" i="7"/>
  <c r="F105" i="7"/>
  <c r="E105" i="7"/>
  <c r="F104" i="7"/>
  <c r="E104" i="7"/>
  <c r="E103" i="7"/>
  <c r="F103" i="7" s="1"/>
  <c r="F93" i="7"/>
  <c r="E93" i="7"/>
  <c r="D90" i="7"/>
  <c r="C90" i="7"/>
  <c r="E89" i="7"/>
  <c r="F89" i="7" s="1"/>
  <c r="F88" i="7"/>
  <c r="E88" i="7"/>
  <c r="F87" i="7"/>
  <c r="E87" i="7"/>
  <c r="E86" i="7"/>
  <c r="F86" i="7" s="1"/>
  <c r="E85" i="7"/>
  <c r="F85" i="7" s="1"/>
  <c r="E84" i="7"/>
  <c r="F84" i="7" s="1"/>
  <c r="F83" i="7"/>
  <c r="E83" i="7"/>
  <c r="F82" i="7"/>
  <c r="E82" i="7"/>
  <c r="E81" i="7"/>
  <c r="F81" i="7" s="1"/>
  <c r="E80" i="7"/>
  <c r="F80" i="7" s="1"/>
  <c r="F79" i="7"/>
  <c r="E79" i="7"/>
  <c r="E78" i="7"/>
  <c r="F78" i="7" s="1"/>
  <c r="E77" i="7"/>
  <c r="F77" i="7" s="1"/>
  <c r="F76" i="7"/>
  <c r="E76" i="7"/>
  <c r="F75" i="7"/>
  <c r="E75" i="7"/>
  <c r="F74" i="7"/>
  <c r="E74" i="7"/>
  <c r="E73" i="7"/>
  <c r="F73" i="7" s="1"/>
  <c r="E72" i="7"/>
  <c r="F72" i="7" s="1"/>
  <c r="F71" i="7"/>
  <c r="E71" i="7"/>
  <c r="E70" i="7"/>
  <c r="F70" i="7" s="1"/>
  <c r="E69" i="7"/>
  <c r="F69" i="7" s="1"/>
  <c r="F68" i="7"/>
  <c r="E68" i="7"/>
  <c r="F67" i="7"/>
  <c r="E67" i="7"/>
  <c r="E66" i="7"/>
  <c r="F66" i="7" s="1"/>
  <c r="E65" i="7"/>
  <c r="F65" i="7" s="1"/>
  <c r="E64" i="7"/>
  <c r="F64" i="7" s="1"/>
  <c r="F63" i="7"/>
  <c r="E63" i="7"/>
  <c r="E62" i="7"/>
  <c r="F62" i="7" s="1"/>
  <c r="D59" i="7"/>
  <c r="C59" i="7"/>
  <c r="F58" i="7"/>
  <c r="E58" i="7"/>
  <c r="E57" i="7"/>
  <c r="F57" i="7" s="1"/>
  <c r="E56" i="7"/>
  <c r="F56" i="7" s="1"/>
  <c r="F55" i="7"/>
  <c r="E55" i="7"/>
  <c r="F54" i="7"/>
  <c r="E54" i="7"/>
  <c r="F53" i="7"/>
  <c r="E53" i="7"/>
  <c r="E50" i="7"/>
  <c r="F50" i="7" s="1"/>
  <c r="F47" i="7"/>
  <c r="E47" i="7"/>
  <c r="F44" i="7"/>
  <c r="E44" i="7"/>
  <c r="D41" i="7"/>
  <c r="E41" i="7"/>
  <c r="C41" i="7"/>
  <c r="E40" i="7"/>
  <c r="F40" i="7" s="1"/>
  <c r="F39" i="7"/>
  <c r="E39" i="7"/>
  <c r="F38" i="7"/>
  <c r="E38" i="7"/>
  <c r="D35" i="7"/>
  <c r="C35" i="7"/>
  <c r="F34" i="7"/>
  <c r="E34" i="7"/>
  <c r="F33" i="7"/>
  <c r="E33" i="7"/>
  <c r="D30" i="7"/>
  <c r="F30" i="7"/>
  <c r="C30" i="7"/>
  <c r="E30" i="7" s="1"/>
  <c r="F29" i="7"/>
  <c r="E29" i="7"/>
  <c r="F28" i="7"/>
  <c r="E28" i="7"/>
  <c r="E27" i="7"/>
  <c r="F27" i="7" s="1"/>
  <c r="D24" i="7"/>
  <c r="E24" i="7"/>
  <c r="F24" i="7" s="1"/>
  <c r="C24" i="7"/>
  <c r="E23" i="7"/>
  <c r="F23" i="7" s="1"/>
  <c r="E22" i="7"/>
  <c r="F22" i="7" s="1"/>
  <c r="F21" i="7"/>
  <c r="E21" i="7"/>
  <c r="D18" i="7"/>
  <c r="E18" i="7" s="1"/>
  <c r="F18" i="7"/>
  <c r="C18" i="7"/>
  <c r="E17" i="7"/>
  <c r="F17" i="7" s="1"/>
  <c r="F16" i="7"/>
  <c r="E16" i="7"/>
  <c r="F15" i="7"/>
  <c r="E15" i="7"/>
  <c r="D179" i="6"/>
  <c r="E179" i="6"/>
  <c r="C179" i="6"/>
  <c r="E178" i="6"/>
  <c r="F178" i="6" s="1"/>
  <c r="F177" i="6"/>
  <c r="E177" i="6"/>
  <c r="E176" i="6"/>
  <c r="F176" i="6" s="1"/>
  <c r="E175" i="6"/>
  <c r="F175" i="6" s="1"/>
  <c r="F174" i="6"/>
  <c r="E174" i="6"/>
  <c r="F173" i="6"/>
  <c r="E173" i="6"/>
  <c r="F172" i="6"/>
  <c r="E172" i="6"/>
  <c r="E171" i="6"/>
  <c r="F171" i="6" s="1"/>
  <c r="E170" i="6"/>
  <c r="F170" i="6" s="1"/>
  <c r="F169" i="6"/>
  <c r="E169" i="6"/>
  <c r="E168" i="6"/>
  <c r="F168" i="6" s="1"/>
  <c r="D166" i="6"/>
  <c r="C166" i="6"/>
  <c r="E166" i="6" s="1"/>
  <c r="F165" i="6"/>
  <c r="E165" i="6"/>
  <c r="F164" i="6"/>
  <c r="E164" i="6"/>
  <c r="E163" i="6"/>
  <c r="F163" i="6" s="1"/>
  <c r="E162" i="6"/>
  <c r="F162" i="6" s="1"/>
  <c r="F161" i="6"/>
  <c r="E161" i="6"/>
  <c r="F160" i="6"/>
  <c r="E160" i="6"/>
  <c r="E159" i="6"/>
  <c r="F159" i="6" s="1"/>
  <c r="E158" i="6"/>
  <c r="F158" i="6" s="1"/>
  <c r="F157" i="6"/>
  <c r="E157" i="6"/>
  <c r="E156" i="6"/>
  <c r="F156" i="6" s="1"/>
  <c r="E155" i="6"/>
  <c r="F155" i="6" s="1"/>
  <c r="D153" i="6"/>
  <c r="E153" i="6" s="1"/>
  <c r="F153" i="6" s="1"/>
  <c r="C153" i="6"/>
  <c r="F152" i="6"/>
  <c r="E152" i="6"/>
  <c r="F151" i="6"/>
  <c r="E151" i="6"/>
  <c r="F150" i="6"/>
  <c r="E150" i="6"/>
  <c r="F149" i="6"/>
  <c r="E149" i="6"/>
  <c r="F148" i="6"/>
  <c r="E148" i="6"/>
  <c r="E147" i="6"/>
  <c r="F147" i="6" s="1"/>
  <c r="E146" i="6"/>
  <c r="F146" i="6" s="1"/>
  <c r="F145" i="6"/>
  <c r="E145" i="6"/>
  <c r="E144" i="6"/>
  <c r="F144" i="6" s="1"/>
  <c r="E143" i="6"/>
  <c r="F143" i="6" s="1"/>
  <c r="F142" i="6"/>
  <c r="E142" i="6"/>
  <c r="D137" i="6"/>
  <c r="C137" i="6"/>
  <c r="E136" i="6"/>
  <c r="F136" i="6" s="1"/>
  <c r="F135" i="6"/>
  <c r="E135" i="6"/>
  <c r="F134" i="6"/>
  <c r="E134" i="6"/>
  <c r="F133" i="6"/>
  <c r="E133" i="6"/>
  <c r="E132" i="6"/>
  <c r="F132" i="6" s="1"/>
  <c r="F131" i="6"/>
  <c r="E131" i="6"/>
  <c r="F130" i="6"/>
  <c r="E130" i="6"/>
  <c r="E129" i="6"/>
  <c r="F129" i="6" s="1"/>
  <c r="E128" i="6"/>
  <c r="F128" i="6" s="1"/>
  <c r="E127" i="6"/>
  <c r="F127" i="6" s="1"/>
  <c r="F126" i="6"/>
  <c r="E126" i="6"/>
  <c r="D124" i="6"/>
  <c r="C124" i="6"/>
  <c r="E123" i="6"/>
  <c r="F123" i="6" s="1"/>
  <c r="F122" i="6"/>
  <c r="E122" i="6"/>
  <c r="E121" i="6"/>
  <c r="F121" i="6" s="1"/>
  <c r="E120" i="6"/>
  <c r="F120" i="6" s="1"/>
  <c r="F119" i="6"/>
  <c r="E119" i="6"/>
  <c r="F118" i="6"/>
  <c r="E118" i="6"/>
  <c r="F117" i="6"/>
  <c r="E117" i="6"/>
  <c r="E116" i="6"/>
  <c r="F116" i="6" s="1"/>
  <c r="E115" i="6"/>
  <c r="F115" i="6" s="1"/>
  <c r="F114" i="6"/>
  <c r="E114" i="6"/>
  <c r="F113" i="6"/>
  <c r="E113" i="6"/>
  <c r="D111" i="6"/>
  <c r="C111" i="6"/>
  <c r="F110" i="6"/>
  <c r="E110" i="6"/>
  <c r="F109" i="6"/>
  <c r="E109" i="6"/>
  <c r="E108" i="6"/>
  <c r="F108" i="6" s="1"/>
  <c r="F107" i="6"/>
  <c r="E107" i="6"/>
  <c r="F106" i="6"/>
  <c r="E106" i="6"/>
  <c r="E105" i="6"/>
  <c r="F105" i="6" s="1"/>
  <c r="E104" i="6"/>
  <c r="F104" i="6" s="1"/>
  <c r="E103" i="6"/>
  <c r="F103" i="6" s="1"/>
  <c r="F102" i="6"/>
  <c r="E102" i="6"/>
  <c r="E101" i="6"/>
  <c r="F101" i="6" s="1"/>
  <c r="E100" i="6"/>
  <c r="F100" i="6" s="1"/>
  <c r="D94" i="6"/>
  <c r="E94" i="6" s="1"/>
  <c r="F94" i="6"/>
  <c r="C94" i="6"/>
  <c r="D93" i="6"/>
  <c r="C93" i="6"/>
  <c r="F93" i="6" s="1"/>
  <c r="D92" i="6"/>
  <c r="C92" i="6"/>
  <c r="D91" i="6"/>
  <c r="E91" i="6"/>
  <c r="C91" i="6"/>
  <c r="D90" i="6"/>
  <c r="E90" i="6"/>
  <c r="F90" i="6"/>
  <c r="C90" i="6"/>
  <c r="D89" i="6"/>
  <c r="E89" i="6"/>
  <c r="F89" i="6"/>
  <c r="C89" i="6"/>
  <c r="D88" i="6"/>
  <c r="E88" i="6"/>
  <c r="F88" i="6"/>
  <c r="C88" i="6"/>
  <c r="D87" i="6"/>
  <c r="E87" i="6"/>
  <c r="F87" i="6"/>
  <c r="C87" i="6"/>
  <c r="D86" i="6"/>
  <c r="E86" i="6"/>
  <c r="F86" i="6"/>
  <c r="C86" i="6"/>
  <c r="D85" i="6"/>
  <c r="E85" i="6"/>
  <c r="F85" i="6"/>
  <c r="C85" i="6"/>
  <c r="D84" i="6"/>
  <c r="E84" i="6"/>
  <c r="F84" i="6"/>
  <c r="C84" i="6"/>
  <c r="D81" i="6"/>
  <c r="E81" i="6"/>
  <c r="C81" i="6"/>
  <c r="E80" i="6"/>
  <c r="F80" i="6" s="1"/>
  <c r="F79" i="6"/>
  <c r="E79" i="6"/>
  <c r="E78" i="6"/>
  <c r="F78" i="6" s="1"/>
  <c r="E77" i="6"/>
  <c r="F77" i="6" s="1"/>
  <c r="E76" i="6"/>
  <c r="F76" i="6" s="1"/>
  <c r="E75" i="6"/>
  <c r="F75" i="6" s="1"/>
  <c r="E74" i="6"/>
  <c r="F74" i="6" s="1"/>
  <c r="F73" i="6"/>
  <c r="E73" i="6"/>
  <c r="F72" i="6"/>
  <c r="E72" i="6"/>
  <c r="E71" i="6"/>
  <c r="F71" i="6" s="1"/>
  <c r="E70" i="6"/>
  <c r="F70" i="6" s="1"/>
  <c r="D68" i="6"/>
  <c r="E68" i="6"/>
  <c r="C68" i="6"/>
  <c r="E67" i="6"/>
  <c r="F67" i="6" s="1"/>
  <c r="F66" i="6"/>
  <c r="E66" i="6"/>
  <c r="E65" i="6"/>
  <c r="F65" i="6" s="1"/>
  <c r="F64" i="6"/>
  <c r="E64" i="6"/>
  <c r="E63" i="6"/>
  <c r="F63" i="6" s="1"/>
  <c r="E62" i="6"/>
  <c r="F62" i="6" s="1"/>
  <c r="E61" i="6"/>
  <c r="F61" i="6" s="1"/>
  <c r="E60" i="6"/>
  <c r="F60" i="6" s="1"/>
  <c r="E59" i="6"/>
  <c r="F59" i="6" s="1"/>
  <c r="F58" i="6"/>
  <c r="E58" i="6"/>
  <c r="F57" i="6"/>
  <c r="E57" i="6"/>
  <c r="D51" i="6"/>
  <c r="C51" i="6"/>
  <c r="D50" i="6"/>
  <c r="E50" i="6"/>
  <c r="C50" i="6"/>
  <c r="F50" i="6" s="1"/>
  <c r="D49" i="6"/>
  <c r="E49" i="6"/>
  <c r="C49" i="6"/>
  <c r="D48" i="6"/>
  <c r="C48" i="6"/>
  <c r="D47" i="6"/>
  <c r="E47" i="6" s="1"/>
  <c r="C47" i="6"/>
  <c r="D46" i="6"/>
  <c r="E46" i="6"/>
  <c r="C46" i="6"/>
  <c r="D45" i="6"/>
  <c r="E45" i="6"/>
  <c r="C45" i="6"/>
  <c r="D44" i="6"/>
  <c r="E44" i="6" s="1"/>
  <c r="F44" i="6"/>
  <c r="C44" i="6"/>
  <c r="D43" i="6"/>
  <c r="E43" i="6"/>
  <c r="F43" i="6" s="1"/>
  <c r="C43" i="6"/>
  <c r="D42" i="6"/>
  <c r="E42" i="6" s="1"/>
  <c r="F42" i="6"/>
  <c r="C42" i="6"/>
  <c r="D41" i="6"/>
  <c r="E41" i="6"/>
  <c r="F41" i="6" s="1"/>
  <c r="C41" i="6"/>
  <c r="D38" i="6"/>
  <c r="C38" i="6"/>
  <c r="E37" i="6"/>
  <c r="F37" i="6" s="1"/>
  <c r="F36" i="6"/>
  <c r="E36" i="6"/>
  <c r="F35" i="6"/>
  <c r="E35" i="6"/>
  <c r="E34" i="6"/>
  <c r="F34" i="6" s="1"/>
  <c r="F33" i="6"/>
  <c r="E33" i="6"/>
  <c r="E32" i="6"/>
  <c r="F32" i="6" s="1"/>
  <c r="E31" i="6"/>
  <c r="F31" i="6" s="1"/>
  <c r="E30" i="6"/>
  <c r="F30" i="6" s="1"/>
  <c r="E29" i="6"/>
  <c r="F29" i="6" s="1"/>
  <c r="E28" i="6"/>
  <c r="F28" i="6" s="1"/>
  <c r="E27" i="6"/>
  <c r="F27" i="6" s="1"/>
  <c r="D25" i="6"/>
  <c r="E25" i="6"/>
  <c r="F25" i="6" s="1"/>
  <c r="C25" i="6"/>
  <c r="E24" i="6"/>
  <c r="F24" i="6" s="1"/>
  <c r="F23" i="6"/>
  <c r="E23" i="6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F15" i="6"/>
  <c r="E15" i="6"/>
  <c r="E14" i="6"/>
  <c r="F14" i="6" s="1"/>
  <c r="F51" i="5"/>
  <c r="E51" i="5"/>
  <c r="D48" i="5"/>
  <c r="E48" i="5"/>
  <c r="C48" i="5"/>
  <c r="F48" i="5" s="1"/>
  <c r="F47" i="5"/>
  <c r="E47" i="5"/>
  <c r="F46" i="5"/>
  <c r="E46" i="5"/>
  <c r="D41" i="5"/>
  <c r="C41" i="5"/>
  <c r="E41" i="5" s="1"/>
  <c r="F41" i="5" s="1"/>
  <c r="E40" i="5"/>
  <c r="F40" i="5" s="1"/>
  <c r="F39" i="5"/>
  <c r="E39" i="5"/>
  <c r="E38" i="5"/>
  <c r="F38" i="5" s="1"/>
  <c r="D33" i="5"/>
  <c r="E33" i="5" s="1"/>
  <c r="C33" i="5"/>
  <c r="E32" i="5"/>
  <c r="F32" i="5" s="1"/>
  <c r="E31" i="5"/>
  <c r="F31" i="5" s="1"/>
  <c r="E30" i="5"/>
  <c r="F30" i="5" s="1"/>
  <c r="E29" i="5"/>
  <c r="F29" i="5" s="1"/>
  <c r="E28" i="5"/>
  <c r="F28" i="5" s="1"/>
  <c r="E27" i="5"/>
  <c r="F27" i="5" s="1"/>
  <c r="E26" i="5"/>
  <c r="F26" i="5" s="1"/>
  <c r="E25" i="5"/>
  <c r="F25" i="5" s="1"/>
  <c r="E24" i="5"/>
  <c r="F24" i="5" s="1"/>
  <c r="E20" i="5"/>
  <c r="F20" i="5" s="1"/>
  <c r="F19" i="5"/>
  <c r="E19" i="5"/>
  <c r="F17" i="5"/>
  <c r="E17" i="5"/>
  <c r="D16" i="5"/>
  <c r="C16" i="5"/>
  <c r="F15" i="5"/>
  <c r="E15" i="5"/>
  <c r="E14" i="5"/>
  <c r="F14" i="5" s="1"/>
  <c r="F13" i="5"/>
  <c r="E13" i="5"/>
  <c r="F12" i="5"/>
  <c r="E12" i="5"/>
  <c r="D73" i="4"/>
  <c r="C73" i="4"/>
  <c r="E72" i="4"/>
  <c r="F72" i="4"/>
  <c r="E71" i="4"/>
  <c r="F71" i="4" s="1"/>
  <c r="E70" i="4"/>
  <c r="F70" i="4"/>
  <c r="F67" i="4"/>
  <c r="E67" i="4"/>
  <c r="E64" i="4"/>
  <c r="F64" i="4"/>
  <c r="E63" i="4"/>
  <c r="F63" i="4" s="1"/>
  <c r="D61" i="4"/>
  <c r="D65" i="4"/>
  <c r="D75" i="4" s="1"/>
  <c r="C61" i="4"/>
  <c r="E60" i="4"/>
  <c r="F60" i="4"/>
  <c r="E59" i="4"/>
  <c r="F59" i="4"/>
  <c r="D56" i="4"/>
  <c r="C56" i="4"/>
  <c r="F55" i="4"/>
  <c r="E55" i="4"/>
  <c r="F54" i="4"/>
  <c r="E54" i="4"/>
  <c r="E53" i="4"/>
  <c r="F53" i="4" s="1"/>
  <c r="F52" i="4"/>
  <c r="E52" i="4"/>
  <c r="E51" i="4"/>
  <c r="F51" i="4" s="1"/>
  <c r="F50" i="4"/>
  <c r="E50" i="4"/>
  <c r="A50" i="4"/>
  <c r="A51" i="4" s="1"/>
  <c r="A52" i="4" s="1"/>
  <c r="A53" i="4"/>
  <c r="A54" i="4"/>
  <c r="A55" i="4" s="1"/>
  <c r="E49" i="4"/>
  <c r="F49" i="4"/>
  <c r="E40" i="4"/>
  <c r="F40" i="4" s="1"/>
  <c r="D38" i="4"/>
  <c r="D41" i="4"/>
  <c r="C38" i="4"/>
  <c r="E37" i="4"/>
  <c r="F37" i="4"/>
  <c r="E36" i="4"/>
  <c r="F36" i="4"/>
  <c r="E33" i="4"/>
  <c r="F33" i="4"/>
  <c r="E32" i="4"/>
  <c r="F32" i="4" s="1"/>
  <c r="E31" i="4"/>
  <c r="F31" i="4"/>
  <c r="D29" i="4"/>
  <c r="D43" i="4" s="1"/>
  <c r="C29" i="4"/>
  <c r="E29" i="4" s="1"/>
  <c r="E28" i="4"/>
  <c r="F28" i="4"/>
  <c r="F27" i="4"/>
  <c r="E27" i="4"/>
  <c r="F26" i="4"/>
  <c r="E26" i="4"/>
  <c r="F25" i="4"/>
  <c r="E25" i="4"/>
  <c r="D22" i="4"/>
  <c r="C22" i="4"/>
  <c r="E21" i="4"/>
  <c r="F21" i="4" s="1"/>
  <c r="E20" i="4"/>
  <c r="F20" i="4"/>
  <c r="E19" i="4"/>
  <c r="F19" i="4" s="1"/>
  <c r="F18" i="4"/>
  <c r="E18" i="4"/>
  <c r="E17" i="4"/>
  <c r="F17" i="4" s="1"/>
  <c r="F16" i="4"/>
  <c r="E16" i="4"/>
  <c r="E15" i="4"/>
  <c r="F15" i="4" s="1"/>
  <c r="E14" i="4"/>
  <c r="F14" i="4" s="1"/>
  <c r="E13" i="4"/>
  <c r="F13" i="4" s="1"/>
  <c r="D108" i="22"/>
  <c r="D109" i="22"/>
  <c r="D22" i="22"/>
  <c r="E23" i="22"/>
  <c r="E36" i="22" s="1"/>
  <c r="C30" i="22"/>
  <c r="C48" i="22" s="1"/>
  <c r="D33" i="22"/>
  <c r="C34" i="22"/>
  <c r="E34" i="22"/>
  <c r="C36" i="22"/>
  <c r="C40" i="22"/>
  <c r="C54" i="22"/>
  <c r="D101" i="22"/>
  <c r="D103" i="22"/>
  <c r="C22" i="22"/>
  <c r="E22" i="22"/>
  <c r="D23" i="22"/>
  <c r="D111" i="22" s="1"/>
  <c r="E39" i="20"/>
  <c r="D41" i="20"/>
  <c r="E46" i="20"/>
  <c r="F43" i="20"/>
  <c r="F39" i="20"/>
  <c r="F46" i="20"/>
  <c r="D20" i="20"/>
  <c r="E20" i="20"/>
  <c r="F20" i="20" s="1"/>
  <c r="D46" i="20"/>
  <c r="E76" i="17"/>
  <c r="F76" i="17" s="1"/>
  <c r="C38" i="19"/>
  <c r="C127" i="19"/>
  <c r="C129" i="19"/>
  <c r="C133" i="19" s="1"/>
  <c r="C22" i="19"/>
  <c r="C258" i="18"/>
  <c r="C100" i="18"/>
  <c r="C102" i="18" s="1"/>
  <c r="C103" i="18" s="1"/>
  <c r="C99" i="18"/>
  <c r="C98" i="18"/>
  <c r="C96" i="18"/>
  <c r="C89" i="18"/>
  <c r="C87" i="18"/>
  <c r="C85" i="18"/>
  <c r="C83" i="18"/>
  <c r="C101" i="18"/>
  <c r="E101" i="18" s="1"/>
  <c r="C97" i="18"/>
  <c r="C95" i="18"/>
  <c r="C88" i="18"/>
  <c r="C86" i="18"/>
  <c r="C84" i="18"/>
  <c r="C283" i="18"/>
  <c r="E283" i="18" s="1"/>
  <c r="C22" i="18"/>
  <c r="C284" i="18" s="1"/>
  <c r="E21" i="18"/>
  <c r="E43" i="18"/>
  <c r="E37" i="18"/>
  <c r="D44" i="18"/>
  <c r="E69" i="18"/>
  <c r="D175" i="18"/>
  <c r="D144" i="18"/>
  <c r="E139" i="18"/>
  <c r="E151" i="18"/>
  <c r="C157" i="18"/>
  <c r="C169" i="18" s="1"/>
  <c r="C261" i="18"/>
  <c r="C189" i="18"/>
  <c r="E189" i="18" s="1"/>
  <c r="E188" i="18"/>
  <c r="D260" i="18"/>
  <c r="E260" i="18" s="1"/>
  <c r="E195" i="18"/>
  <c r="E215" i="18"/>
  <c r="E220" i="18"/>
  <c r="E221" i="18"/>
  <c r="D245" i="18"/>
  <c r="E245" i="18" s="1"/>
  <c r="E233" i="18"/>
  <c r="D239" i="18"/>
  <c r="E239" i="18"/>
  <c r="E294" i="17"/>
  <c r="E295" i="17"/>
  <c r="E296" i="17"/>
  <c r="E297" i="17"/>
  <c r="E298" i="17"/>
  <c r="E299" i="17"/>
  <c r="F299" i="17" s="1"/>
  <c r="D283" i="18"/>
  <c r="E32" i="18"/>
  <c r="D33" i="18"/>
  <c r="E54" i="18"/>
  <c r="D65" i="18"/>
  <c r="D71" i="18"/>
  <c r="C163" i="18"/>
  <c r="C145" i="18"/>
  <c r="D157" i="18"/>
  <c r="E156" i="18"/>
  <c r="D163" i="18"/>
  <c r="E163" i="18"/>
  <c r="D211" i="18"/>
  <c r="D234" i="18"/>
  <c r="E242" i="18"/>
  <c r="E216" i="18"/>
  <c r="E218" i="18"/>
  <c r="C222" i="18"/>
  <c r="E231" i="18"/>
  <c r="D253" i="18"/>
  <c r="E253" i="18" s="1"/>
  <c r="D303" i="18"/>
  <c r="E303" i="18" s="1"/>
  <c r="D222" i="18"/>
  <c r="E222" i="18" s="1"/>
  <c r="E265" i="18"/>
  <c r="E314" i="18"/>
  <c r="E301" i="18"/>
  <c r="E324" i="18"/>
  <c r="E23" i="17"/>
  <c r="F23" i="17" s="1"/>
  <c r="E29" i="17"/>
  <c r="F29" i="17" s="1"/>
  <c r="D175" i="17"/>
  <c r="D176" i="17" s="1"/>
  <c r="D62" i="17"/>
  <c r="C32" i="17"/>
  <c r="E35" i="17"/>
  <c r="F35" i="17" s="1"/>
  <c r="D160" i="17"/>
  <c r="C160" i="17"/>
  <c r="E53" i="17"/>
  <c r="F53" i="17"/>
  <c r="E59" i="17"/>
  <c r="F59" i="17"/>
  <c r="D89" i="17"/>
  <c r="D90" i="17" s="1"/>
  <c r="D102" i="17"/>
  <c r="E17" i="17"/>
  <c r="F17" i="17"/>
  <c r="C21" i="17"/>
  <c r="E24" i="17"/>
  <c r="F24" i="17" s="1"/>
  <c r="E30" i="17"/>
  <c r="F30" i="17"/>
  <c r="E31" i="17"/>
  <c r="F31" i="17" s="1"/>
  <c r="E47" i="17"/>
  <c r="F47" i="17" s="1"/>
  <c r="D174" i="17"/>
  <c r="C60" i="17"/>
  <c r="E66" i="17"/>
  <c r="F66" i="17" s="1"/>
  <c r="D111" i="17"/>
  <c r="E109" i="17"/>
  <c r="F109" i="17"/>
  <c r="C111" i="17"/>
  <c r="E120" i="17"/>
  <c r="F120" i="17" s="1"/>
  <c r="E130" i="17"/>
  <c r="F130" i="17" s="1"/>
  <c r="E136" i="17"/>
  <c r="F136" i="17" s="1"/>
  <c r="E145" i="17"/>
  <c r="F145" i="17"/>
  <c r="E158" i="17"/>
  <c r="F158" i="17" s="1"/>
  <c r="E170" i="17"/>
  <c r="F170" i="17"/>
  <c r="E179" i="17"/>
  <c r="F179" i="17" s="1"/>
  <c r="C181" i="17"/>
  <c r="C277" i="17"/>
  <c r="E188" i="17"/>
  <c r="F188" i="17"/>
  <c r="C190" i="17"/>
  <c r="C280" i="17"/>
  <c r="E191" i="17"/>
  <c r="F191" i="17" s="1"/>
  <c r="C200" i="17"/>
  <c r="C283" i="17"/>
  <c r="C267" i="17"/>
  <c r="E203" i="17"/>
  <c r="F203" i="17" s="1"/>
  <c r="C205" i="17"/>
  <c r="C206" i="17"/>
  <c r="C214" i="17"/>
  <c r="C215" i="17"/>
  <c r="E223" i="17"/>
  <c r="F223" i="17"/>
  <c r="E230" i="17"/>
  <c r="F230" i="17" s="1"/>
  <c r="E238" i="17"/>
  <c r="F238" i="17"/>
  <c r="C254" i="17"/>
  <c r="C255" i="17"/>
  <c r="C261" i="17"/>
  <c r="C264" i="17"/>
  <c r="E110" i="17"/>
  <c r="F110" i="17" s="1"/>
  <c r="E123" i="17"/>
  <c r="F123" i="17"/>
  <c r="E129" i="17"/>
  <c r="F129" i="17"/>
  <c r="D207" i="17"/>
  <c r="D138" i="17"/>
  <c r="C138" i="17"/>
  <c r="C140" i="17" s="1"/>
  <c r="E144" i="17"/>
  <c r="F144" i="17" s="1"/>
  <c r="C146" i="17"/>
  <c r="E155" i="17"/>
  <c r="F155" i="17" s="1"/>
  <c r="E165" i="17"/>
  <c r="F165" i="17"/>
  <c r="E171" i="17"/>
  <c r="C278" i="17"/>
  <c r="E278" i="17" s="1"/>
  <c r="E189" i="17"/>
  <c r="F189" i="17"/>
  <c r="C192" i="17"/>
  <c r="C193" i="17"/>
  <c r="C290" i="17"/>
  <c r="C285" i="17"/>
  <c r="C286" i="17" s="1"/>
  <c r="C269" i="17"/>
  <c r="E204" i="17"/>
  <c r="F204" i="17"/>
  <c r="E229" i="17"/>
  <c r="F229" i="17" s="1"/>
  <c r="E237" i="17"/>
  <c r="F237" i="17"/>
  <c r="C239" i="17"/>
  <c r="E239" i="17" s="1"/>
  <c r="F239" i="17" s="1"/>
  <c r="C306" i="17"/>
  <c r="E250" i="17"/>
  <c r="F250" i="17" s="1"/>
  <c r="D124" i="17"/>
  <c r="E277" i="17"/>
  <c r="F277" i="17" s="1"/>
  <c r="D279" i="17"/>
  <c r="D190" i="17"/>
  <c r="E190" i="17" s="1"/>
  <c r="F190" i="17" s="1"/>
  <c r="D193" i="17"/>
  <c r="E193" i="17" s="1"/>
  <c r="D283" i="17"/>
  <c r="E283" i="17" s="1"/>
  <c r="D267" i="17"/>
  <c r="D285" i="17"/>
  <c r="D288" i="17" s="1"/>
  <c r="E285" i="17"/>
  <c r="D269" i="17"/>
  <c r="D205" i="17"/>
  <c r="D206" i="17"/>
  <c r="E206" i="17"/>
  <c r="D214" i="17"/>
  <c r="D215" i="17"/>
  <c r="E215" i="17" s="1"/>
  <c r="F215" i="17" s="1"/>
  <c r="E306" i="17"/>
  <c r="D261" i="17"/>
  <c r="D262" i="17"/>
  <c r="D272" i="17" s="1"/>
  <c r="D264" i="17"/>
  <c r="E264" i="17" s="1"/>
  <c r="F264" i="17" s="1"/>
  <c r="F294" i="17"/>
  <c r="F295" i="17"/>
  <c r="F297" i="17"/>
  <c r="F298" i="17"/>
  <c r="H31" i="14"/>
  <c r="I17" i="14"/>
  <c r="C33" i="14"/>
  <c r="I33" i="14" s="1"/>
  <c r="C36" i="14"/>
  <c r="C38" i="14" s="1"/>
  <c r="C40" i="14" s="1"/>
  <c r="G33" i="14"/>
  <c r="H17" i="14"/>
  <c r="C21" i="13"/>
  <c r="E21" i="13"/>
  <c r="C15" i="13"/>
  <c r="E15" i="13"/>
  <c r="E17" i="13" s="1"/>
  <c r="E28" i="13" s="1"/>
  <c r="E70" i="13" s="1"/>
  <c r="E72" i="13" s="1"/>
  <c r="E69" i="13" s="1"/>
  <c r="D17" i="13"/>
  <c r="D28" i="13" s="1"/>
  <c r="D70" i="13"/>
  <c r="D72" i="13" s="1"/>
  <c r="D69" i="13" s="1"/>
  <c r="C48" i="13"/>
  <c r="C42" i="13"/>
  <c r="E48" i="13"/>
  <c r="E42" i="13"/>
  <c r="E17" i="12"/>
  <c r="E15" i="12"/>
  <c r="F15" i="12" s="1"/>
  <c r="C17" i="12"/>
  <c r="E32" i="12"/>
  <c r="F32" i="12"/>
  <c r="F41" i="11"/>
  <c r="E22" i="11"/>
  <c r="F22" i="11" s="1"/>
  <c r="E38" i="11"/>
  <c r="F38" i="11"/>
  <c r="E56" i="11"/>
  <c r="F56" i="11"/>
  <c r="E23" i="10"/>
  <c r="E24" i="10"/>
  <c r="E35" i="10"/>
  <c r="F35" i="10"/>
  <c r="E36" i="10"/>
  <c r="F36" i="10" s="1"/>
  <c r="E47" i="10"/>
  <c r="E48" i="10"/>
  <c r="E59" i="10"/>
  <c r="F59" i="10"/>
  <c r="E60" i="10"/>
  <c r="F60" i="10"/>
  <c r="E71" i="10"/>
  <c r="E72" i="10"/>
  <c r="F107" i="10"/>
  <c r="E108" i="10"/>
  <c r="F108" i="10"/>
  <c r="E112" i="10"/>
  <c r="F112" i="10" s="1"/>
  <c r="E114" i="10"/>
  <c r="F114" i="10" s="1"/>
  <c r="E116" i="10"/>
  <c r="F116" i="10"/>
  <c r="E118" i="10"/>
  <c r="F118" i="10"/>
  <c r="E120" i="10"/>
  <c r="F120" i="10" s="1"/>
  <c r="C121" i="10"/>
  <c r="F121" i="10" s="1"/>
  <c r="E121" i="10"/>
  <c r="E83" i="10"/>
  <c r="E84" i="10"/>
  <c r="E95" i="10"/>
  <c r="F95" i="10" s="1"/>
  <c r="E96" i="10"/>
  <c r="F96" i="10" s="1"/>
  <c r="E113" i="10"/>
  <c r="E115" i="10"/>
  <c r="F115" i="10" s="1"/>
  <c r="E117" i="10"/>
  <c r="F117" i="10" s="1"/>
  <c r="E119" i="10"/>
  <c r="F119" i="10"/>
  <c r="F207" i="9"/>
  <c r="F208" i="9"/>
  <c r="E198" i="9"/>
  <c r="F198" i="9" s="1"/>
  <c r="E199" i="9"/>
  <c r="F199" i="9"/>
  <c r="D25" i="8"/>
  <c r="D27" i="8" s="1"/>
  <c r="D15" i="8"/>
  <c r="C53" i="8"/>
  <c r="C43" i="8"/>
  <c r="E53" i="8"/>
  <c r="E43" i="8"/>
  <c r="C49" i="8"/>
  <c r="E62" i="8"/>
  <c r="D88" i="8"/>
  <c r="D90" i="8" s="1"/>
  <c r="D86" i="8" s="1"/>
  <c r="D77" i="8"/>
  <c r="D71" i="8"/>
  <c r="C71" i="8"/>
  <c r="C135" i="8"/>
  <c r="E156" i="8"/>
  <c r="E154" i="8"/>
  <c r="E152" i="8"/>
  <c r="E158" i="8" s="1"/>
  <c r="E157" i="8"/>
  <c r="E155" i="8"/>
  <c r="E153" i="8"/>
  <c r="D155" i="8"/>
  <c r="D153" i="8"/>
  <c r="D152" i="8"/>
  <c r="E24" i="8"/>
  <c r="E17" i="8"/>
  <c r="E49" i="8"/>
  <c r="C57" i="8"/>
  <c r="C62" i="8" s="1"/>
  <c r="E71" i="8"/>
  <c r="C136" i="8"/>
  <c r="C140" i="8"/>
  <c r="D138" i="8"/>
  <c r="D136" i="8"/>
  <c r="C156" i="8"/>
  <c r="C153" i="8"/>
  <c r="D49" i="8"/>
  <c r="E90" i="7"/>
  <c r="F90" i="7" s="1"/>
  <c r="D52" i="6"/>
  <c r="D18" i="5"/>
  <c r="F29" i="4"/>
  <c r="E22" i="4"/>
  <c r="F22" i="4" s="1"/>
  <c r="E38" i="4"/>
  <c r="F38" i="4"/>
  <c r="C41" i="4"/>
  <c r="C43" i="4"/>
  <c r="E61" i="4"/>
  <c r="C65" i="4"/>
  <c r="E73" i="4"/>
  <c r="F73" i="4"/>
  <c r="E53" i="22"/>
  <c r="E45" i="22"/>
  <c r="E39" i="22"/>
  <c r="E35" i="22"/>
  <c r="E29" i="22"/>
  <c r="C56" i="22"/>
  <c r="C38" i="22"/>
  <c r="D110" i="22"/>
  <c r="D53" i="22"/>
  <c r="D45" i="22"/>
  <c r="D39" i="22"/>
  <c r="D35" i="22"/>
  <c r="D29" i="22"/>
  <c r="D55" i="22" s="1"/>
  <c r="D30" i="22"/>
  <c r="D38" i="22" s="1"/>
  <c r="C53" i="22"/>
  <c r="C45" i="22"/>
  <c r="C39" i="22"/>
  <c r="C35" i="22"/>
  <c r="C29" i="22"/>
  <c r="C37" i="22" s="1"/>
  <c r="E54" i="22"/>
  <c r="E46" i="22"/>
  <c r="E40" i="22"/>
  <c r="E30" i="22"/>
  <c r="D246" i="18"/>
  <c r="D223" i="18"/>
  <c r="D76" i="18"/>
  <c r="D77" i="18" s="1"/>
  <c r="D258" i="18"/>
  <c r="D101" i="18"/>
  <c r="D99" i="18"/>
  <c r="E99" i="18"/>
  <c r="D100" i="18"/>
  <c r="D97" i="18"/>
  <c r="E97" i="18" s="1"/>
  <c r="D95" i="18"/>
  <c r="D88" i="18"/>
  <c r="E88" i="18"/>
  <c r="D86" i="18"/>
  <c r="E86" i="18" s="1"/>
  <c r="D84" i="18"/>
  <c r="D90" i="18" s="1"/>
  <c r="E44" i="18"/>
  <c r="D98" i="18"/>
  <c r="E98" i="18"/>
  <c r="D96" i="18"/>
  <c r="D102" i="18" s="1"/>
  <c r="E102" i="18" s="1"/>
  <c r="D89" i="18"/>
  <c r="E89" i="18"/>
  <c r="D87" i="18"/>
  <c r="E87" i="18"/>
  <c r="D85" i="18"/>
  <c r="E85" i="18" s="1"/>
  <c r="D83" i="18"/>
  <c r="E33" i="18"/>
  <c r="E144" i="18"/>
  <c r="C223" i="18"/>
  <c r="D306" i="18"/>
  <c r="E306" i="18" s="1"/>
  <c r="D235" i="18"/>
  <c r="D66" i="18"/>
  <c r="E22" i="18"/>
  <c r="D294" i="18"/>
  <c r="C90" i="18"/>
  <c r="C91" i="18" s="1"/>
  <c r="C105" i="18" s="1"/>
  <c r="D271" i="17"/>
  <c r="D268" i="17"/>
  <c r="D263" i="17"/>
  <c r="E261" i="17"/>
  <c r="D254" i="17"/>
  <c r="D216" i="17"/>
  <c r="E214" i="17"/>
  <c r="F278" i="17"/>
  <c r="D208" i="17"/>
  <c r="C271" i="17"/>
  <c r="C268" i="17"/>
  <c r="E268" i="17" s="1"/>
  <c r="F261" i="17"/>
  <c r="C263" i="17"/>
  <c r="F214" i="17"/>
  <c r="C216" i="17"/>
  <c r="F283" i="17"/>
  <c r="C287" i="17"/>
  <c r="C284" i="17"/>
  <c r="C279" i="17"/>
  <c r="C61" i="17"/>
  <c r="E60" i="17"/>
  <c r="F60" i="17"/>
  <c r="C105" i="17"/>
  <c r="C106" i="17" s="1"/>
  <c r="C62" i="17"/>
  <c r="D63" i="17"/>
  <c r="E262" i="17"/>
  <c r="F262" i="17"/>
  <c r="D255" i="17"/>
  <c r="E255" i="17"/>
  <c r="E269" i="17"/>
  <c r="F269" i="17"/>
  <c r="E267" i="17"/>
  <c r="D270" i="17"/>
  <c r="E270" i="17" s="1"/>
  <c r="F270" i="17" s="1"/>
  <c r="D194" i="17"/>
  <c r="E280" i="17"/>
  <c r="F280" i="17"/>
  <c r="E138" i="17"/>
  <c r="C270" i="17"/>
  <c r="F267" i="17"/>
  <c r="D266" i="17"/>
  <c r="E146" i="17"/>
  <c r="F146" i="17"/>
  <c r="E111" i="17"/>
  <c r="F111" i="17"/>
  <c r="D139" i="17"/>
  <c r="E32" i="17"/>
  <c r="F32" i="17"/>
  <c r="C161" i="17"/>
  <c r="C126" i="17"/>
  <c r="C127" i="17" s="1"/>
  <c r="C49" i="17"/>
  <c r="C50" i="17" s="1"/>
  <c r="C272" i="17"/>
  <c r="E102" i="17"/>
  <c r="F102" i="17"/>
  <c r="D103" i="17"/>
  <c r="C304" i="17"/>
  <c r="D140" i="17"/>
  <c r="D141" i="17" s="1"/>
  <c r="D322" i="17" s="1"/>
  <c r="C282" i="17"/>
  <c r="G36" i="14"/>
  <c r="G38" i="14"/>
  <c r="G40" i="14"/>
  <c r="I36" i="14"/>
  <c r="I38" i="14" s="1"/>
  <c r="E24" i="13"/>
  <c r="E20" i="13"/>
  <c r="C24" i="13"/>
  <c r="C20" i="13"/>
  <c r="C17" i="13"/>
  <c r="C28" i="13"/>
  <c r="C22" i="13" s="1"/>
  <c r="F17" i="12"/>
  <c r="C20" i="12"/>
  <c r="D34" i="12"/>
  <c r="E28" i="8"/>
  <c r="E112" i="8"/>
  <c r="E111" i="8"/>
  <c r="D24" i="8"/>
  <c r="D17" i="8"/>
  <c r="D112" i="8" s="1"/>
  <c r="D111" i="8" s="1"/>
  <c r="D21" i="8"/>
  <c r="E41" i="4"/>
  <c r="C55" i="22"/>
  <c r="C47" i="22"/>
  <c r="D113" i="22"/>
  <c r="D112" i="22"/>
  <c r="D47" i="22"/>
  <c r="D37" i="22"/>
  <c r="E258" i="18"/>
  <c r="E223" i="18"/>
  <c r="D310" i="18"/>
  <c r="E310" i="18" s="1"/>
  <c r="E83" i="18"/>
  <c r="E96" i="18"/>
  <c r="E103" i="17"/>
  <c r="F103" i="17"/>
  <c r="D104" i="17"/>
  <c r="E104" i="17" s="1"/>
  <c r="D105" i="17"/>
  <c r="E272" i="17"/>
  <c r="F272" i="17"/>
  <c r="C104" i="17"/>
  <c r="E61" i="17"/>
  <c r="F61" i="17"/>
  <c r="E254" i="17"/>
  <c r="F254" i="17" s="1"/>
  <c r="E263" i="17"/>
  <c r="F263" i="17"/>
  <c r="E271" i="17"/>
  <c r="D304" i="17"/>
  <c r="E304" i="17" s="1"/>
  <c r="D273" i="17"/>
  <c r="C162" i="17"/>
  <c r="C273" i="17"/>
  <c r="E273" i="17" s="1"/>
  <c r="F271" i="17"/>
  <c r="D209" i="17"/>
  <c r="E216" i="17"/>
  <c r="C70" i="13"/>
  <c r="C72" i="13"/>
  <c r="C69" i="13"/>
  <c r="D42" i="12"/>
  <c r="C34" i="12"/>
  <c r="E99" i="8"/>
  <c r="E101" i="8" s="1"/>
  <c r="E98" i="8" s="1"/>
  <c r="D114" i="18"/>
  <c r="C197" i="17"/>
  <c r="F304" i="17"/>
  <c r="D106" i="17"/>
  <c r="E34" i="12"/>
  <c r="C63" i="17" l="1"/>
  <c r="C70" i="17" s="1"/>
  <c r="E62" i="17"/>
  <c r="F62" i="17" s="1"/>
  <c r="E205" i="17"/>
  <c r="F205" i="17" s="1"/>
  <c r="F104" i="17"/>
  <c r="F106" i="17"/>
  <c r="D111" i="18"/>
  <c r="D125" i="18"/>
  <c r="D109" i="18"/>
  <c r="D121" i="18"/>
  <c r="D124" i="18"/>
  <c r="D127" i="18"/>
  <c r="D122" i="18"/>
  <c r="D123" i="18"/>
  <c r="D113" i="18"/>
  <c r="D110" i="18"/>
  <c r="E92" i="6"/>
  <c r="F92" i="6" s="1"/>
  <c r="D95" i="6"/>
  <c r="D112" i="18"/>
  <c r="C42" i="12"/>
  <c r="F34" i="12"/>
  <c r="F216" i="17"/>
  <c r="E95" i="18"/>
  <c r="D103" i="18"/>
  <c r="E103" i="18" s="1"/>
  <c r="D295" i="18"/>
  <c r="F65" i="4"/>
  <c r="E65" i="4"/>
  <c r="E288" i="17"/>
  <c r="E124" i="17"/>
  <c r="F124" i="17" s="1"/>
  <c r="D125" i="17"/>
  <c r="E125" i="17" s="1"/>
  <c r="E90" i="17"/>
  <c r="D195" i="17"/>
  <c r="E90" i="18"/>
  <c r="D91" i="18"/>
  <c r="E38" i="6"/>
  <c r="F38" i="6" s="1"/>
  <c r="F181" i="17"/>
  <c r="F56" i="4"/>
  <c r="C75" i="4"/>
  <c r="E56" i="4"/>
  <c r="F36" i="17"/>
  <c r="E22" i="13"/>
  <c r="E48" i="22"/>
  <c r="E56" i="22"/>
  <c r="E38" i="22"/>
  <c r="C141" i="17"/>
  <c r="F48" i="6"/>
  <c r="C52" i="6"/>
  <c r="F61" i="11"/>
  <c r="D115" i="18"/>
  <c r="D126" i="18"/>
  <c r="C281" i="17"/>
  <c r="D265" i="17"/>
  <c r="E266" i="17"/>
  <c r="E279" i="17"/>
  <c r="F279" i="17" s="1"/>
  <c r="E112" i="22"/>
  <c r="E55" i="22"/>
  <c r="E47" i="22"/>
  <c r="E106" i="17"/>
  <c r="D247" i="18"/>
  <c r="E37" i="22"/>
  <c r="F20" i="12"/>
  <c r="F43" i="4"/>
  <c r="C155" i="8"/>
  <c r="C154" i="8"/>
  <c r="E36" i="9"/>
  <c r="F36" i="9"/>
  <c r="E31" i="14"/>
  <c r="E33" i="14"/>
  <c r="E36" i="14" s="1"/>
  <c r="E38" i="14" s="1"/>
  <c r="E40" i="14" s="1"/>
  <c r="I40" i="14"/>
  <c r="E55" i="18"/>
  <c r="D284" i="18"/>
  <c r="E284" i="18" s="1"/>
  <c r="C139" i="17"/>
  <c r="C157" i="8"/>
  <c r="F124" i="6"/>
  <c r="D156" i="8"/>
  <c r="D157" i="8"/>
  <c r="C90" i="17"/>
  <c r="E48" i="17"/>
  <c r="F48" i="17" s="1"/>
  <c r="E67" i="17"/>
  <c r="C68" i="17"/>
  <c r="F67" i="17"/>
  <c r="C227" i="17"/>
  <c r="E105" i="17"/>
  <c r="F105" i="17" s="1"/>
  <c r="D20" i="8"/>
  <c r="F138" i="17"/>
  <c r="E100" i="18"/>
  <c r="E183" i="7"/>
  <c r="F183" i="7" s="1"/>
  <c r="C152" i="8"/>
  <c r="C158" i="8" s="1"/>
  <c r="D154" i="8"/>
  <c r="D158" i="8" s="1"/>
  <c r="D282" i="17"/>
  <c r="C125" i="17"/>
  <c r="E124" i="6"/>
  <c r="E35" i="7"/>
  <c r="F35" i="7"/>
  <c r="F114" i="9"/>
  <c r="E20" i="12"/>
  <c r="D180" i="18"/>
  <c r="D168" i="18"/>
  <c r="E168" i="18" s="1"/>
  <c r="D36" i="22"/>
  <c r="D54" i="22"/>
  <c r="D40" i="22"/>
  <c r="F137" i="6"/>
  <c r="E75" i="9"/>
  <c r="F75" i="9"/>
  <c r="D56" i="22"/>
  <c r="C91" i="17"/>
  <c r="D145" i="18"/>
  <c r="D46" i="22"/>
  <c r="C110" i="22"/>
  <c r="F16" i="5"/>
  <c r="C18" i="5"/>
  <c r="D135" i="8"/>
  <c r="D141" i="8" s="1"/>
  <c r="D140" i="8"/>
  <c r="D139" i="8"/>
  <c r="D137" i="8"/>
  <c r="F50" i="9"/>
  <c r="F127" i="9"/>
  <c r="D320" i="18"/>
  <c r="E320" i="18" s="1"/>
  <c r="E316" i="18"/>
  <c r="E43" i="4"/>
  <c r="C37" i="17"/>
  <c r="E36" i="17"/>
  <c r="D199" i="17"/>
  <c r="E198" i="17"/>
  <c r="F198" i="17" s="1"/>
  <c r="D290" i="17"/>
  <c r="E290" i="17" s="1"/>
  <c r="F290" i="17" s="1"/>
  <c r="D330" i="18"/>
  <c r="E330" i="18" s="1"/>
  <c r="E326" i="18"/>
  <c r="D48" i="22"/>
  <c r="F200" i="17"/>
  <c r="E59" i="7"/>
  <c r="F59" i="7" s="1"/>
  <c r="C65" i="11"/>
  <c r="C75" i="11" s="1"/>
  <c r="E61" i="11"/>
  <c r="D49" i="12"/>
  <c r="F273" i="17"/>
  <c r="D28" i="8"/>
  <c r="D99" i="8" s="1"/>
  <c r="D101" i="8" s="1"/>
  <c r="D98" i="8" s="1"/>
  <c r="F268" i="17"/>
  <c r="C112" i="22"/>
  <c r="C194" i="17"/>
  <c r="F193" i="17"/>
  <c r="F135" i="17"/>
  <c r="F255" i="17"/>
  <c r="F61" i="4"/>
  <c r="E16" i="5"/>
  <c r="E111" i="6"/>
  <c r="F111" i="6" s="1"/>
  <c r="C25" i="8"/>
  <c r="C27" i="8" s="1"/>
  <c r="C15" i="8"/>
  <c r="C138" i="8"/>
  <c r="C139" i="8"/>
  <c r="C137" i="8"/>
  <c r="F296" i="17"/>
  <c r="E307" i="17"/>
  <c r="F307" i="17"/>
  <c r="E18" i="5"/>
  <c r="D286" i="17"/>
  <c r="E286" i="17" s="1"/>
  <c r="F286" i="17" s="1"/>
  <c r="D287" i="17"/>
  <c r="E157" i="18"/>
  <c r="E60" i="15"/>
  <c r="F60" i="15" s="1"/>
  <c r="F58" i="15"/>
  <c r="E164" i="17"/>
  <c r="F164" i="17"/>
  <c r="C173" i="17"/>
  <c r="E172" i="17"/>
  <c r="F172" i="17"/>
  <c r="C207" i="17"/>
  <c r="F285" i="17"/>
  <c r="F41" i="4"/>
  <c r="E89" i="17"/>
  <c r="F89" i="17" s="1"/>
  <c r="D20" i="13"/>
  <c r="D22" i="13"/>
  <c r="E52" i="17"/>
  <c r="F52" i="17" s="1"/>
  <c r="F171" i="17"/>
  <c r="C210" i="18"/>
  <c r="C229" i="18"/>
  <c r="E229" i="18" s="1"/>
  <c r="E205" i="18"/>
  <c r="D210" i="17"/>
  <c r="E140" i="17"/>
  <c r="F140" i="17" s="1"/>
  <c r="D259" i="18"/>
  <c r="E84" i="18"/>
  <c r="C288" i="17"/>
  <c r="D21" i="5"/>
  <c r="C266" i="17"/>
  <c r="D284" i="17"/>
  <c r="E284" i="17" s="1"/>
  <c r="F284" i="17" s="1"/>
  <c r="D21" i="13"/>
  <c r="D274" i="17"/>
  <c r="E226" i="17"/>
  <c r="F226" i="17" s="1"/>
  <c r="F192" i="17"/>
  <c r="F206" i="17"/>
  <c r="D21" i="17"/>
  <c r="E219" i="18"/>
  <c r="D243" i="18"/>
  <c r="D217" i="18"/>
  <c r="E160" i="17"/>
  <c r="F160" i="17" s="1"/>
  <c r="F47" i="6"/>
  <c r="F68" i="6"/>
  <c r="C95" i="6"/>
  <c r="F179" i="6"/>
  <c r="C95" i="7"/>
  <c r="E149" i="8"/>
  <c r="E63" i="9"/>
  <c r="F63" i="9"/>
  <c r="C122" i="10"/>
  <c r="F113" i="10"/>
  <c r="D48" i="13"/>
  <c r="D42" i="13" s="1"/>
  <c r="D59" i="13"/>
  <c r="D61" i="13" s="1"/>
  <c r="D57" i="13" s="1"/>
  <c r="F92" i="15"/>
  <c r="D181" i="17"/>
  <c r="E181" i="17" s="1"/>
  <c r="E180" i="17"/>
  <c r="F180" i="17" s="1"/>
  <c r="C199" i="17"/>
  <c r="C274" i="17"/>
  <c r="C77" i="22"/>
  <c r="C102" i="22"/>
  <c r="C103" i="22" s="1"/>
  <c r="E137" i="6"/>
  <c r="E88" i="9"/>
  <c r="F88" i="9"/>
  <c r="E140" i="9"/>
  <c r="F140" i="9" s="1"/>
  <c r="C111" i="22"/>
  <c r="C46" i="22"/>
  <c r="F33" i="5"/>
  <c r="E48" i="6"/>
  <c r="E51" i="6"/>
  <c r="F51" i="6" s="1"/>
  <c r="F166" i="6"/>
  <c r="E101" i="9"/>
  <c r="F101" i="9"/>
  <c r="C71" i="18"/>
  <c r="C76" i="18" s="1"/>
  <c r="C65" i="18"/>
  <c r="C289" i="18"/>
  <c r="E289" i="18" s="1"/>
  <c r="E60" i="18"/>
  <c r="C40" i="20"/>
  <c r="F36" i="20"/>
  <c r="F46" i="6"/>
  <c r="F49" i="6"/>
  <c r="F81" i="6"/>
  <c r="F16" i="15"/>
  <c r="E291" i="18"/>
  <c r="F45" i="6"/>
  <c r="E25" i="8"/>
  <c r="E27" i="8" s="1"/>
  <c r="C109" i="8"/>
  <c r="C106" i="8" s="1"/>
  <c r="E62" i="9"/>
  <c r="F141" i="9"/>
  <c r="E141" i="9"/>
  <c r="F29" i="11"/>
  <c r="C43" i="11"/>
  <c r="F91" i="6"/>
  <c r="E93" i="6"/>
  <c r="F41" i="7"/>
  <c r="F192" i="9"/>
  <c r="E176" i="18"/>
  <c r="E251" i="18"/>
  <c r="F205" i="9"/>
  <c r="F13" i="16"/>
  <c r="C64" i="19"/>
  <c r="C65" i="19" s="1"/>
  <c r="C114" i="19" s="1"/>
  <c r="C116" i="19" s="1"/>
  <c r="C119" i="19" s="1"/>
  <c r="C123" i="19" s="1"/>
  <c r="C49" i="19"/>
  <c r="D95" i="7"/>
  <c r="E95" i="7" s="1"/>
  <c r="E37" i="9"/>
  <c r="F102" i="9"/>
  <c r="F128" i="9"/>
  <c r="E167" i="9"/>
  <c r="F100" i="17"/>
  <c r="C217" i="18"/>
  <c r="C241" i="18" s="1"/>
  <c r="C243" i="18"/>
  <c r="C252" i="18" s="1"/>
  <c r="C254" i="18" s="1"/>
  <c r="D43" i="11"/>
  <c r="E43" i="11" s="1"/>
  <c r="E65" i="11"/>
  <c r="C175" i="18"/>
  <c r="E175" i="18" s="1"/>
  <c r="F16" i="20"/>
  <c r="E154" i="9"/>
  <c r="D50" i="13"/>
  <c r="E88" i="17"/>
  <c r="F88" i="17"/>
  <c r="F95" i="17"/>
  <c r="E137" i="17"/>
  <c r="F137" i="17" s="1"/>
  <c r="E177" i="18"/>
  <c r="E262" i="18"/>
  <c r="E280" i="18"/>
  <c r="F44" i="20"/>
  <c r="E192" i="9"/>
  <c r="E73" i="11"/>
  <c r="F73" i="11" s="1"/>
  <c r="F100" i="15"/>
  <c r="E165" i="18"/>
  <c r="D261" i="18"/>
  <c r="E261" i="18" s="1"/>
  <c r="E193" i="9"/>
  <c r="F193" i="9"/>
  <c r="E101" i="17"/>
  <c r="F101" i="17" s="1"/>
  <c r="F21" i="21"/>
  <c r="E77" i="22"/>
  <c r="E113" i="22" s="1"/>
  <c r="F33" i="14"/>
  <c r="E25" i="20"/>
  <c r="F25" i="20" s="1"/>
  <c r="C33" i="22"/>
  <c r="E75" i="11" l="1"/>
  <c r="F75" i="11"/>
  <c r="C77" i="18"/>
  <c r="E76" i="18"/>
  <c r="E180" i="18"/>
  <c r="E195" i="17"/>
  <c r="D117" i="18"/>
  <c r="F199" i="17"/>
  <c r="D263" i="18"/>
  <c r="F95" i="6"/>
  <c r="D49" i="17"/>
  <c r="D161" i="17"/>
  <c r="D126" i="17"/>
  <c r="D91" i="17"/>
  <c r="D196" i="17"/>
  <c r="E21" i="17"/>
  <c r="F21" i="17" s="1"/>
  <c r="D35" i="5"/>
  <c r="C234" i="18"/>
  <c r="E234" i="18" s="1"/>
  <c r="E210" i="18"/>
  <c r="C180" i="18"/>
  <c r="C211" i="18"/>
  <c r="E91" i="18"/>
  <c r="D105" i="18"/>
  <c r="E105" i="18" s="1"/>
  <c r="D22" i="8"/>
  <c r="C66" i="18"/>
  <c r="C294" i="18"/>
  <c r="E294" i="18" s="1"/>
  <c r="C246" i="18"/>
  <c r="E246" i="18" s="1"/>
  <c r="E65" i="18"/>
  <c r="C108" i="22"/>
  <c r="C113" i="22"/>
  <c r="C109" i="22"/>
  <c r="C291" i="17"/>
  <c r="F288" i="17"/>
  <c r="C289" i="17"/>
  <c r="C208" i="17"/>
  <c r="F207" i="17"/>
  <c r="E207" i="17"/>
  <c r="C141" i="8"/>
  <c r="C21" i="5"/>
  <c r="E21" i="5" s="1"/>
  <c r="F18" i="5"/>
  <c r="F125" i="17"/>
  <c r="F90" i="17"/>
  <c r="E95" i="6"/>
  <c r="E122" i="10"/>
  <c r="F122" i="10" s="1"/>
  <c r="F75" i="4"/>
  <c r="E75" i="4"/>
  <c r="E20" i="8"/>
  <c r="E21" i="8"/>
  <c r="E22" i="8"/>
  <c r="E136" i="8"/>
  <c r="E138" i="8"/>
  <c r="E137" i="8"/>
  <c r="E140" i="8"/>
  <c r="E139" i="8"/>
  <c r="E135" i="8"/>
  <c r="E243" i="18"/>
  <c r="D252" i="18"/>
  <c r="D211" i="17"/>
  <c r="C21" i="8"/>
  <c r="F194" i="17"/>
  <c r="C195" i="17"/>
  <c r="C196" i="17"/>
  <c r="E199" i="17"/>
  <c r="E68" i="17"/>
  <c r="F68" i="17"/>
  <c r="F141" i="17"/>
  <c r="C322" i="17"/>
  <c r="C148" i="17"/>
  <c r="C49" i="12"/>
  <c r="C300" i="17"/>
  <c r="E282" i="17"/>
  <c r="F282" i="17" s="1"/>
  <c r="D281" i="17"/>
  <c r="E281" i="17" s="1"/>
  <c r="F281" i="17" s="1"/>
  <c r="D116" i="18"/>
  <c r="D300" i="17"/>
  <c r="E300" i="17" s="1"/>
  <c r="E274" i="17"/>
  <c r="F274" i="17" s="1"/>
  <c r="H33" i="14"/>
  <c r="H36" i="14" s="1"/>
  <c r="H38" i="14" s="1"/>
  <c r="H40" i="14" s="1"/>
  <c r="F36" i="14"/>
  <c r="F38" i="14" s="1"/>
  <c r="F40" i="14" s="1"/>
  <c r="C41" i="20"/>
  <c r="F95" i="7"/>
  <c r="D181" i="18"/>
  <c r="E145" i="18"/>
  <c r="D169" i="18"/>
  <c r="E169" i="18" s="1"/>
  <c r="E265" i="17"/>
  <c r="E194" i="17"/>
  <c r="D128" i="18"/>
  <c r="E42" i="12"/>
  <c r="F42" i="12" s="1"/>
  <c r="D289" i="17"/>
  <c r="E289" i="17" s="1"/>
  <c r="E287" i="17"/>
  <c r="F287" i="17" s="1"/>
  <c r="D291" i="17"/>
  <c r="E227" i="17"/>
  <c r="F227" i="17"/>
  <c r="D241" i="18"/>
  <c r="E241" i="18" s="1"/>
  <c r="E217" i="18"/>
  <c r="C175" i="17"/>
  <c r="F173" i="17"/>
  <c r="E173" i="17"/>
  <c r="C174" i="17"/>
  <c r="C17" i="8"/>
  <c r="C24" i="8"/>
  <c r="C20" i="8" s="1"/>
  <c r="F65" i="11"/>
  <c r="E63" i="17"/>
  <c r="F63" i="17" s="1"/>
  <c r="E108" i="22"/>
  <c r="E109" i="22"/>
  <c r="E110" i="22"/>
  <c r="E111" i="22"/>
  <c r="C259" i="18"/>
  <c r="C263" i="18" s="1"/>
  <c r="C264" i="18" s="1"/>
  <c r="C266" i="18" s="1"/>
  <c r="C267" i="18" s="1"/>
  <c r="E40" i="20"/>
  <c r="E41" i="20" s="1"/>
  <c r="F43" i="11"/>
  <c r="E71" i="18"/>
  <c r="F266" i="17"/>
  <c r="C265" i="17"/>
  <c r="E37" i="17"/>
  <c r="F37" i="17"/>
  <c r="C92" i="17"/>
  <c r="F139" i="17"/>
  <c r="E52" i="6"/>
  <c r="F52" i="6" s="1"/>
  <c r="E141" i="17"/>
  <c r="E139" i="17"/>
  <c r="C247" i="18" l="1"/>
  <c r="E247" i="18" s="1"/>
  <c r="E66" i="18"/>
  <c r="C295" i="18"/>
  <c r="E295" i="18" s="1"/>
  <c r="D162" i="17"/>
  <c r="E161" i="17"/>
  <c r="F161" i="17" s="1"/>
  <c r="C324" i="17"/>
  <c r="C113" i="17"/>
  <c r="C305" i="17"/>
  <c r="F291" i="17"/>
  <c r="E174" i="17"/>
  <c r="F174" i="17" s="1"/>
  <c r="D254" i="18"/>
  <c r="E254" i="18" s="1"/>
  <c r="E252" i="18"/>
  <c r="E35" i="5"/>
  <c r="D43" i="5"/>
  <c r="F265" i="17"/>
  <c r="F195" i="17"/>
  <c r="D129" i="18"/>
  <c r="E259" i="18"/>
  <c r="C112" i="18"/>
  <c r="E112" i="18" s="1"/>
  <c r="C113" i="18"/>
  <c r="E113" i="18" s="1"/>
  <c r="C125" i="18"/>
  <c r="E125" i="18" s="1"/>
  <c r="C122" i="18"/>
  <c r="C115" i="18"/>
  <c r="E115" i="18" s="1"/>
  <c r="C127" i="18"/>
  <c r="E127" i="18" s="1"/>
  <c r="C111" i="18"/>
  <c r="E111" i="18" s="1"/>
  <c r="C114" i="18"/>
  <c r="E114" i="18" s="1"/>
  <c r="C123" i="18"/>
  <c r="E123" i="18" s="1"/>
  <c r="C121" i="18"/>
  <c r="C126" i="18"/>
  <c r="E126" i="18" s="1"/>
  <c r="C124" i="18"/>
  <c r="E124" i="18" s="1"/>
  <c r="C110" i="18"/>
  <c r="C109" i="18"/>
  <c r="E77" i="18"/>
  <c r="C269" i="18"/>
  <c r="C268" i="18"/>
  <c r="C271" i="18" s="1"/>
  <c r="F49" i="12"/>
  <c r="E49" i="17"/>
  <c r="F49" i="17" s="1"/>
  <c r="D50" i="17"/>
  <c r="C112" i="8"/>
  <c r="C111" i="8" s="1"/>
  <c r="C28" i="8"/>
  <c r="F40" i="20"/>
  <c r="C35" i="5"/>
  <c r="F21" i="5"/>
  <c r="F41" i="20"/>
  <c r="D305" i="17"/>
  <c r="E291" i="17"/>
  <c r="E49" i="12"/>
  <c r="F322" i="17"/>
  <c r="E322" i="17"/>
  <c r="E141" i="8"/>
  <c r="D197" i="17"/>
  <c r="E197" i="17" s="1"/>
  <c r="F197" i="17" s="1"/>
  <c r="E196" i="17"/>
  <c r="F196" i="17" s="1"/>
  <c r="E263" i="18"/>
  <c r="D264" i="18"/>
  <c r="E175" i="17"/>
  <c r="F175" i="17" s="1"/>
  <c r="C176" i="17"/>
  <c r="F300" i="17"/>
  <c r="F208" i="17"/>
  <c r="C210" i="17"/>
  <c r="C209" i="17"/>
  <c r="E208" i="17"/>
  <c r="C235" i="18"/>
  <c r="E235" i="18" s="1"/>
  <c r="C181" i="18"/>
  <c r="E181" i="18" s="1"/>
  <c r="E211" i="18"/>
  <c r="D92" i="17"/>
  <c r="E91" i="17"/>
  <c r="F91" i="17" s="1"/>
  <c r="F289" i="17"/>
  <c r="D127" i="17"/>
  <c r="E126" i="17"/>
  <c r="F126" i="17" s="1"/>
  <c r="C99" i="8" l="1"/>
  <c r="C101" i="8" s="1"/>
  <c r="C98" i="8" s="1"/>
  <c r="C22" i="8"/>
  <c r="C117" i="18"/>
  <c r="E109" i="18"/>
  <c r="D266" i="18"/>
  <c r="E264" i="18"/>
  <c r="D70" i="17"/>
  <c r="E70" i="17" s="1"/>
  <c r="F70" i="17" s="1"/>
  <c r="E50" i="17"/>
  <c r="F50" i="17" s="1"/>
  <c r="C116" i="18"/>
  <c r="E116" i="18" s="1"/>
  <c r="E110" i="18"/>
  <c r="D148" i="17"/>
  <c r="E148" i="17" s="1"/>
  <c r="F148" i="17" s="1"/>
  <c r="E127" i="17"/>
  <c r="F127" i="17" s="1"/>
  <c r="E209" i="17"/>
  <c r="F209" i="17" s="1"/>
  <c r="D309" i="17"/>
  <c r="E305" i="17"/>
  <c r="F305" i="17" s="1"/>
  <c r="C128" i="18"/>
  <c r="E128" i="18" s="1"/>
  <c r="E122" i="18"/>
  <c r="D131" i="18"/>
  <c r="E210" i="17"/>
  <c r="F210" i="17" s="1"/>
  <c r="E43" i="5"/>
  <c r="D50" i="5"/>
  <c r="E121" i="18"/>
  <c r="D113" i="17"/>
  <c r="E113" i="17" s="1"/>
  <c r="F113" i="17" s="1"/>
  <c r="E92" i="17"/>
  <c r="F92" i="17" s="1"/>
  <c r="D324" i="17"/>
  <c r="C43" i="5"/>
  <c r="F35" i="5"/>
  <c r="C309" i="17"/>
  <c r="D323" i="17"/>
  <c r="E162" i="17"/>
  <c r="F162" i="17" s="1"/>
  <c r="D183" i="17"/>
  <c r="F176" i="17"/>
  <c r="C323" i="17"/>
  <c r="C183" i="17"/>
  <c r="E176" i="17"/>
  <c r="C211" i="17"/>
  <c r="E324" i="17" l="1"/>
  <c r="F324" i="17" s="1"/>
  <c r="D325" i="17"/>
  <c r="E183" i="17"/>
  <c r="E266" i="18"/>
  <c r="D267" i="18"/>
  <c r="F183" i="17"/>
  <c r="C50" i="5"/>
  <c r="F43" i="5"/>
  <c r="C325" i="17"/>
  <c r="E323" i="17"/>
  <c r="F323" i="17" s="1"/>
  <c r="C131" i="18"/>
  <c r="E131" i="18" s="1"/>
  <c r="E117" i="18"/>
  <c r="E211" i="17"/>
  <c r="F211" i="17" s="1"/>
  <c r="C310" i="17"/>
  <c r="C129" i="18"/>
  <c r="E129" i="18" s="1"/>
  <c r="E50" i="5"/>
  <c r="E309" i="17"/>
  <c r="F309" i="17" s="1"/>
  <c r="D310" i="17"/>
  <c r="E267" i="18" l="1"/>
  <c r="D269" i="18"/>
  <c r="E269" i="18" s="1"/>
  <c r="D268" i="18"/>
  <c r="D312" i="17"/>
  <c r="E310" i="17"/>
  <c r="E325" i="17"/>
  <c r="F325" i="17" s="1"/>
  <c r="F310" i="17"/>
  <c r="C312" i="17"/>
  <c r="F50" i="5"/>
  <c r="E312" i="17" l="1"/>
  <c r="D313" i="17"/>
  <c r="E268" i="18"/>
  <c r="D271" i="18"/>
  <c r="E271" i="18" s="1"/>
  <c r="F312" i="17"/>
  <c r="C313" i="17"/>
  <c r="D314" i="17" l="1"/>
  <c r="E313" i="17"/>
  <c r="D251" i="17"/>
  <c r="D315" i="17"/>
  <c r="E315" i="17" s="1"/>
  <c r="D256" i="17"/>
  <c r="C251" i="17"/>
  <c r="F313" i="17"/>
  <c r="C314" i="17"/>
  <c r="C256" i="17"/>
  <c r="C315" i="17"/>
  <c r="E251" i="17" l="1"/>
  <c r="F251" i="17" s="1"/>
  <c r="F315" i="17"/>
  <c r="C318" i="17"/>
  <c r="D257" i="17"/>
  <c r="E256" i="17"/>
  <c r="F256" i="17" s="1"/>
  <c r="C257" i="17"/>
  <c r="D318" i="17"/>
  <c r="E314" i="17"/>
  <c r="F314" i="17" s="1"/>
  <c r="E257" i="17" l="1"/>
  <c r="F257" i="17" s="1"/>
  <c r="E318" i="17"/>
  <c r="F318" i="17" s="1"/>
</calcChain>
</file>

<file path=xl/sharedStrings.xml><?xml version="1.0" encoding="utf-8"?>
<sst xmlns="http://schemas.openxmlformats.org/spreadsheetml/2006/main" count="2333" uniqueCount="1008">
  <si>
    <t>SAINT VINCENT`S MEDICAL CENTER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</si>
  <si>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</si>
  <si>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</si>
  <si>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</si>
  <si>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</si>
  <si>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</si>
  <si>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</si>
  <si>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</si>
  <si>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</si>
  <si>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</si>
  <si>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</si>
  <si>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</si>
  <si>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</si>
  <si>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</si>
  <si>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</si>
  <si>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</si>
  <si>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</si>
  <si>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</si>
  <si>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</si>
  <si>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</si>
  <si>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</si>
  <si>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</si>
  <si>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</si>
  <si>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</si>
  <si>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</si>
  <si>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</si>
  <si>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</si>
  <si>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</si>
  <si>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</si>
  <si>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</si>
  <si>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</si>
  <si>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</si>
  <si>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</si>
  <si>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</si>
  <si>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</si>
  <si>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</si>
  <si>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</si>
  <si>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</si>
  <si>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</si>
  <si>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</si>
  <si>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</si>
  <si>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</si>
  <si>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</si>
  <si>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</si>
  <si>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</si>
  <si>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</si>
  <si>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</si>
  <si>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</si>
  <si>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</si>
  <si>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</si>
  <si>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</si>
  <si>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</si>
  <si>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</si>
  <si>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</si>
  <si>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</si>
  <si>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</si>
  <si>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</si>
  <si>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</si>
  <si>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</si>
  <si>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</si>
  <si>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</si>
  <si>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</si>
  <si>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</si>
  <si>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</si>
  <si>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</si>
  <si>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</si>
  <si>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</si>
  <si>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</si>
  <si>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</si>
  <si>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</si>
  <si>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</si>
  <si>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</si>
  <si>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</si>
  <si>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</si>
  <si>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</si>
  <si>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</si>
  <si>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</si>
  <si>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</si>
  <si>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</si>
  <si>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</si>
  <si>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</si>
  <si>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</si>
  <si>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</si>
  <si>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</si>
  <si>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</si>
  <si>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</si>
  <si>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</si>
  <si>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</si>
  <si>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</si>
  <si>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</si>
  <si>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</si>
  <si>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</si>
  <si>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</si>
  <si>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</si>
  <si>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</si>
  <si>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</si>
  <si>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</si>
  <si>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</si>
  <si>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</si>
  <si>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</si>
  <si>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</si>
  <si>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</si>
  <si>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</si>
  <si>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</si>
  <si>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</si>
  <si>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</si>
  <si>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</si>
  <si>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</si>
  <si>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</si>
  <si>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</si>
  <si>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</si>
  <si>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</si>
  <si>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</si>
  <si>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</si>
  <si>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</si>
  <si>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</si>
  <si>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</si>
  <si>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</si>
  <si>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</si>
  <si>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</si>
  <si>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</si>
  <si>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</si>
  <si>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</si>
  <si>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</si>
  <si>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</si>
  <si>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</si>
  <si>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</si>
  <si>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</si>
  <si>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</si>
  <si>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</si>
  <si>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</si>
  <si>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</si>
  <si>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</si>
  <si>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</si>
  <si>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</si>
  <si>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</si>
  <si>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</si>
  <si>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</si>
  <si>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</si>
  <si>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</si>
  <si>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</si>
  <si>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</si>
  <si>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</si>
  <si>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</si>
  <si>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</si>
  <si>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</si>
  <si>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</si>
  <si>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</si>
  <si>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</si>
  <si>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</si>
  <si>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</si>
  <si>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</si>
  <si>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</si>
  <si>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</si>
  <si>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</si>
  <si>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</si>
  <si>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</si>
  <si>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</si>
  <si>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</si>
  <si>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</si>
  <si>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</si>
  <si>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</si>
  <si>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</si>
  <si>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</si>
  <si>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</si>
  <si>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</si>
  <si>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</si>
  <si>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</si>
  <si>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</si>
  <si>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</si>
  <si>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</si>
  <si>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</si>
  <si>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</si>
  <si>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</si>
  <si>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</si>
  <si>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</si>
  <si>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</si>
  <si>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</si>
  <si>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</si>
  <si>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</si>
  <si>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</si>
  <si>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</si>
  <si>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</si>
  <si>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</si>
  <si>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</si>
  <si>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</si>
  <si>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</si>
  <si>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</si>
  <si>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</si>
  <si>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</si>
  <si>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</si>
  <si>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</si>
  <si>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</si>
  <si>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</si>
  <si>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</si>
  <si>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</si>
  <si>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</si>
  <si>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</si>
  <si>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</si>
  <si>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</si>
  <si>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</si>
  <si>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</si>
  <si>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</si>
  <si>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</si>
  <si>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</si>
  <si>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</si>
  <si>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</si>
  <si>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</si>
  <si>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</si>
  <si>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</si>
  <si>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</si>
  <si>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</si>
  <si>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</si>
  <si>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</si>
  <si>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</si>
  <si>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</si>
  <si>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</si>
  <si>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</si>
  <si>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</si>
  <si>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</si>
  <si>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</si>
  <si>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</si>
  <si>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</si>
  <si>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</si>
  <si>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</si>
  <si>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</si>
  <si>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</si>
  <si>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</si>
  <si>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</si>
  <si>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</si>
  <si>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</si>
  <si>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</si>
  <si>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</si>
  <si>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</si>
  <si>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</si>
  <si>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</si>
  <si>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</si>
  <si>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</si>
  <si>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</si>
  <si>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</si>
  <si>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</si>
  <si>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</si>
  <si>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</si>
  <si>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</si>
  <si>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</si>
  <si>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</si>
  <si>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</si>
  <si>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</si>
  <si>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</si>
  <si>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</si>
  <si>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</si>
  <si>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</si>
  <si>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</si>
  <si>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</si>
  <si>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</si>
  <si>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</si>
  <si>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</si>
  <si>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</si>
  <si>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</si>
  <si>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</si>
  <si>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</si>
  <si>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</si>
  <si>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</si>
  <si>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</si>
  <si>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</si>
  <si>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</si>
  <si>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</si>
  <si>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</si>
  <si>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</si>
  <si>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</si>
  <si>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</si>
  <si>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</si>
  <si>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</si>
  <si>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</si>
  <si>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</si>
  <si>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</si>
  <si>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</si>
  <si>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</si>
  <si>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</si>
  <si>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</si>
  <si>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</si>
  <si>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</si>
  <si>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</si>
  <si>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</si>
  <si>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</si>
  <si>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</si>
  <si>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</si>
  <si>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</si>
  <si>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</si>
  <si>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</si>
  <si>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</si>
  <si>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</si>
  <si>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</si>
  <si>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</si>
  <si>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</si>
  <si>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</si>
  <si>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</si>
  <si>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</si>
  <si>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</si>
  <si>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</si>
  <si>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</si>
  <si>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</si>
  <si>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</si>
  <si>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</si>
  <si>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</si>
  <si>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</si>
  <si>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</si>
  <si>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</si>
  <si>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</si>
  <si>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</si>
  <si>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</si>
  <si>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</si>
  <si>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</si>
  <si>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</si>
  <si>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</si>
  <si>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</si>
  <si>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</si>
  <si>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</si>
  <si>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</si>
  <si>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</si>
  <si>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</si>
  <si>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</si>
  <si>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</si>
  <si>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</si>
  <si>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</si>
  <si>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</si>
  <si>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</si>
  <si>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</si>
  <si>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</si>
  <si>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</si>
  <si>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</si>
  <si>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</si>
  <si>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</si>
  <si>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</si>
  <si>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</si>
  <si>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</si>
  <si>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</si>
  <si>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</si>
  <si>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</si>
  <si>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</si>
  <si>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</si>
  <si>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</si>
  <si>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</si>
  <si>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</si>
  <si>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</si>
  <si>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</si>
  <si>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</si>
  <si>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</si>
  <si>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</si>
  <si>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</si>
  <si>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</si>
  <si>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</si>
  <si>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</si>
  <si>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</si>
  <si>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</si>
  <si>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</si>
  <si>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</si>
  <si>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</si>
  <si>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</si>
  <si>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</si>
  <si>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</si>
  <si>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</si>
  <si>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</si>
  <si>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</si>
  <si>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</si>
  <si>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</si>
  <si>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</si>
  <si>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</si>
  <si>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</si>
  <si>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</si>
  <si>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</si>
  <si>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</si>
  <si>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</si>
  <si>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</si>
  <si>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</si>
  <si>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</si>
  <si>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</si>
  <si>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</si>
  <si>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</si>
  <si>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</si>
  <si>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</si>
  <si>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</si>
  <si>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</si>
  <si>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</si>
  <si>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</si>
  <si>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</si>
  <si>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</si>
  <si>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</si>
  <si>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</si>
  <si>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</si>
  <si>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</si>
  <si>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</si>
  <si>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</si>
  <si>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</si>
  <si>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</si>
  <si>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</si>
  <si>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</si>
  <si>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</si>
  <si>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</si>
  <si>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</si>
  <si>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</si>
  <si>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</si>
  <si>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</si>
  <si>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</si>
  <si>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</si>
  <si>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</si>
  <si>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</si>
  <si>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</si>
  <si>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</si>
  <si>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</si>
  <si>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</si>
  <si>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</si>
  <si>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</si>
  <si>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</si>
  <si>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</si>
  <si>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</si>
  <si>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</si>
  <si>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</si>
  <si>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</si>
  <si>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</si>
  <si>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</si>
  <si>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</si>
  <si>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</si>
  <si>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</si>
  <si>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</si>
  <si>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</si>
  <si>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</si>
  <si>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</si>
  <si>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</si>
  <si>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</si>
  <si>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</si>
  <si>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</si>
  <si>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</si>
  <si>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</si>
  <si>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</si>
  <si>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</si>
  <si>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</si>
  <si>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</si>
  <si>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</si>
  <si>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</si>
  <si>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</si>
  <si>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</si>
  <si>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</si>
  <si>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</si>
  <si>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</si>
  <si>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</si>
  <si>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</si>
  <si>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</si>
  <si>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</si>
  <si>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</si>
  <si>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</si>
  <si>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</si>
  <si>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</si>
  <si>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</si>
  <si>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</si>
  <si>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</si>
  <si>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</si>
  <si>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</si>
  <si>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</si>
  <si>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</si>
  <si>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</si>
  <si>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</si>
  <si>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</si>
  <si>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</si>
  <si>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</si>
  <si>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</si>
  <si>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</si>
  <si>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</si>
  <si>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</si>
  <si>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</si>
  <si>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</si>
  <si>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</si>
  <si>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</si>
  <si>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</si>
  <si>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</si>
  <si>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</si>
  <si>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</si>
  <si>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</si>
  <si>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</si>
  <si>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</si>
  <si>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</si>
  <si>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</si>
  <si>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</si>
  <si>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</si>
  <si>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</si>
  <si>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</si>
  <si>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</si>
  <si>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</si>
  <si>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</si>
  <si>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</si>
  <si>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</si>
  <si>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</si>
  <si>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</si>
  <si>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</si>
  <si>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</si>
  <si>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</si>
  <si>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</si>
  <si>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</si>
  <si>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</si>
  <si>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</si>
  <si>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ST VINCENTS HEALTH SERVICES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</si>
  <si>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</si>
  <si>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</si>
  <si>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</si>
  <si>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</si>
  <si>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</si>
  <si>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</si>
  <si>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</si>
  <si>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</si>
  <si>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</si>
  <si>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</si>
  <si>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</si>
  <si>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</si>
  <si>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</si>
  <si>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</si>
  <si>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</si>
  <si>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</si>
  <si>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</si>
  <si>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</si>
  <si>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</si>
  <si>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</si>
  <si>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</si>
  <si>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</si>
  <si>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</si>
  <si>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</si>
  <si>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</si>
  <si>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</si>
  <si>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</si>
  <si>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</si>
  <si>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</si>
  <si>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</si>
  <si>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</si>
  <si>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</si>
  <si>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</si>
  <si>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</si>
  <si>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</si>
  <si>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</si>
  <si>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</si>
  <si>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</si>
  <si>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</si>
  <si>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</si>
  <si>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</si>
  <si>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</si>
  <si>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</si>
  <si>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</si>
  <si>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</si>
  <si>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</si>
  <si>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</si>
  <si>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</si>
  <si>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</si>
  <si>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</si>
  <si>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</si>
  <si>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</si>
  <si>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</si>
  <si>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</si>
  <si>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</si>
  <si>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</si>
  <si>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</si>
  <si>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</si>
  <si>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</si>
  <si>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</si>
  <si>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</si>
  <si>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</si>
  <si>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</si>
  <si>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</si>
  <si>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</si>
  <si>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</si>
  <si>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</si>
  <si>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</si>
  <si>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</si>
  <si>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</si>
  <si>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</si>
  <si>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</si>
  <si>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</si>
  <si>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</si>
  <si>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</si>
  <si>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</si>
  <si>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</si>
  <si>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</si>
  <si>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</si>
  <si>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</si>
  <si>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</si>
  <si>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</si>
  <si>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</si>
  <si>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</si>
  <si>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</si>
  <si>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</si>
  <si>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</si>
  <si>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</si>
  <si>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</si>
  <si>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</si>
  <si>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</si>
  <si>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</si>
  <si>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</si>
  <si>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</si>
  <si>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</si>
  <si>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</si>
  <si>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</si>
  <si>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</si>
  <si>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</si>
  <si>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</si>
  <si>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</si>
  <si>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</si>
  <si>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</si>
  <si>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</si>
  <si>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</si>
  <si>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</si>
  <si>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</si>
  <si>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</si>
  <si>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</si>
  <si>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</si>
  <si>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</si>
  <si>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</si>
  <si>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</si>
  <si>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</si>
  <si>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</si>
  <si>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</si>
  <si>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</si>
  <si>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</si>
  <si>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</si>
  <si>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</si>
  <si>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St. Vincents Medical Center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</si>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</sst>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4388000</v>
      </c>
      <c r="D13" s="22">
        <v>3609000</v>
      </c>
      <c r="E13" s="22">
        <f t="shared" ref="E13:E22" si="0">D13-C13</f>
        <v>-779000</v>
      </c>
      <c r="F13" s="23">
        <f t="shared" ref="F13:F22" si="1">IF(C13=0,0,E13/C13)</f>
        <v>-0.17752962625341842</v>
      </c>
    </row>
    <row r="14" spans="1:8" ht="24" customHeight="1" x14ac:dyDescent="0.2">
      <c r="A14" s="20">
        <v>2</v>
      </c>
      <c r="B14" s="21" t="s">
        <v>17</v>
      </c>
      <c r="C14" s="22">
        <v>14580000</v>
      </c>
      <c r="D14" s="22">
        <v>0</v>
      </c>
      <c r="E14" s="22">
        <f t="shared" si="0"/>
        <v>-14580000</v>
      </c>
      <c r="F14" s="23">
        <f t="shared" si="1"/>
        <v>-1</v>
      </c>
    </row>
    <row r="15" spans="1:8" ht="24" customHeight="1" x14ac:dyDescent="0.2">
      <c r="A15" s="20">
        <v>3</v>
      </c>
      <c r="B15" s="21" t="s">
        <v>18</v>
      </c>
      <c r="C15" s="22">
        <v>51340000</v>
      </c>
      <c r="D15" s="22">
        <v>52068000</v>
      </c>
      <c r="E15" s="22">
        <f t="shared" si="0"/>
        <v>728000</v>
      </c>
      <c r="F15" s="23">
        <f t="shared" si="1"/>
        <v>1.4179976626412153E-2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7676000</v>
      </c>
      <c r="D17" s="22">
        <v>18040000</v>
      </c>
      <c r="E17" s="22">
        <f t="shared" si="0"/>
        <v>10364000</v>
      </c>
      <c r="F17" s="23">
        <f t="shared" si="1"/>
        <v>1.3501823866597187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3920000</v>
      </c>
      <c r="D19" s="22">
        <v>4742000</v>
      </c>
      <c r="E19" s="22">
        <f t="shared" si="0"/>
        <v>822000</v>
      </c>
      <c r="F19" s="23">
        <f t="shared" si="1"/>
        <v>0.2096938775510204</v>
      </c>
    </row>
    <row r="20" spans="1:11" ht="24" customHeight="1" x14ac:dyDescent="0.2">
      <c r="A20" s="20">
        <v>8</v>
      </c>
      <c r="B20" s="21" t="s">
        <v>23</v>
      </c>
      <c r="C20" s="22">
        <v>2430000</v>
      </c>
      <c r="D20" s="22">
        <v>2605000</v>
      </c>
      <c r="E20" s="22">
        <f t="shared" si="0"/>
        <v>175000</v>
      </c>
      <c r="F20" s="23">
        <f t="shared" si="1"/>
        <v>7.2016460905349799E-2</v>
      </c>
    </row>
    <row r="21" spans="1:11" ht="24" customHeight="1" x14ac:dyDescent="0.2">
      <c r="A21" s="20">
        <v>9</v>
      </c>
      <c r="B21" s="21" t="s">
        <v>24</v>
      </c>
      <c r="C21" s="22">
        <v>392000</v>
      </c>
      <c r="D21" s="22">
        <v>9738000</v>
      </c>
      <c r="E21" s="22">
        <f t="shared" si="0"/>
        <v>9346000</v>
      </c>
      <c r="F21" s="23">
        <f t="shared" si="1"/>
        <v>23.841836734693878</v>
      </c>
    </row>
    <row r="22" spans="1:11" ht="24" customHeight="1" x14ac:dyDescent="0.25">
      <c r="A22" s="24"/>
      <c r="B22" s="25" t="s">
        <v>25</v>
      </c>
      <c r="C22" s="26">
        <f>SUM(C13:C21)</f>
        <v>84726000</v>
      </c>
      <c r="D22" s="26">
        <f>SUM(D13:D21)</f>
        <v>90802000</v>
      </c>
      <c r="E22" s="26">
        <f t="shared" si="0"/>
        <v>6076000</v>
      </c>
      <c r="F22" s="27">
        <f t="shared" si="1"/>
        <v>7.1713523593702047E-2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282000</v>
      </c>
      <c r="D28" s="22">
        <v>281000</v>
      </c>
      <c r="E28" s="22">
        <f>D28-C28</f>
        <v>-1000</v>
      </c>
      <c r="F28" s="23">
        <f>IF(C28=0,0,E28/C28)</f>
        <v>-3.5460992907801418E-3</v>
      </c>
    </row>
    <row r="29" spans="1:11" ht="24" customHeight="1" x14ac:dyDescent="0.25">
      <c r="A29" s="24"/>
      <c r="B29" s="25" t="s">
        <v>32</v>
      </c>
      <c r="C29" s="26">
        <f>SUM(C25:C28)</f>
        <v>282000</v>
      </c>
      <c r="D29" s="26">
        <f>SUM(D25:D28)</f>
        <v>281000</v>
      </c>
      <c r="E29" s="26">
        <f>D29-C29</f>
        <v>-1000</v>
      </c>
      <c r="F29" s="27">
        <f>IF(C29=0,0,E29/C29)</f>
        <v>-3.5460992907801418E-3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19822000</v>
      </c>
      <c r="D31" s="22">
        <v>20351000</v>
      </c>
      <c r="E31" s="22">
        <f>D31-C31</f>
        <v>529000</v>
      </c>
      <c r="F31" s="23">
        <f>IF(C31=0,0,E31/C31)</f>
        <v>2.6687518918373523E-2</v>
      </c>
    </row>
    <row r="32" spans="1:11" ht="24" customHeight="1" x14ac:dyDescent="0.2">
      <c r="A32" s="20">
        <v>6</v>
      </c>
      <c r="B32" s="21" t="s">
        <v>34</v>
      </c>
      <c r="C32" s="22">
        <v>312210000</v>
      </c>
      <c r="D32" s="22">
        <v>342380000</v>
      </c>
      <c r="E32" s="22">
        <f>D32-C32</f>
        <v>30170000</v>
      </c>
      <c r="F32" s="23">
        <f>IF(C32=0,0,E32/C32)</f>
        <v>9.6633676051375683E-2</v>
      </c>
    </row>
    <row r="33" spans="1:8" ht="24" customHeight="1" x14ac:dyDescent="0.2">
      <c r="A33" s="20">
        <v>7</v>
      </c>
      <c r="B33" s="21" t="s">
        <v>35</v>
      </c>
      <c r="C33" s="22">
        <v>18273000</v>
      </c>
      <c r="D33" s="22">
        <v>22629000</v>
      </c>
      <c r="E33" s="22">
        <f>D33-C33</f>
        <v>4356000</v>
      </c>
      <c r="F33" s="23">
        <f>IF(C33=0,0,E33/C33)</f>
        <v>0.23838450172385486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421350000</v>
      </c>
      <c r="D36" s="22">
        <v>427386000</v>
      </c>
      <c r="E36" s="22">
        <f>D36-C36</f>
        <v>6036000</v>
      </c>
      <c r="F36" s="23">
        <f>IF(C36=0,0,E36/C36)</f>
        <v>1.4325382698469205E-2</v>
      </c>
    </row>
    <row r="37" spans="1:8" ht="24" customHeight="1" x14ac:dyDescent="0.2">
      <c r="A37" s="20">
        <v>2</v>
      </c>
      <c r="B37" s="21" t="s">
        <v>39</v>
      </c>
      <c r="C37" s="22">
        <v>218139000</v>
      </c>
      <c r="D37" s="22">
        <v>237495000</v>
      </c>
      <c r="E37" s="22">
        <f>D37-C37</f>
        <v>19356000</v>
      </c>
      <c r="F37" s="23">
        <f>IF(C37=0,0,E37/C37)</f>
        <v>8.8732413736195725E-2</v>
      </c>
    </row>
    <row r="38" spans="1:8" ht="24" customHeight="1" x14ac:dyDescent="0.25">
      <c r="A38" s="24"/>
      <c r="B38" s="25" t="s">
        <v>40</v>
      </c>
      <c r="C38" s="26">
        <f>C36-C37</f>
        <v>203211000</v>
      </c>
      <c r="D38" s="26">
        <f>D36-D37</f>
        <v>189891000</v>
      </c>
      <c r="E38" s="26">
        <f>D38-C38</f>
        <v>-13320000</v>
      </c>
      <c r="F38" s="27">
        <f>IF(C38=0,0,E38/C38)</f>
        <v>-6.5547632756100802E-2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117000</v>
      </c>
      <c r="D40" s="22">
        <v>2003000</v>
      </c>
      <c r="E40" s="22">
        <f>D40-C40</f>
        <v>1886000</v>
      </c>
      <c r="F40" s="23">
        <f>IF(C40=0,0,E40/C40)</f>
        <v>16.119658119658119</v>
      </c>
    </row>
    <row r="41" spans="1:8" ht="24" customHeight="1" x14ac:dyDescent="0.25">
      <c r="A41" s="24"/>
      <c r="B41" s="25" t="s">
        <v>42</v>
      </c>
      <c r="C41" s="26">
        <f>+C38+C40</f>
        <v>203328000</v>
      </c>
      <c r="D41" s="26">
        <f>+D38+D40</f>
        <v>191894000</v>
      </c>
      <c r="E41" s="26">
        <f>D41-C41</f>
        <v>-11434000</v>
      </c>
      <c r="F41" s="27">
        <f>IF(C41=0,0,E41/C41)</f>
        <v>-5.6234261882278883E-2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638641000</v>
      </c>
      <c r="D43" s="26">
        <f>D22+D29+D31+D32+D33+D41</f>
        <v>668337000</v>
      </c>
      <c r="E43" s="26">
        <f>D43-C43</f>
        <v>29696000</v>
      </c>
      <c r="F43" s="27">
        <f>IF(C43=0,0,E43/C43)</f>
        <v>4.6498737162192841E-2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27767000</v>
      </c>
      <c r="D49" s="22">
        <v>26609000</v>
      </c>
      <c r="E49" s="22">
        <f t="shared" ref="E49:E56" si="2">D49-C49</f>
        <v>-1158000</v>
      </c>
      <c r="F49" s="23">
        <f t="shared" ref="F49:F56" si="3">IF(C49=0,0,E49/C49)</f>
        <v>-4.1704181222314257E-2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25146000</v>
      </c>
      <c r="D50" s="22">
        <v>22510000</v>
      </c>
      <c r="E50" s="22">
        <f t="shared" si="2"/>
        <v>-2636000</v>
      </c>
      <c r="F50" s="23">
        <f t="shared" si="3"/>
        <v>-0.10482780561520719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12000000</v>
      </c>
      <c r="D51" s="22">
        <v>5681000</v>
      </c>
      <c r="E51" s="22">
        <f t="shared" si="2"/>
        <v>-6319000</v>
      </c>
      <c r="F51" s="23">
        <f t="shared" si="3"/>
        <v>-0.52658333333333329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438000</v>
      </c>
      <c r="D52" s="22">
        <v>0</v>
      </c>
      <c r="E52" s="22">
        <f t="shared" si="2"/>
        <v>-438000</v>
      </c>
      <c r="F52" s="23">
        <f t="shared" si="3"/>
        <v>-1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998000</v>
      </c>
      <c r="D53" s="22">
        <v>737000</v>
      </c>
      <c r="E53" s="22">
        <f t="shared" si="2"/>
        <v>-261000</v>
      </c>
      <c r="F53" s="23">
        <f t="shared" si="3"/>
        <v>-0.26152304609218435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0</v>
      </c>
      <c r="D55" s="22">
        <v>0</v>
      </c>
      <c r="E55" s="22">
        <f t="shared" si="2"/>
        <v>0</v>
      </c>
      <c r="F55" s="23">
        <f t="shared" si="3"/>
        <v>0</v>
      </c>
    </row>
    <row r="56" spans="1:6" ht="24" customHeight="1" x14ac:dyDescent="0.25">
      <c r="A56" s="24"/>
      <c r="B56" s="25" t="s">
        <v>54</v>
      </c>
      <c r="C56" s="26">
        <f>SUM(C49:C55)</f>
        <v>66349000</v>
      </c>
      <c r="D56" s="26">
        <f>SUM(D49:D55)</f>
        <v>55537000</v>
      </c>
      <c r="E56" s="26">
        <f t="shared" si="2"/>
        <v>-10812000</v>
      </c>
      <c r="F56" s="27">
        <f t="shared" si="3"/>
        <v>-0.16295648766371762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46911000</v>
      </c>
      <c r="D59" s="22">
        <v>57489000</v>
      </c>
      <c r="E59" s="22">
        <f>D59-C59</f>
        <v>10578000</v>
      </c>
      <c r="F59" s="23">
        <f>IF(C59=0,0,E59/C59)</f>
        <v>0.22549082304789922</v>
      </c>
    </row>
    <row r="60" spans="1:6" ht="24" customHeight="1" x14ac:dyDescent="0.2">
      <c r="A60" s="20">
        <v>2</v>
      </c>
      <c r="B60" s="21" t="s">
        <v>57</v>
      </c>
      <c r="C60" s="22">
        <v>10315000</v>
      </c>
      <c r="D60" s="22">
        <v>0</v>
      </c>
      <c r="E60" s="22">
        <f>D60-C60</f>
        <v>-10315000</v>
      </c>
      <c r="F60" s="23">
        <f>IF(C60=0,0,E60/C60)</f>
        <v>-1</v>
      </c>
    </row>
    <row r="61" spans="1:6" ht="24" customHeight="1" x14ac:dyDescent="0.25">
      <c r="A61" s="24"/>
      <c r="B61" s="25" t="s">
        <v>58</v>
      </c>
      <c r="C61" s="26">
        <f>SUM(C59:C60)</f>
        <v>57226000</v>
      </c>
      <c r="D61" s="26">
        <f>SUM(D59:D60)</f>
        <v>57489000</v>
      </c>
      <c r="E61" s="26">
        <f>D61-C61</f>
        <v>263000</v>
      </c>
      <c r="F61" s="27">
        <f>IF(C61=0,0,E61/C61)</f>
        <v>4.5958130919512112E-3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9964000</v>
      </c>
      <c r="D63" s="22">
        <v>5704000</v>
      </c>
      <c r="E63" s="22">
        <f>D63-C63</f>
        <v>-4260000</v>
      </c>
      <c r="F63" s="23">
        <f>IF(C63=0,0,E63/C63)</f>
        <v>-0.42753914090726614</v>
      </c>
    </row>
    <row r="64" spans="1:6" ht="24" customHeight="1" x14ac:dyDescent="0.2">
      <c r="A64" s="20">
        <v>4</v>
      </c>
      <c r="B64" s="21" t="s">
        <v>60</v>
      </c>
      <c r="C64" s="22">
        <v>9818000</v>
      </c>
      <c r="D64" s="22">
        <v>11187000</v>
      </c>
      <c r="E64" s="22">
        <f>D64-C64</f>
        <v>1369000</v>
      </c>
      <c r="F64" s="23">
        <f>IF(C64=0,0,E64/C64)</f>
        <v>0.13943776736606234</v>
      </c>
    </row>
    <row r="65" spans="1:6" ht="24" customHeight="1" x14ac:dyDescent="0.25">
      <c r="A65" s="24"/>
      <c r="B65" s="25" t="s">
        <v>61</v>
      </c>
      <c r="C65" s="26">
        <f>SUM(C61:C64)</f>
        <v>77008000</v>
      </c>
      <c r="D65" s="26">
        <f>SUM(D61:D64)</f>
        <v>74380000</v>
      </c>
      <c r="E65" s="26">
        <f>D65-C65</f>
        <v>-2628000</v>
      </c>
      <c r="F65" s="27">
        <f>IF(C65=0,0,E65/C65)</f>
        <v>-3.4126324537710369E-2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475180000</v>
      </c>
      <c r="D70" s="22">
        <v>517788000</v>
      </c>
      <c r="E70" s="22">
        <f>D70-C70</f>
        <v>42608000</v>
      </c>
      <c r="F70" s="23">
        <f>IF(C70=0,0,E70/C70)</f>
        <v>8.9667073530030728E-2</v>
      </c>
    </row>
    <row r="71" spans="1:6" ht="24" customHeight="1" x14ac:dyDescent="0.2">
      <c r="A71" s="20">
        <v>2</v>
      </c>
      <c r="B71" s="21" t="s">
        <v>65</v>
      </c>
      <c r="C71" s="22">
        <v>10570000</v>
      </c>
      <c r="D71" s="22">
        <v>10854000</v>
      </c>
      <c r="E71" s="22">
        <f>D71-C71</f>
        <v>284000</v>
      </c>
      <c r="F71" s="23">
        <f>IF(C71=0,0,E71/C71)</f>
        <v>2.686849574266793E-2</v>
      </c>
    </row>
    <row r="72" spans="1:6" ht="24" customHeight="1" x14ac:dyDescent="0.2">
      <c r="A72" s="20">
        <v>3</v>
      </c>
      <c r="B72" s="21" t="s">
        <v>66</v>
      </c>
      <c r="C72" s="22">
        <v>9534000</v>
      </c>
      <c r="D72" s="22">
        <v>9778000</v>
      </c>
      <c r="E72" s="22">
        <f>D72-C72</f>
        <v>244000</v>
      </c>
      <c r="F72" s="23">
        <f>IF(C72=0,0,E72/C72)</f>
        <v>2.5592615900985945E-2</v>
      </c>
    </row>
    <row r="73" spans="1:6" ht="24" customHeight="1" x14ac:dyDescent="0.25">
      <c r="A73" s="20"/>
      <c r="B73" s="25" t="s">
        <v>67</v>
      </c>
      <c r="C73" s="26">
        <f>SUM(C70:C72)</f>
        <v>495284000</v>
      </c>
      <c r="D73" s="26">
        <f>SUM(D70:D72)</f>
        <v>538420000</v>
      </c>
      <c r="E73" s="26">
        <f>D73-C73</f>
        <v>43136000</v>
      </c>
      <c r="F73" s="27">
        <f>IF(C73=0,0,E73/C73)</f>
        <v>8.7093465567230119E-2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638641000</v>
      </c>
      <c r="D75" s="26">
        <f>D56+D65+D67+D73</f>
        <v>668337000</v>
      </c>
      <c r="E75" s="26">
        <f>D75-C75</f>
        <v>29696000</v>
      </c>
      <c r="F75" s="27">
        <f>IF(C75=0,0,E75/C75)</f>
        <v>4.6498737162192841E-2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FILING&amp;RSAINT VINCENT`S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F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400348000</v>
      </c>
      <c r="D11" s="76">
        <v>442096000</v>
      </c>
      <c r="E11" s="76">
        <v>433357000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38558000</v>
      </c>
      <c r="D12" s="185">
        <v>44022000</v>
      </c>
      <c r="E12" s="185">
        <v>41260000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438906000</v>
      </c>
      <c r="D13" s="76">
        <f>+D11+D12</f>
        <v>486118000</v>
      </c>
      <c r="E13" s="76">
        <f>+E11+E12</f>
        <v>474617000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426595000</v>
      </c>
      <c r="D14" s="185">
        <v>424803000</v>
      </c>
      <c r="E14" s="185">
        <v>456701000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12311000</v>
      </c>
      <c r="D15" s="76">
        <f>+D13-D14</f>
        <v>61315000</v>
      </c>
      <c r="E15" s="76">
        <f>+E13-E14</f>
        <v>17916000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10431000</v>
      </c>
      <c r="D16" s="185">
        <v>25565000</v>
      </c>
      <c r="E16" s="185">
        <v>27179000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22742000</v>
      </c>
      <c r="D17" s="76">
        <f>D15+D16</f>
        <v>86880000</v>
      </c>
      <c r="E17" s="76">
        <f>E15+E16</f>
        <v>45095000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2.7398144377160125E-2</v>
      </c>
      <c r="D20" s="189">
        <f>IF(+D27=0,0,+D24/+D27)</f>
        <v>0.11983005102768707</v>
      </c>
      <c r="E20" s="189">
        <f>IF(+E27=0,0,+E24/+E27)</f>
        <v>3.5703752122376427E-2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2.3214202257993442E-2</v>
      </c>
      <c r="D21" s="189">
        <f>IF(+D27=0,0,+D26/+D27)</f>
        <v>4.9962574484593E-2</v>
      </c>
      <c r="E21" s="189">
        <f>IF(+E27=0,0,+E26/+E27)</f>
        <v>5.4163444905898014E-2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5.0612346635153571E-2</v>
      </c>
      <c r="D22" s="189">
        <f>IF(+D27=0,0,+D28/+D27)</f>
        <v>0.16979262551228005</v>
      </c>
      <c r="E22" s="189">
        <f>IF(+E27=0,0,+E28/+E27)</f>
        <v>8.9867197028274434E-2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12311000</v>
      </c>
      <c r="D24" s="76">
        <f>+D15</f>
        <v>61315000</v>
      </c>
      <c r="E24" s="76">
        <f>+E15</f>
        <v>17916000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438906000</v>
      </c>
      <c r="D25" s="76">
        <f>+D13</f>
        <v>486118000</v>
      </c>
      <c r="E25" s="76">
        <f>+E13</f>
        <v>474617000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10431000</v>
      </c>
      <c r="D26" s="76">
        <f>+D16</f>
        <v>25565000</v>
      </c>
      <c r="E26" s="76">
        <f>+E16</f>
        <v>27179000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449337000</v>
      </c>
      <c r="D27" s="76">
        <f>SUM(D25:D26)</f>
        <v>511683000</v>
      </c>
      <c r="E27" s="76">
        <f>SUM(E25:E26)</f>
        <v>501796000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22742000</v>
      </c>
      <c r="D28" s="76">
        <f>+D17</f>
        <v>86880000</v>
      </c>
      <c r="E28" s="76">
        <f>+E17</f>
        <v>45095000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482267000</v>
      </c>
      <c r="D31" s="76">
        <v>537187000</v>
      </c>
      <c r="E31" s="76">
        <v>569055000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506361000</v>
      </c>
      <c r="D32" s="76">
        <v>564326000</v>
      </c>
      <c r="E32" s="76">
        <v>596123000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51739000</v>
      </c>
      <c r="D33" s="76">
        <f>+D32-C32</f>
        <v>57965000</v>
      </c>
      <c r="E33" s="76">
        <f>+E32-D32</f>
        <v>31797000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1.1137999999999999</v>
      </c>
      <c r="D34" s="193">
        <f>IF(C32=0,0,+D33/C32)</f>
        <v>0.11447366602088234</v>
      </c>
      <c r="E34" s="193">
        <f>IF(D32=0,0,+E33/D32)</f>
        <v>5.6345091312468322E-2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1.1384450402144772</v>
      </c>
      <c r="D38" s="338">
        <f>IF(+D40=0,0,+D39/+D40)</f>
        <v>1.1956502619642924</v>
      </c>
      <c r="E38" s="338">
        <f>IF(+E40=0,0,+E39/+E40)</f>
        <v>1.1834019546073935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74312000</v>
      </c>
      <c r="D39" s="341">
        <v>95163000</v>
      </c>
      <c r="E39" s="341">
        <v>80766000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65275000</v>
      </c>
      <c r="D40" s="341">
        <v>79591000</v>
      </c>
      <c r="E40" s="341">
        <v>68249000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11.522868816199532</v>
      </c>
      <c r="D42" s="343">
        <f>IF((D48/365)=0,0,+D45/(D48/365))</f>
        <v>25.227580767147497</v>
      </c>
      <c r="E42" s="343">
        <f>IF((E48/365)=0,0,+E45/(E48/365))</f>
        <v>4.2422330367850067</v>
      </c>
    </row>
    <row r="43" spans="1:14" ht="24" customHeight="1" x14ac:dyDescent="0.2">
      <c r="A43" s="339">
        <v>5</v>
      </c>
      <c r="B43" s="344" t="s">
        <v>16</v>
      </c>
      <c r="C43" s="345">
        <v>8155000</v>
      </c>
      <c r="D43" s="345">
        <v>7416000</v>
      </c>
      <c r="E43" s="345">
        <v>5001000</v>
      </c>
    </row>
    <row r="44" spans="1:14" ht="24" customHeight="1" x14ac:dyDescent="0.2">
      <c r="A44" s="339">
        <v>6</v>
      </c>
      <c r="B44" s="346" t="s">
        <v>17</v>
      </c>
      <c r="C44" s="345">
        <v>4548000</v>
      </c>
      <c r="D44" s="345">
        <v>20274000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12703000</v>
      </c>
      <c r="D45" s="341">
        <f>+D43+D44</f>
        <v>27690000</v>
      </c>
      <c r="E45" s="341">
        <f>+E43+E44</f>
        <v>5001000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426595000</v>
      </c>
      <c r="D46" s="341">
        <f>+D14</f>
        <v>424803000</v>
      </c>
      <c r="E46" s="341">
        <f>+E14</f>
        <v>456701000</v>
      </c>
    </row>
    <row r="47" spans="1:14" ht="24" customHeight="1" x14ac:dyDescent="0.2">
      <c r="A47" s="339">
        <v>9</v>
      </c>
      <c r="B47" s="340" t="s">
        <v>356</v>
      </c>
      <c r="C47" s="341">
        <v>24213000</v>
      </c>
      <c r="D47" s="341">
        <v>24176000</v>
      </c>
      <c r="E47" s="341">
        <v>26417000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402382000</v>
      </c>
      <c r="D48" s="341">
        <f>+D46-D47</f>
        <v>400627000</v>
      </c>
      <c r="E48" s="341">
        <f>+E46-E47</f>
        <v>430284000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33.498843506149647</v>
      </c>
      <c r="D50" s="350">
        <f>IF((D55/365)=0,0,+D54/(D55/365))</f>
        <v>35.043949730375303</v>
      </c>
      <c r="E50" s="350">
        <f>IF((E55/365)=0,0,+E54/(E55/365))</f>
        <v>42.417983325526073</v>
      </c>
    </row>
    <row r="51" spans="1:5" ht="24" customHeight="1" x14ac:dyDescent="0.2">
      <c r="A51" s="339">
        <v>12</v>
      </c>
      <c r="B51" s="344" t="s">
        <v>359</v>
      </c>
      <c r="C51" s="351">
        <v>47626000</v>
      </c>
      <c r="D51" s="351">
        <v>54446000</v>
      </c>
      <c r="E51" s="351">
        <v>56043000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10883000</v>
      </c>
      <c r="D53" s="341">
        <v>12000000</v>
      </c>
      <c r="E53" s="341">
        <v>5681000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36743000</v>
      </c>
      <c r="D54" s="352">
        <f>+D51+D52-D53</f>
        <v>42446000</v>
      </c>
      <c r="E54" s="352">
        <f>+E51+E52-E53</f>
        <v>50362000</v>
      </c>
    </row>
    <row r="55" spans="1:5" ht="24" customHeight="1" x14ac:dyDescent="0.2">
      <c r="A55" s="339">
        <v>16</v>
      </c>
      <c r="B55" s="340" t="s">
        <v>75</v>
      </c>
      <c r="C55" s="341">
        <f>+C11</f>
        <v>400348000</v>
      </c>
      <c r="D55" s="341">
        <f>+D11</f>
        <v>442096000</v>
      </c>
      <c r="E55" s="341">
        <f>+E11</f>
        <v>433357000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59.210836965868253</v>
      </c>
      <c r="D57" s="355">
        <f>IF((D61/365)=0,0,+D58/(D61/365))</f>
        <v>72.513123179416269</v>
      </c>
      <c r="E57" s="355">
        <f>IF((E61/365)=0,0,+E58/(E61/365))</f>
        <v>57.894053694769035</v>
      </c>
    </row>
    <row r="58" spans="1:5" ht="24" customHeight="1" x14ac:dyDescent="0.2">
      <c r="A58" s="339">
        <v>18</v>
      </c>
      <c r="B58" s="340" t="s">
        <v>54</v>
      </c>
      <c r="C58" s="353">
        <f>+C40</f>
        <v>65275000</v>
      </c>
      <c r="D58" s="353">
        <f>+D40</f>
        <v>79591000</v>
      </c>
      <c r="E58" s="353">
        <f>+E40</f>
        <v>68249000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426595000</v>
      </c>
      <c r="D59" s="353">
        <f t="shared" si="0"/>
        <v>424803000</v>
      </c>
      <c r="E59" s="353">
        <f t="shared" si="0"/>
        <v>456701000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24213000</v>
      </c>
      <c r="D60" s="356">
        <f t="shared" si="0"/>
        <v>24176000</v>
      </c>
      <c r="E60" s="356">
        <f t="shared" si="0"/>
        <v>26417000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402382000</v>
      </c>
      <c r="D61" s="353">
        <f>+D59-D60</f>
        <v>400627000</v>
      </c>
      <c r="E61" s="353">
        <f>+E59-E60</f>
        <v>430284000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77.109481359204963</v>
      </c>
      <c r="D65" s="357">
        <f>IF(D67=0,0,(D66/D67)*100)</f>
        <v>77.673401354645392</v>
      </c>
      <c r="E65" s="357">
        <f>IF(E67=0,0,(E66/E67)*100)</f>
        <v>80.255337023060562</v>
      </c>
    </row>
    <row r="66" spans="1:5" ht="24" customHeight="1" x14ac:dyDescent="0.2">
      <c r="A66" s="339">
        <v>2</v>
      </c>
      <c r="B66" s="340" t="s">
        <v>67</v>
      </c>
      <c r="C66" s="353">
        <f>+C32</f>
        <v>506361000</v>
      </c>
      <c r="D66" s="353">
        <f>+D32</f>
        <v>564326000</v>
      </c>
      <c r="E66" s="353">
        <f>+E32</f>
        <v>596123000</v>
      </c>
    </row>
    <row r="67" spans="1:5" ht="24" customHeight="1" x14ac:dyDescent="0.2">
      <c r="A67" s="339">
        <v>3</v>
      </c>
      <c r="B67" s="340" t="s">
        <v>43</v>
      </c>
      <c r="C67" s="353">
        <v>656678000</v>
      </c>
      <c r="D67" s="353">
        <v>726537000</v>
      </c>
      <c r="E67" s="353">
        <v>742783000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38.195291782582522</v>
      </c>
      <c r="D69" s="357">
        <f>IF(D75=0,0,(D72/D75)*100)</f>
        <v>80.5383923650393</v>
      </c>
      <c r="E69" s="357">
        <f>IF(E75=0,0,(E72/E75)*100)</f>
        <v>56.873816984523373</v>
      </c>
    </row>
    <row r="70" spans="1:5" ht="24" customHeight="1" x14ac:dyDescent="0.2">
      <c r="A70" s="339">
        <v>5</v>
      </c>
      <c r="B70" s="340" t="s">
        <v>366</v>
      </c>
      <c r="C70" s="353">
        <f>+C28</f>
        <v>22742000</v>
      </c>
      <c r="D70" s="353">
        <f>+D28</f>
        <v>86880000</v>
      </c>
      <c r="E70" s="353">
        <f>+E28</f>
        <v>45095000</v>
      </c>
    </row>
    <row r="71" spans="1:5" ht="24" customHeight="1" x14ac:dyDescent="0.2">
      <c r="A71" s="339">
        <v>6</v>
      </c>
      <c r="B71" s="340" t="s">
        <v>356</v>
      </c>
      <c r="C71" s="356">
        <f>+C47</f>
        <v>24213000</v>
      </c>
      <c r="D71" s="356">
        <f>+D47</f>
        <v>24176000</v>
      </c>
      <c r="E71" s="356">
        <f>+E47</f>
        <v>26417000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46955000</v>
      </c>
      <c r="D72" s="353">
        <f>+D70+D71</f>
        <v>111056000</v>
      </c>
      <c r="E72" s="353">
        <f>+E70+E71</f>
        <v>71512000</v>
      </c>
    </row>
    <row r="73" spans="1:5" ht="24" customHeight="1" x14ac:dyDescent="0.2">
      <c r="A73" s="339">
        <v>8</v>
      </c>
      <c r="B73" s="340" t="s">
        <v>54</v>
      </c>
      <c r="C73" s="341">
        <f>+C40</f>
        <v>65275000</v>
      </c>
      <c r="D73" s="341">
        <f>+D40</f>
        <v>79591000</v>
      </c>
      <c r="E73" s="341">
        <f>+E40</f>
        <v>68249000</v>
      </c>
    </row>
    <row r="74" spans="1:5" ht="24" customHeight="1" x14ac:dyDescent="0.2">
      <c r="A74" s="339">
        <v>9</v>
      </c>
      <c r="B74" s="340" t="s">
        <v>58</v>
      </c>
      <c r="C74" s="353">
        <v>57659000</v>
      </c>
      <c r="D74" s="353">
        <v>58301000</v>
      </c>
      <c r="E74" s="353">
        <v>57489000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122934000</v>
      </c>
      <c r="D75" s="341">
        <f>+D73+D74</f>
        <v>137892000</v>
      </c>
      <c r="E75" s="341">
        <f>+E73+E74</f>
        <v>125738000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10.222864437431296</v>
      </c>
      <c r="D77" s="359">
        <f>IF(D80=0,0,(D78/D80)*100)</f>
        <v>9.3637121422617398</v>
      </c>
      <c r="E77" s="359">
        <f>IF(E80=0,0,(E78/E80)*100)</f>
        <v>8.7955851483754888</v>
      </c>
    </row>
    <row r="78" spans="1:5" ht="24" customHeight="1" x14ac:dyDescent="0.2">
      <c r="A78" s="339">
        <v>12</v>
      </c>
      <c r="B78" s="340" t="s">
        <v>58</v>
      </c>
      <c r="C78" s="341">
        <f>+C74</f>
        <v>57659000</v>
      </c>
      <c r="D78" s="341">
        <f>+D74</f>
        <v>58301000</v>
      </c>
      <c r="E78" s="341">
        <f>+E74</f>
        <v>57489000</v>
      </c>
    </row>
    <row r="79" spans="1:5" ht="24" customHeight="1" x14ac:dyDescent="0.2">
      <c r="A79" s="339">
        <v>13</v>
      </c>
      <c r="B79" s="340" t="s">
        <v>67</v>
      </c>
      <c r="C79" s="341">
        <f>+C32</f>
        <v>506361000</v>
      </c>
      <c r="D79" s="341">
        <f>+D32</f>
        <v>564326000</v>
      </c>
      <c r="E79" s="341">
        <f>+E32</f>
        <v>596123000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564020000</v>
      </c>
      <c r="D80" s="341">
        <f>+D78+D79</f>
        <v>622627000</v>
      </c>
      <c r="E80" s="341">
        <f>+E78+E79</f>
        <v>653612000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FILING&amp;RSAINT VINCENT`S MEDICAL CENTER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sqref="A1:F1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75987</v>
      </c>
      <c r="D11" s="376">
        <v>15357</v>
      </c>
      <c r="E11" s="376">
        <v>13349</v>
      </c>
      <c r="F11" s="377">
        <v>243</v>
      </c>
      <c r="G11" s="377">
        <v>253</v>
      </c>
      <c r="H11" s="378">
        <f>IF(F11=0,0,$C11/(F11*365))</f>
        <v>0.85672247590055806</v>
      </c>
      <c r="I11" s="378">
        <f>IF(G11=0,0,$C11/(G11*365))</f>
        <v>0.82285992744599057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6528</v>
      </c>
      <c r="D13" s="376">
        <v>348</v>
      </c>
      <c r="E13" s="376">
        <v>0</v>
      </c>
      <c r="F13" s="377">
        <v>30</v>
      </c>
      <c r="G13" s="377">
        <v>30</v>
      </c>
      <c r="H13" s="378">
        <f>IF(F13=0,0,$C13/(F13*365))</f>
        <v>0.59616438356164381</v>
      </c>
      <c r="I13" s="378">
        <f>IF(G13=0,0,$C13/(G13*365))</f>
        <v>0.59616438356164381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4802</v>
      </c>
      <c r="D15" s="376">
        <v>478</v>
      </c>
      <c r="E15" s="376">
        <v>476</v>
      </c>
      <c r="F15" s="377">
        <v>17</v>
      </c>
      <c r="G15" s="377">
        <v>17</v>
      </c>
      <c r="H15" s="378">
        <f t="shared" ref="H15:I17" si="0">IF(F15=0,0,$C15/(F15*365))</f>
        <v>0.7738920225624496</v>
      </c>
      <c r="I15" s="378">
        <f t="shared" si="0"/>
        <v>0.7738920225624496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24294</v>
      </c>
      <c r="D16" s="376">
        <v>2215</v>
      </c>
      <c r="E16" s="376">
        <v>2205</v>
      </c>
      <c r="F16" s="377">
        <v>75</v>
      </c>
      <c r="G16" s="377">
        <v>75</v>
      </c>
      <c r="H16" s="378">
        <f t="shared" si="0"/>
        <v>0.8874520547945205</v>
      </c>
      <c r="I16" s="378">
        <f t="shared" si="0"/>
        <v>0.8874520547945205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29096</v>
      </c>
      <c r="D17" s="381">
        <f>SUM(D15:D16)</f>
        <v>2693</v>
      </c>
      <c r="E17" s="381">
        <f>SUM(E15:E16)</f>
        <v>2681</v>
      </c>
      <c r="F17" s="381">
        <f>SUM(F15:F16)</f>
        <v>92</v>
      </c>
      <c r="G17" s="381">
        <f>SUM(G15:G16)</f>
        <v>92</v>
      </c>
      <c r="H17" s="382">
        <f t="shared" si="0"/>
        <v>0.86646813579511617</v>
      </c>
      <c r="I17" s="382">
        <f t="shared" si="0"/>
        <v>0.86646813579511617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2864</v>
      </c>
      <c r="D19" s="376">
        <v>211</v>
      </c>
      <c r="E19" s="376">
        <v>212</v>
      </c>
      <c r="F19" s="377">
        <v>10</v>
      </c>
      <c r="G19" s="377">
        <v>10</v>
      </c>
      <c r="H19" s="378">
        <f>IF(F19=0,0,$C19/(F19*365))</f>
        <v>0.78465753424657536</v>
      </c>
      <c r="I19" s="378">
        <f>IF(G19=0,0,$C19/(G19*365))</f>
        <v>0.78465753424657536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2747</v>
      </c>
      <c r="D21" s="376">
        <v>1040</v>
      </c>
      <c r="E21" s="376">
        <v>970</v>
      </c>
      <c r="F21" s="377">
        <v>22</v>
      </c>
      <c r="G21" s="377">
        <v>26</v>
      </c>
      <c r="H21" s="378">
        <f>IF(F21=0,0,$C21/(F21*365))</f>
        <v>0.34209215442092156</v>
      </c>
      <c r="I21" s="378">
        <f>IF(G21=0,0,$C21/(G21*365))</f>
        <v>0.28946259220231824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3352</v>
      </c>
      <c r="D23" s="376">
        <v>1023</v>
      </c>
      <c r="E23" s="376">
        <v>1024</v>
      </c>
      <c r="F23" s="377">
        <v>27</v>
      </c>
      <c r="G23" s="377">
        <v>35</v>
      </c>
      <c r="H23" s="378">
        <f>IF(F23=0,0,$C23/(F23*365))</f>
        <v>0.34013191273465249</v>
      </c>
      <c r="I23" s="378">
        <f>IF(G23=0,0,$C23/(G23*365))</f>
        <v>0.2623874755381605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117222</v>
      </c>
      <c r="D31" s="384">
        <f>SUM(D10:D29)-D13-D17-D23</f>
        <v>19301</v>
      </c>
      <c r="E31" s="384">
        <f>SUM(E10:E29)-E17-E23</f>
        <v>17212</v>
      </c>
      <c r="F31" s="384">
        <f>SUM(F10:F29)-F17-F23</f>
        <v>397</v>
      </c>
      <c r="G31" s="384">
        <f>SUM(G10:G29)-G17-G23</f>
        <v>411</v>
      </c>
      <c r="H31" s="385">
        <f>IF(F31=0,0,$C31/(F31*365))</f>
        <v>0.8089575929056968</v>
      </c>
      <c r="I31" s="385">
        <f>IF(G31=0,0,$C31/(G31*365))</f>
        <v>0.78140185981401855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120574</v>
      </c>
      <c r="D33" s="384">
        <f>SUM(D10:D29)-D13-D17</f>
        <v>20324</v>
      </c>
      <c r="E33" s="384">
        <f>SUM(E10:E29)-E17</f>
        <v>18236</v>
      </c>
      <c r="F33" s="384">
        <f>SUM(F10:F29)-F17</f>
        <v>424</v>
      </c>
      <c r="G33" s="384">
        <f>SUM(G10:G29)-G17</f>
        <v>446</v>
      </c>
      <c r="H33" s="385">
        <f>IF(F33=0,0,$C33/(F33*365))</f>
        <v>0.77910312742310672</v>
      </c>
      <c r="I33" s="385">
        <f>IF(G33=0,0,$C33/(G33*365))</f>
        <v>0.74067203145156335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120574</v>
      </c>
      <c r="D36" s="384">
        <f t="shared" si="1"/>
        <v>20324</v>
      </c>
      <c r="E36" s="384">
        <f t="shared" si="1"/>
        <v>18236</v>
      </c>
      <c r="F36" s="384">
        <f t="shared" si="1"/>
        <v>424</v>
      </c>
      <c r="G36" s="384">
        <f t="shared" si="1"/>
        <v>446</v>
      </c>
      <c r="H36" s="387">
        <f t="shared" si="1"/>
        <v>0.77910312742310672</v>
      </c>
      <c r="I36" s="387">
        <f t="shared" si="1"/>
        <v>0.74067203145156335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122878</v>
      </c>
      <c r="D37" s="384">
        <v>21912</v>
      </c>
      <c r="E37" s="384">
        <v>20173</v>
      </c>
      <c r="F37" s="386">
        <v>456</v>
      </c>
      <c r="G37" s="386">
        <v>456</v>
      </c>
      <c r="H37" s="385">
        <f>IF(F37=0,0,$C37/(F37*365))</f>
        <v>0.73827204998798368</v>
      </c>
      <c r="I37" s="385">
        <f>IF(G37=0,0,$C37/(G37*365))</f>
        <v>0.73827204998798368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-2304</v>
      </c>
      <c r="D38" s="384">
        <f t="shared" si="2"/>
        <v>-1588</v>
      </c>
      <c r="E38" s="384">
        <f t="shared" si="2"/>
        <v>-1937</v>
      </c>
      <c r="F38" s="384">
        <f t="shared" si="2"/>
        <v>-32</v>
      </c>
      <c r="G38" s="384">
        <f t="shared" si="2"/>
        <v>-10</v>
      </c>
      <c r="H38" s="387">
        <f t="shared" si="2"/>
        <v>4.0831077435123042E-2</v>
      </c>
      <c r="I38" s="387">
        <f t="shared" si="2"/>
        <v>2.3999814635796701E-3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-1.8750305180748383E-2</v>
      </c>
      <c r="D40" s="389">
        <f t="shared" si="3"/>
        <v>-7.2471705001825482E-2</v>
      </c>
      <c r="E40" s="389">
        <f t="shared" si="3"/>
        <v>-9.6019431913944381E-2</v>
      </c>
      <c r="F40" s="389">
        <f t="shared" si="3"/>
        <v>-7.0175438596491224E-2</v>
      </c>
      <c r="G40" s="389">
        <f t="shared" si="3"/>
        <v>-2.1929824561403508E-2</v>
      </c>
      <c r="H40" s="389">
        <f t="shared" si="3"/>
        <v>5.5306275560327148E-2</v>
      </c>
      <c r="I40" s="389">
        <f t="shared" si="3"/>
        <v>3.2508090528670739E-3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520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FILING&amp;RSAINT VINCENT`S MEDICAL CENTER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14465</v>
      </c>
      <c r="D12" s="409">
        <v>13667</v>
      </c>
      <c r="E12" s="409">
        <f>+D12-C12</f>
        <v>-798</v>
      </c>
      <c r="F12" s="410">
        <f>IF(C12=0,0,+E12/C12)</f>
        <v>-5.5167646042170754E-2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4316</v>
      </c>
      <c r="D13" s="409">
        <v>5854</v>
      </c>
      <c r="E13" s="409">
        <f>+D13-C13</f>
        <v>1538</v>
      </c>
      <c r="F13" s="410">
        <f>IF(C13=0,0,+E13/C13)</f>
        <v>0.35634847080630211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14197</v>
      </c>
      <c r="D14" s="409">
        <v>14174</v>
      </c>
      <c r="E14" s="409">
        <f>+D14-C14</f>
        <v>-23</v>
      </c>
      <c r="F14" s="410">
        <f>IF(C14=0,0,+E14/C14)</f>
        <v>-1.6200605761780658E-3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32978</v>
      </c>
      <c r="D16" s="401">
        <f>SUM(D12:D15)</f>
        <v>33695</v>
      </c>
      <c r="E16" s="401">
        <f>+D16-C16</f>
        <v>717</v>
      </c>
      <c r="F16" s="402">
        <f>IF(C16=0,0,+E16/C16)</f>
        <v>2.1741767238765239E-2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1880</v>
      </c>
      <c r="D19" s="409">
        <v>1754</v>
      </c>
      <c r="E19" s="409">
        <f>+D19-C19</f>
        <v>-126</v>
      </c>
      <c r="F19" s="410">
        <f>IF(C19=0,0,+E19/C19)</f>
        <v>-6.702127659574468E-2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2022</v>
      </c>
      <c r="D20" s="409">
        <v>2064</v>
      </c>
      <c r="E20" s="409">
        <f>+D20-C20</f>
        <v>42</v>
      </c>
      <c r="F20" s="410">
        <f>IF(C20=0,0,+E20/C20)</f>
        <v>2.0771513353115726E-2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235</v>
      </c>
      <c r="D21" s="409">
        <v>279</v>
      </c>
      <c r="E21" s="409">
        <f>+D21-C21</f>
        <v>44</v>
      </c>
      <c r="F21" s="410">
        <f>IF(C21=0,0,+E21/C21)</f>
        <v>0.18723404255319148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4137</v>
      </c>
      <c r="D23" s="401">
        <f>SUM(D19:D22)</f>
        <v>4097</v>
      </c>
      <c r="E23" s="401">
        <f>+D23-C23</f>
        <v>-40</v>
      </c>
      <c r="F23" s="402">
        <f>IF(C23=0,0,+E23/C23)</f>
        <v>-9.6688421561518002E-3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76</v>
      </c>
      <c r="D33" s="409">
        <v>46</v>
      </c>
      <c r="E33" s="409">
        <f>+D33-C33</f>
        <v>-30</v>
      </c>
      <c r="F33" s="410">
        <f>IF(C33=0,0,+E33/C33)</f>
        <v>-0.39473684210526316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562</v>
      </c>
      <c r="D34" s="409">
        <v>569</v>
      </c>
      <c r="E34" s="409">
        <f>+D34-C34</f>
        <v>7</v>
      </c>
      <c r="F34" s="410">
        <f>IF(C34=0,0,+E34/C34)</f>
        <v>1.2455516014234875E-2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2</v>
      </c>
      <c r="D35" s="409">
        <v>1</v>
      </c>
      <c r="E35" s="409">
        <f>+D35-C35</f>
        <v>-1</v>
      </c>
      <c r="F35" s="410">
        <f>IF(C35=0,0,+E35/C35)</f>
        <v>-0.5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640</v>
      </c>
      <c r="D37" s="401">
        <f>SUM(D33:D36)</f>
        <v>616</v>
      </c>
      <c r="E37" s="401">
        <f>+D37-C37</f>
        <v>-24</v>
      </c>
      <c r="F37" s="402">
        <f>IF(C37=0,0,+E37/C37)</f>
        <v>-3.7499999999999999E-2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1241</v>
      </c>
      <c r="D43" s="409">
        <v>1034</v>
      </c>
      <c r="E43" s="409">
        <f>+D43-C43</f>
        <v>-207</v>
      </c>
      <c r="F43" s="410">
        <f>IF(C43=0,0,+E43/C43)</f>
        <v>-0.16680096696212732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18552</v>
      </c>
      <c r="D44" s="409">
        <v>17479</v>
      </c>
      <c r="E44" s="409">
        <f>+D44-C44</f>
        <v>-1073</v>
      </c>
      <c r="F44" s="410">
        <f>IF(C44=0,0,+E44/C44)</f>
        <v>-5.7837429926692538E-2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19793</v>
      </c>
      <c r="D45" s="401">
        <f>SUM(D43:D44)</f>
        <v>18513</v>
      </c>
      <c r="E45" s="401">
        <f>+D45-C45</f>
        <v>-1280</v>
      </c>
      <c r="F45" s="402">
        <f>IF(C45=0,0,+E45/C45)</f>
        <v>-6.4669327540039415E-2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997</v>
      </c>
      <c r="D48" s="409">
        <v>902</v>
      </c>
      <c r="E48" s="409">
        <f>+D48-C48</f>
        <v>-95</v>
      </c>
      <c r="F48" s="410">
        <f>IF(C48=0,0,+E48/C48)</f>
        <v>-9.5285857572718152E-2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933</v>
      </c>
      <c r="D49" s="409">
        <v>760</v>
      </c>
      <c r="E49" s="409">
        <f>+D49-C49</f>
        <v>-173</v>
      </c>
      <c r="F49" s="410">
        <f>IF(C49=0,0,+E49/C49)</f>
        <v>-0.18542336548767416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1930</v>
      </c>
      <c r="D50" s="401">
        <f>SUM(D48:D49)</f>
        <v>1662</v>
      </c>
      <c r="E50" s="401">
        <f>+D50-C50</f>
        <v>-268</v>
      </c>
      <c r="F50" s="402">
        <f>IF(C50=0,0,+E50/C50)</f>
        <v>-0.13886010362694301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271</v>
      </c>
      <c r="D53" s="409">
        <v>307</v>
      </c>
      <c r="E53" s="409">
        <f>+D53-C53</f>
        <v>36</v>
      </c>
      <c r="F53" s="410">
        <f>IF(C53=0,0,+E53/C53)</f>
        <v>0.13284132841328414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645</v>
      </c>
      <c r="D54" s="409">
        <v>511</v>
      </c>
      <c r="E54" s="409">
        <f>+D54-C54</f>
        <v>-134</v>
      </c>
      <c r="F54" s="410">
        <f>IF(C54=0,0,+E54/C54)</f>
        <v>-0.20775193798449612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916</v>
      </c>
      <c r="D55" s="401">
        <f>SUM(D53:D54)</f>
        <v>818</v>
      </c>
      <c r="E55" s="401">
        <f>+D55-C55</f>
        <v>-98</v>
      </c>
      <c r="F55" s="402">
        <f>IF(C55=0,0,+E55/C55)</f>
        <v>-0.10698689956331878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532</v>
      </c>
      <c r="D58" s="409">
        <v>589</v>
      </c>
      <c r="E58" s="409">
        <f>+D58-C58</f>
        <v>57</v>
      </c>
      <c r="F58" s="410">
        <f>IF(C58=0,0,+E58/C58)</f>
        <v>0.10714285714285714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477</v>
      </c>
      <c r="D59" s="409">
        <v>438</v>
      </c>
      <c r="E59" s="409">
        <f>+D59-C59</f>
        <v>-39</v>
      </c>
      <c r="F59" s="410">
        <f>IF(C59=0,0,+E59/C59)</f>
        <v>-8.1761006289308172E-2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1009</v>
      </c>
      <c r="D60" s="401">
        <f>SUM(D58:D59)</f>
        <v>1027</v>
      </c>
      <c r="E60" s="401">
        <f>SUM(E58:E59)</f>
        <v>18</v>
      </c>
      <c r="F60" s="402">
        <f>IF(C60=0,0,+E60/C60)</f>
        <v>1.7839444995044598E-2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4990</v>
      </c>
      <c r="D63" s="409">
        <v>4424</v>
      </c>
      <c r="E63" s="409">
        <f>+D63-C63</f>
        <v>-566</v>
      </c>
      <c r="F63" s="410">
        <f>IF(C63=0,0,+E63/C63)</f>
        <v>-0.11342685370741483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6542</v>
      </c>
      <c r="D64" s="409">
        <v>5983</v>
      </c>
      <c r="E64" s="409">
        <f>+D64-C64</f>
        <v>-559</v>
      </c>
      <c r="F64" s="410">
        <f>IF(C64=0,0,+E64/C64)</f>
        <v>-8.5447875267502291E-2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11532</v>
      </c>
      <c r="D65" s="401">
        <f>SUM(D63:D64)</f>
        <v>10407</v>
      </c>
      <c r="E65" s="401">
        <f>+D65-C65</f>
        <v>-1125</v>
      </c>
      <c r="F65" s="402">
        <f>IF(C65=0,0,+E65/C65)</f>
        <v>-9.7554630593132158E-2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1882</v>
      </c>
      <c r="D68" s="409">
        <v>1691</v>
      </c>
      <c r="E68" s="409">
        <f>+D68-C68</f>
        <v>-191</v>
      </c>
      <c r="F68" s="410">
        <f>IF(C68=0,0,+E68/C68)</f>
        <v>-0.10148777895855472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4592</v>
      </c>
      <c r="D69" s="409">
        <v>4856</v>
      </c>
      <c r="E69" s="409">
        <f>+D69-C69</f>
        <v>264</v>
      </c>
      <c r="F69" s="412">
        <f>IF(C69=0,0,+E69/C69)</f>
        <v>5.7491289198606271E-2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6474</v>
      </c>
      <c r="D70" s="401">
        <f>SUM(D68:D69)</f>
        <v>6547</v>
      </c>
      <c r="E70" s="401">
        <f>+D70-C70</f>
        <v>73</v>
      </c>
      <c r="F70" s="402">
        <f>IF(C70=0,0,+E70/C70)</f>
        <v>1.1275872721655854E-2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15374</v>
      </c>
      <c r="D73" s="376">
        <v>14293</v>
      </c>
      <c r="E73" s="409">
        <f>+D73-C73</f>
        <v>-1081</v>
      </c>
      <c r="F73" s="410">
        <f>IF(C73=0,0,+E73/C73)</f>
        <v>-7.0313516326265119E-2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64398</v>
      </c>
      <c r="D74" s="376">
        <v>64264</v>
      </c>
      <c r="E74" s="409">
        <f>+D74-C74</f>
        <v>-134</v>
      </c>
      <c r="F74" s="410">
        <f>IF(C74=0,0,+E74/C74)</f>
        <v>-2.0808099630423306E-3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79772</v>
      </c>
      <c r="D75" s="401">
        <f>SUM(D73:D74)</f>
        <v>78557</v>
      </c>
      <c r="E75" s="401">
        <f>SUM(E73:E74)</f>
        <v>-1215</v>
      </c>
      <c r="F75" s="402">
        <f>IF(C75=0,0,+E75/C75)</f>
        <v>-1.5230908088050945E-2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19168</v>
      </c>
      <c r="D81" s="376">
        <v>20634</v>
      </c>
      <c r="E81" s="409">
        <f t="shared" si="0"/>
        <v>1466</v>
      </c>
      <c r="F81" s="410">
        <f t="shared" si="1"/>
        <v>7.6481636060100167E-2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60841</v>
      </c>
      <c r="D82" s="376">
        <v>0</v>
      </c>
      <c r="E82" s="409">
        <f t="shared" si="0"/>
        <v>-60841</v>
      </c>
      <c r="F82" s="410">
        <f t="shared" si="1"/>
        <v>-1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62109</v>
      </c>
      <c r="E84" s="409">
        <f t="shared" si="0"/>
        <v>62109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19929</v>
      </c>
      <c r="D87" s="376">
        <v>0</v>
      </c>
      <c r="E87" s="409">
        <f t="shared" si="0"/>
        <v>-19929</v>
      </c>
      <c r="F87" s="410">
        <f t="shared" si="1"/>
        <v>-1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19377</v>
      </c>
      <c r="E91" s="409">
        <f t="shared" si="0"/>
        <v>19377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99938</v>
      </c>
      <c r="D92" s="381">
        <f>SUM(D79:D91)</f>
        <v>102120</v>
      </c>
      <c r="E92" s="401">
        <f t="shared" si="0"/>
        <v>2182</v>
      </c>
      <c r="F92" s="402">
        <f t="shared" si="1"/>
        <v>2.1833536792811543E-2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10502</v>
      </c>
      <c r="D95" s="414">
        <v>11997</v>
      </c>
      <c r="E95" s="415">
        <f t="shared" ref="E95:E100" si="2">+D95-C95</f>
        <v>1495</v>
      </c>
      <c r="F95" s="412">
        <f t="shared" ref="F95:F100" si="3">IF(C95=0,0,+E95/C95)</f>
        <v>0.14235383736431156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6001</v>
      </c>
      <c r="D96" s="414">
        <v>5738</v>
      </c>
      <c r="E96" s="409">
        <f t="shared" si="2"/>
        <v>-263</v>
      </c>
      <c r="F96" s="410">
        <f t="shared" si="3"/>
        <v>-4.3826028995167472E-2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1560</v>
      </c>
      <c r="D97" s="414">
        <v>1759</v>
      </c>
      <c r="E97" s="409">
        <f t="shared" si="2"/>
        <v>199</v>
      </c>
      <c r="F97" s="410">
        <f t="shared" si="3"/>
        <v>0.12756410256410255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3253</v>
      </c>
      <c r="D98" s="414">
        <v>3387</v>
      </c>
      <c r="E98" s="409">
        <f t="shared" si="2"/>
        <v>134</v>
      </c>
      <c r="F98" s="410">
        <f t="shared" si="3"/>
        <v>4.1192745158315398E-2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86255</v>
      </c>
      <c r="D99" s="414">
        <v>89152</v>
      </c>
      <c r="E99" s="409">
        <f t="shared" si="2"/>
        <v>2897</v>
      </c>
      <c r="F99" s="410">
        <f t="shared" si="3"/>
        <v>3.3586458756014147E-2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107571</v>
      </c>
      <c r="D100" s="381">
        <f>SUM(D95:D99)</f>
        <v>112033</v>
      </c>
      <c r="E100" s="401">
        <f t="shared" si="2"/>
        <v>4462</v>
      </c>
      <c r="F100" s="402">
        <f t="shared" si="3"/>
        <v>4.1479580927945264E-2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790.3</v>
      </c>
      <c r="D104" s="416">
        <v>853</v>
      </c>
      <c r="E104" s="417">
        <f>+D104-C104</f>
        <v>62.700000000000045</v>
      </c>
      <c r="F104" s="410">
        <f>IF(C104=0,0,+E104/C104)</f>
        <v>7.9336960647855309E-2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74.5</v>
      </c>
      <c r="D105" s="416">
        <v>69.900000000000006</v>
      </c>
      <c r="E105" s="417">
        <f>+D105-C105</f>
        <v>-4.5999999999999943</v>
      </c>
      <c r="F105" s="410">
        <f>IF(C105=0,0,+E105/C105)</f>
        <v>-6.1744966442952944E-2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1213.4000000000001</v>
      </c>
      <c r="D106" s="416">
        <v>1340.3</v>
      </c>
      <c r="E106" s="417">
        <f>+D106-C106</f>
        <v>126.89999999999986</v>
      </c>
      <c r="F106" s="410">
        <f>IF(C106=0,0,+E106/C106)</f>
        <v>0.10458216581506499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2078.1999999999998</v>
      </c>
      <c r="D107" s="418">
        <f>SUM(D104:D106)</f>
        <v>2263.1999999999998</v>
      </c>
      <c r="E107" s="418">
        <f>+D107-C107</f>
        <v>185</v>
      </c>
      <c r="F107" s="402">
        <f>IF(C107=0,0,+E107/C107)</f>
        <v>8.9019343662785105E-2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FILING&amp;RSAINT VINCENT`S MEDICAL CENTER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6542</v>
      </c>
      <c r="D12" s="409">
        <v>5983</v>
      </c>
      <c r="E12" s="409">
        <f>+D12-C12</f>
        <v>-559</v>
      </c>
      <c r="F12" s="410">
        <f>IF(C12=0,0,+E12/C12)</f>
        <v>-8.5447875267502291E-2</v>
      </c>
    </row>
    <row r="13" spans="1:6" ht="15.75" customHeight="1" x14ac:dyDescent="0.25">
      <c r="A13" s="374"/>
      <c r="B13" s="399" t="s">
        <v>622</v>
      </c>
      <c r="C13" s="401">
        <f>SUM(C11:C12)</f>
        <v>6542</v>
      </c>
      <c r="D13" s="401">
        <f>SUM(D11:D12)</f>
        <v>5983</v>
      </c>
      <c r="E13" s="401">
        <f>+D13-C13</f>
        <v>-559</v>
      </c>
      <c r="F13" s="402">
        <f>IF(C13=0,0,+E13/C13)</f>
        <v>-8.5447875267502291E-2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4592</v>
      </c>
      <c r="D16" s="409">
        <v>4856</v>
      </c>
      <c r="E16" s="409">
        <f>+D16-C16</f>
        <v>264</v>
      </c>
      <c r="F16" s="410">
        <f>IF(C16=0,0,+E16/C16)</f>
        <v>5.7491289198606271E-2</v>
      </c>
    </row>
    <row r="17" spans="1:6" ht="15.75" customHeight="1" x14ac:dyDescent="0.25">
      <c r="A17" s="374"/>
      <c r="B17" s="399" t="s">
        <v>623</v>
      </c>
      <c r="C17" s="401">
        <f>SUM(C15:C16)</f>
        <v>4592</v>
      </c>
      <c r="D17" s="401">
        <f>SUM(D15:D16)</f>
        <v>4856</v>
      </c>
      <c r="E17" s="401">
        <f>+D17-C17</f>
        <v>264</v>
      </c>
      <c r="F17" s="402">
        <f>IF(C17=0,0,+E17/C17)</f>
        <v>5.7491289198606271E-2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64398</v>
      </c>
      <c r="D20" s="409">
        <v>64264</v>
      </c>
      <c r="E20" s="409">
        <f>+D20-C20</f>
        <v>-134</v>
      </c>
      <c r="F20" s="410">
        <f>IF(C20=0,0,+E20/C20)</f>
        <v>-2.0808099630423306E-3</v>
      </c>
    </row>
    <row r="21" spans="1:6" ht="15.75" customHeight="1" x14ac:dyDescent="0.25">
      <c r="A21" s="374"/>
      <c r="B21" s="399" t="s">
        <v>625</v>
      </c>
      <c r="C21" s="401">
        <f>SUM(C19:C20)</f>
        <v>64398</v>
      </c>
      <c r="D21" s="401">
        <f>SUM(D19:D20)</f>
        <v>64264</v>
      </c>
      <c r="E21" s="401">
        <f>+D21-C21</f>
        <v>-134</v>
      </c>
      <c r="F21" s="402">
        <f>IF(C21=0,0,+E21/C21)</f>
        <v>-2.0808099630423306E-3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626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627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628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FILING&amp;RSAINT VINCENT`S MEDICAL CENTER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403033442</v>
      </c>
      <c r="D15" s="448">
        <v>438086271</v>
      </c>
      <c r="E15" s="448">
        <f t="shared" ref="E15:E24" si="0">D15-C15</f>
        <v>35052829</v>
      </c>
      <c r="F15" s="449">
        <f t="shared" ref="F15:F24" si="1">IF(C15=0,0,E15/C15)</f>
        <v>8.6972507358334797E-2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129068775</v>
      </c>
      <c r="D16" s="448">
        <v>126929300</v>
      </c>
      <c r="E16" s="448">
        <f t="shared" si="0"/>
        <v>-2139475</v>
      </c>
      <c r="F16" s="449">
        <f t="shared" si="1"/>
        <v>-1.6576240070458558E-2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0.32024333851680725</v>
      </c>
      <c r="D17" s="453">
        <f>IF(LN_IA1=0,0,LN_IA2/LN_IA1)</f>
        <v>0.28973585433358628</v>
      </c>
      <c r="E17" s="454">
        <f t="shared" si="0"/>
        <v>-3.0507484183220968E-2</v>
      </c>
      <c r="F17" s="449">
        <f t="shared" si="1"/>
        <v>-9.5263446616922681E-2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10153</v>
      </c>
      <c r="D18" s="456">
        <v>9550</v>
      </c>
      <c r="E18" s="456">
        <f t="shared" si="0"/>
        <v>-603</v>
      </c>
      <c r="F18" s="449">
        <f t="shared" si="1"/>
        <v>-5.9391312912439674E-2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1.4584999999999999</v>
      </c>
      <c r="D19" s="459">
        <v>1.5337000000000001</v>
      </c>
      <c r="E19" s="460">
        <f t="shared" si="0"/>
        <v>7.5200000000000156E-2</v>
      </c>
      <c r="F19" s="449">
        <f t="shared" si="1"/>
        <v>5.1559821734659006E-2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14808.1505</v>
      </c>
      <c r="D20" s="463">
        <f>LN_IA4*LN_IA5</f>
        <v>14646.835000000001</v>
      </c>
      <c r="E20" s="463">
        <f t="shared" si="0"/>
        <v>-161.31549999999879</v>
      </c>
      <c r="F20" s="449">
        <f t="shared" si="1"/>
        <v>-1.089369668413343E-2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8716.0631572457351</v>
      </c>
      <c r="D21" s="465">
        <f>IF(LN_IA6=0,0,LN_IA2/LN_IA6)</f>
        <v>8665.9882493385085</v>
      </c>
      <c r="E21" s="465">
        <f t="shared" si="0"/>
        <v>-50.074907907226589</v>
      </c>
      <c r="F21" s="449">
        <f t="shared" si="1"/>
        <v>-5.7451290799331702E-3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63580</v>
      </c>
      <c r="D22" s="456">
        <v>64221</v>
      </c>
      <c r="E22" s="456">
        <f t="shared" si="0"/>
        <v>641</v>
      </c>
      <c r="F22" s="449">
        <f t="shared" si="1"/>
        <v>1.0081786725385341E-2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2030.0216262975778</v>
      </c>
      <c r="D23" s="465">
        <f>IF(LN_IA8=0,0,LN_IA2/LN_IA8)</f>
        <v>1976.445399479921</v>
      </c>
      <c r="E23" s="465">
        <f t="shared" si="0"/>
        <v>-53.576226817656789</v>
      </c>
      <c r="F23" s="449">
        <f t="shared" si="1"/>
        <v>-2.6391948796807119E-2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6.2621885157096422</v>
      </c>
      <c r="D24" s="466">
        <f>IF(LN_IA4=0,0,LN_IA8/LN_IA4)</f>
        <v>6.7247120418848167</v>
      </c>
      <c r="E24" s="466">
        <f t="shared" si="0"/>
        <v>0.46252352617517456</v>
      </c>
      <c r="F24" s="449">
        <f t="shared" si="1"/>
        <v>7.3859725719668881E-2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120549282</v>
      </c>
      <c r="D27" s="448">
        <v>136933475</v>
      </c>
      <c r="E27" s="448">
        <f t="shared" ref="E27:E32" si="2">D27-C27</f>
        <v>16384193</v>
      </c>
      <c r="F27" s="449">
        <f t="shared" ref="F27:F32" si="3">IF(C27=0,0,E27/C27)</f>
        <v>0.13591282111493622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33001817</v>
      </c>
      <c r="D28" s="448">
        <v>33752723</v>
      </c>
      <c r="E28" s="448">
        <f t="shared" si="2"/>
        <v>750906</v>
      </c>
      <c r="F28" s="449">
        <f t="shared" si="3"/>
        <v>2.2753474452633926E-2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0.27376203700657464</v>
      </c>
      <c r="D29" s="453">
        <f>IF(LN_IA11=0,0,LN_IA12/LN_IA11)</f>
        <v>0.24648993242886738</v>
      </c>
      <c r="E29" s="454">
        <f t="shared" si="2"/>
        <v>-2.7272104577707262E-2</v>
      </c>
      <c r="F29" s="449">
        <f t="shared" si="3"/>
        <v>-9.9619745951306973E-2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0.2991049114976419</v>
      </c>
      <c r="D30" s="453">
        <f>IF(LN_IA1=0,0,LN_IA11/LN_IA1)</f>
        <v>0.31257193859882454</v>
      </c>
      <c r="E30" s="454">
        <f t="shared" si="2"/>
        <v>1.3467027101182638E-2</v>
      </c>
      <c r="F30" s="449">
        <f t="shared" si="3"/>
        <v>4.502442649220359E-2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3036.8121664355581</v>
      </c>
      <c r="D31" s="463">
        <f>LN_IA14*LN_IA4</f>
        <v>2985.0620136187745</v>
      </c>
      <c r="E31" s="463">
        <f t="shared" si="2"/>
        <v>-51.750152816783611</v>
      </c>
      <c r="F31" s="449">
        <f t="shared" si="3"/>
        <v>-1.70409462227376E-2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10867.256580684641</v>
      </c>
      <c r="D32" s="465">
        <f>IF(LN_IA15=0,0,LN_IA12/LN_IA15)</f>
        <v>11307.209982911463</v>
      </c>
      <c r="E32" s="465">
        <f t="shared" si="2"/>
        <v>439.95340222682171</v>
      </c>
      <c r="F32" s="449">
        <f t="shared" si="3"/>
        <v>4.048431165311682E-2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523582724</v>
      </c>
      <c r="D35" s="448">
        <f>LN_IA1+LN_IA11</f>
        <v>575019746</v>
      </c>
      <c r="E35" s="448">
        <f>D35-C35</f>
        <v>51437022</v>
      </c>
      <c r="F35" s="449">
        <f>IF(C35=0,0,E35/C35)</f>
        <v>9.8240487400038809E-2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162070592</v>
      </c>
      <c r="D36" s="448">
        <f>LN_IA2+LN_IA12</f>
        <v>160682023</v>
      </c>
      <c r="E36" s="448">
        <f>D36-C36</f>
        <v>-1388569</v>
      </c>
      <c r="F36" s="449">
        <f>IF(C36=0,0,E36/C36)</f>
        <v>-8.5676801871619E-3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361512132</v>
      </c>
      <c r="D37" s="448">
        <f>LN_IA17-LN_IA18</f>
        <v>414337723</v>
      </c>
      <c r="E37" s="448">
        <f>D37-C37</f>
        <v>52825591</v>
      </c>
      <c r="F37" s="449">
        <f>IF(C37=0,0,E37/C37)</f>
        <v>0.14612397848933048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194188726</v>
      </c>
      <c r="D42" s="448">
        <v>181894656</v>
      </c>
      <c r="E42" s="448">
        <f t="shared" ref="E42:E53" si="4">D42-C42</f>
        <v>-12294070</v>
      </c>
      <c r="F42" s="449">
        <f t="shared" ref="F42:F53" si="5">IF(C42=0,0,E42/C42)</f>
        <v>-6.3309906054999296E-2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96252887</v>
      </c>
      <c r="D43" s="448">
        <v>95113264</v>
      </c>
      <c r="E43" s="448">
        <f t="shared" si="4"/>
        <v>-1139623</v>
      </c>
      <c r="F43" s="449">
        <f t="shared" si="5"/>
        <v>-1.183988382603007E-2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0.49566671033209209</v>
      </c>
      <c r="D44" s="453">
        <f>IF(LN_IB1=0,0,LN_IB2/LN_IB1)</f>
        <v>0.52290301480874735</v>
      </c>
      <c r="E44" s="454">
        <f t="shared" si="4"/>
        <v>2.723630447665526E-2</v>
      </c>
      <c r="F44" s="449">
        <f t="shared" si="5"/>
        <v>5.4948827324730339E-2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6919</v>
      </c>
      <c r="D45" s="456">
        <v>6023</v>
      </c>
      <c r="E45" s="456">
        <f t="shared" si="4"/>
        <v>-896</v>
      </c>
      <c r="F45" s="449">
        <f t="shared" si="5"/>
        <v>-0.12949848243965892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1.2403</v>
      </c>
      <c r="D46" s="459">
        <v>1.2766</v>
      </c>
      <c r="E46" s="460">
        <f t="shared" si="4"/>
        <v>3.6299999999999999E-2</v>
      </c>
      <c r="F46" s="449">
        <f t="shared" si="5"/>
        <v>2.9267112795291463E-2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8581.6356999999989</v>
      </c>
      <c r="D47" s="463">
        <f>LN_IB4*LN_IB5</f>
        <v>7688.9618</v>
      </c>
      <c r="E47" s="463">
        <f t="shared" si="4"/>
        <v>-892.67389999999887</v>
      </c>
      <c r="F47" s="449">
        <f t="shared" si="5"/>
        <v>-0.1040214163367479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11216.146940378745</v>
      </c>
      <c r="D48" s="465">
        <f>IF(LN_IB6=0,0,LN_IB2/LN_IB6)</f>
        <v>12370.104895045779</v>
      </c>
      <c r="E48" s="465">
        <f t="shared" si="4"/>
        <v>1153.9579546670338</v>
      </c>
      <c r="F48" s="449">
        <f t="shared" si="5"/>
        <v>0.10288363381837677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-2500.08378313301</v>
      </c>
      <c r="D49" s="465">
        <f>LN_IA7-LN_IB7</f>
        <v>-3704.1166457072704</v>
      </c>
      <c r="E49" s="465">
        <f t="shared" si="4"/>
        <v>-1204.0328625742604</v>
      </c>
      <c r="F49" s="449">
        <f t="shared" si="5"/>
        <v>0.48159700514732839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-21454808.246325295</v>
      </c>
      <c r="D50" s="479">
        <f>LN_IB8*LN_IB6</f>
        <v>-28480811.391587336</v>
      </c>
      <c r="E50" s="479">
        <f t="shared" si="4"/>
        <v>-7026003.1452620402</v>
      </c>
      <c r="F50" s="449">
        <f t="shared" si="5"/>
        <v>0.3274791862316192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31681</v>
      </c>
      <c r="D51" s="456">
        <v>27434</v>
      </c>
      <c r="E51" s="456">
        <f t="shared" si="4"/>
        <v>-4247</v>
      </c>
      <c r="F51" s="449">
        <f t="shared" si="5"/>
        <v>-0.13405511189672042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3038.1896720431805</v>
      </c>
      <c r="D52" s="465">
        <f>IF(LN_IB10=0,0,LN_IB2/LN_IB10)</f>
        <v>3466.9849092367135</v>
      </c>
      <c r="E52" s="465">
        <f t="shared" si="4"/>
        <v>428.79523719353301</v>
      </c>
      <c r="F52" s="449">
        <f t="shared" si="5"/>
        <v>0.14113511119441352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4.5788408729585202</v>
      </c>
      <c r="D53" s="466">
        <f>IF(LN_IB4=0,0,LN_IB10/LN_IB4)</f>
        <v>4.5548729868836126</v>
      </c>
      <c r="E53" s="466">
        <f t="shared" si="4"/>
        <v>-2.3967886074907518E-2</v>
      </c>
      <c r="F53" s="449">
        <f t="shared" si="5"/>
        <v>-5.2344876661811531E-3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178660081</v>
      </c>
      <c r="D56" s="448">
        <v>191232440</v>
      </c>
      <c r="E56" s="448">
        <f t="shared" ref="E56:E63" si="6">D56-C56</f>
        <v>12572359</v>
      </c>
      <c r="F56" s="449">
        <f t="shared" ref="F56:F63" si="7">IF(C56=0,0,E56/C56)</f>
        <v>7.0370274823730775E-2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81614606</v>
      </c>
      <c r="D57" s="448">
        <v>91977390</v>
      </c>
      <c r="E57" s="448">
        <f t="shared" si="6"/>
        <v>10362784</v>
      </c>
      <c r="F57" s="449">
        <f t="shared" si="7"/>
        <v>0.12697217456394999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0.45681500614566495</v>
      </c>
      <c r="D58" s="453">
        <f>IF(LN_IB13=0,0,LN_IB14/LN_IB13)</f>
        <v>0.48097169078635404</v>
      </c>
      <c r="E58" s="454">
        <f t="shared" si="6"/>
        <v>2.4156684640689097E-2</v>
      </c>
      <c r="F58" s="449">
        <f t="shared" si="7"/>
        <v>5.2880672297762117E-2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0.92003323097140044</v>
      </c>
      <c r="D59" s="453">
        <f>IF(LN_IB1=0,0,LN_IB13/LN_IB1)</f>
        <v>1.0513362195753568</v>
      </c>
      <c r="E59" s="454">
        <f t="shared" si="6"/>
        <v>0.13130298860395639</v>
      </c>
      <c r="F59" s="449">
        <f t="shared" si="7"/>
        <v>0.14271548481495883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6365.7099250911197</v>
      </c>
      <c r="D60" s="463">
        <f>LN_IB16*LN_IB4</f>
        <v>6332.1980505023739</v>
      </c>
      <c r="E60" s="463">
        <f t="shared" si="6"/>
        <v>-33.511874588745741</v>
      </c>
      <c r="F60" s="449">
        <f t="shared" si="7"/>
        <v>-5.2644363288774972E-3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12820.974716159684</v>
      </c>
      <c r="D61" s="465">
        <f>IF(LN_IB17=0,0,LN_IB14/LN_IB17)</f>
        <v>14525.34953367462</v>
      </c>
      <c r="E61" s="465">
        <f t="shared" si="6"/>
        <v>1704.3748175149358</v>
      </c>
      <c r="F61" s="449">
        <f t="shared" si="7"/>
        <v>0.13293644635042645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-1953.7181354750428</v>
      </c>
      <c r="D62" s="465">
        <f>LN_IA16-LN_IB18</f>
        <v>-3218.1395507631569</v>
      </c>
      <c r="E62" s="465">
        <f t="shared" si="6"/>
        <v>-1264.4214152881141</v>
      </c>
      <c r="F62" s="449">
        <f t="shared" si="7"/>
        <v>0.6471872233405217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-12436802.925823996</v>
      </c>
      <c r="D63" s="448">
        <f>LN_IB19*LN_IB17</f>
        <v>-20377896.989587046</v>
      </c>
      <c r="E63" s="448">
        <f t="shared" si="6"/>
        <v>-7941094.0637630504</v>
      </c>
      <c r="F63" s="449">
        <f t="shared" si="7"/>
        <v>0.63851571108150496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372848807</v>
      </c>
      <c r="D66" s="448">
        <f>LN_IB1+LN_IB13</f>
        <v>373127096</v>
      </c>
      <c r="E66" s="448">
        <f>D66-C66</f>
        <v>278289</v>
      </c>
      <c r="F66" s="449">
        <f>IF(C66=0,0,E66/C66)</f>
        <v>7.4638565224107042E-4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177867493</v>
      </c>
      <c r="D67" s="448">
        <f>LN_IB2+LN_IB14</f>
        <v>187090654</v>
      </c>
      <c r="E67" s="448">
        <f>D67-C67</f>
        <v>9223161</v>
      </c>
      <c r="F67" s="449">
        <f>IF(C67=0,0,E67/C67)</f>
        <v>5.1854112544330963E-2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194981314</v>
      </c>
      <c r="D68" s="448">
        <f>LN_IB21-LN_IB22</f>
        <v>186036442</v>
      </c>
      <c r="E68" s="448">
        <f>D68-C68</f>
        <v>-8944872</v>
      </c>
      <c r="F68" s="449">
        <f>IF(C68=0,0,E68/C68)</f>
        <v>-4.5875534514040667E-2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-33891611.172149293</v>
      </c>
      <c r="D70" s="441">
        <f>LN_IB9+LN_IB20</f>
        <v>-48858708.381174386</v>
      </c>
      <c r="E70" s="448">
        <f>D70-C70</f>
        <v>-14967097.209025092</v>
      </c>
      <c r="F70" s="449">
        <f>IF(C70=0,0,E70/C70)</f>
        <v>0.44161657387726749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351375285</v>
      </c>
      <c r="D73" s="488">
        <v>349570952</v>
      </c>
      <c r="E73" s="488">
        <f>D73-C73</f>
        <v>-1804333</v>
      </c>
      <c r="F73" s="489">
        <f>IF(C73=0,0,E73/C73)</f>
        <v>-5.1350595133633258E-3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204854864</v>
      </c>
      <c r="D74" s="488">
        <v>205239440</v>
      </c>
      <c r="E74" s="488">
        <f>D74-C74</f>
        <v>384576</v>
      </c>
      <c r="F74" s="489">
        <f>IF(C74=0,0,E74/C74)</f>
        <v>1.8773095863615912E-3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146520421</v>
      </c>
      <c r="D76" s="441">
        <f>LN_IB32-LN_IB33</f>
        <v>144331512</v>
      </c>
      <c r="E76" s="488">
        <f>D76-C76</f>
        <v>-2188909</v>
      </c>
      <c r="F76" s="489">
        <f>IF(E76=0,0,E76/C76)</f>
        <v>-1.4939275938880902E-2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0.41699125480609711</v>
      </c>
      <c r="D77" s="453">
        <f>IF(LN_IB32=0,0,LN_IB34/LN_IB32)</f>
        <v>0.4128818804143658</v>
      </c>
      <c r="E77" s="493">
        <f>D77-C77</f>
        <v>-4.109374391731313E-3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22641056</v>
      </c>
      <c r="D83" s="448">
        <v>21755534</v>
      </c>
      <c r="E83" s="448">
        <f t="shared" ref="E83:E95" si="8">D83-C83</f>
        <v>-885522</v>
      </c>
      <c r="F83" s="449">
        <f t="shared" ref="F83:F95" si="9">IF(C83=0,0,E83/C83)</f>
        <v>-3.9111338269734418E-2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580976</v>
      </c>
      <c r="D84" s="448">
        <v>167941</v>
      </c>
      <c r="E84" s="448">
        <f t="shared" si="8"/>
        <v>-413035</v>
      </c>
      <c r="F84" s="449">
        <f t="shared" si="9"/>
        <v>-0.71093298174107022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2.5660287223352125E-2</v>
      </c>
      <c r="D85" s="453">
        <f>IF(LN_IC1=0,0,LN_IC2/LN_IC1)</f>
        <v>7.7194611724998342E-3</v>
      </c>
      <c r="E85" s="454">
        <f t="shared" si="8"/>
        <v>-1.7940826050852291E-2</v>
      </c>
      <c r="F85" s="449">
        <f t="shared" si="9"/>
        <v>-0.6991670005363485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950</v>
      </c>
      <c r="D86" s="456">
        <v>793</v>
      </c>
      <c r="E86" s="456">
        <f t="shared" si="8"/>
        <v>-157</v>
      </c>
      <c r="F86" s="449">
        <f t="shared" si="9"/>
        <v>-0.16526315789473683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1.0567</v>
      </c>
      <c r="D87" s="459">
        <v>1.0913999999999999</v>
      </c>
      <c r="E87" s="460">
        <f t="shared" si="8"/>
        <v>3.4699999999999953E-2</v>
      </c>
      <c r="F87" s="449">
        <f t="shared" si="9"/>
        <v>3.2838080817639781E-2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1003.865</v>
      </c>
      <c r="D88" s="463">
        <f>LN_IC4*LN_IC5</f>
        <v>865.48019999999997</v>
      </c>
      <c r="E88" s="463">
        <f t="shared" si="8"/>
        <v>-138.38480000000004</v>
      </c>
      <c r="F88" s="449">
        <f t="shared" si="9"/>
        <v>-0.13785200201222281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578.73917309598403</v>
      </c>
      <c r="D89" s="465">
        <f>IF(LN_IC6=0,0,LN_IC2/LN_IC6)</f>
        <v>194.04372277956216</v>
      </c>
      <c r="E89" s="465">
        <f t="shared" si="8"/>
        <v>-384.6954503164219</v>
      </c>
      <c r="F89" s="449">
        <f t="shared" si="9"/>
        <v>-0.6647129971494431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10637.407767282761</v>
      </c>
      <c r="D90" s="465">
        <f>LN_IB7-LN_IC7</f>
        <v>12176.061172266216</v>
      </c>
      <c r="E90" s="465">
        <f t="shared" si="8"/>
        <v>1538.6534049834554</v>
      </c>
      <c r="F90" s="449">
        <f t="shared" si="9"/>
        <v>0.14464552254129598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8137.3239841497507</v>
      </c>
      <c r="D91" s="465">
        <f>LN_IA7-LN_IC7</f>
        <v>8471.9445265589457</v>
      </c>
      <c r="E91" s="465">
        <f t="shared" si="8"/>
        <v>334.62054240919497</v>
      </c>
      <c r="F91" s="449">
        <f t="shared" si="9"/>
        <v>4.112169345364447E-2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8168774.7413484892</v>
      </c>
      <c r="D92" s="441">
        <f>LN_IC9*LN_IC6</f>
        <v>7332300.243235141</v>
      </c>
      <c r="E92" s="441">
        <f t="shared" si="8"/>
        <v>-836474.49811334815</v>
      </c>
      <c r="F92" s="449">
        <f t="shared" si="9"/>
        <v>-0.10239901632729613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4631</v>
      </c>
      <c r="D93" s="456">
        <v>4263</v>
      </c>
      <c r="E93" s="456">
        <f t="shared" si="8"/>
        <v>-368</v>
      </c>
      <c r="F93" s="449">
        <f t="shared" si="9"/>
        <v>-7.9464478514359754E-2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125.45368171021377</v>
      </c>
      <c r="D94" s="499">
        <f>IF(LN_IC11=0,0,LN_IC2/LN_IC11)</f>
        <v>39.395026976307761</v>
      </c>
      <c r="E94" s="499">
        <f t="shared" si="8"/>
        <v>-86.05865473390601</v>
      </c>
      <c r="F94" s="449">
        <f t="shared" si="9"/>
        <v>-0.68597950702390242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4.8747368421052633</v>
      </c>
      <c r="D95" s="466">
        <f>IF(LN_IC4=0,0,LN_IC11/LN_IC4)</f>
        <v>5.3757881462799499</v>
      </c>
      <c r="E95" s="466">
        <f t="shared" si="8"/>
        <v>0.50105130417468668</v>
      </c>
      <c r="F95" s="449">
        <f t="shared" si="9"/>
        <v>0.1027853031669083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31706504</v>
      </c>
      <c r="D98" s="448">
        <v>34649030</v>
      </c>
      <c r="E98" s="448">
        <f t="shared" ref="E98:E106" si="10">D98-C98</f>
        <v>2942526</v>
      </c>
      <c r="F98" s="449">
        <f t="shared" ref="F98:F106" si="11">IF(C98=0,0,E98/C98)</f>
        <v>9.2805122885828095E-2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1876106</v>
      </c>
      <c r="D99" s="448">
        <v>3298310</v>
      </c>
      <c r="E99" s="448">
        <f t="shared" si="10"/>
        <v>1422204</v>
      </c>
      <c r="F99" s="449">
        <f t="shared" si="11"/>
        <v>0.75806164470451032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5.9171014249946953E-2</v>
      </c>
      <c r="D100" s="453">
        <f>IF(LN_IC14=0,0,LN_IC15/LN_IC14)</f>
        <v>9.5191986615498325E-2</v>
      </c>
      <c r="E100" s="454">
        <f t="shared" si="10"/>
        <v>3.6020972365551372E-2</v>
      </c>
      <c r="F100" s="449">
        <f t="shared" si="11"/>
        <v>0.6087604348540242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1.40039863865007</v>
      </c>
      <c r="D101" s="453">
        <f>IF(LN_IC1=0,0,LN_IC14/LN_IC1)</f>
        <v>1.5926536209131892</v>
      </c>
      <c r="E101" s="454">
        <f t="shared" si="10"/>
        <v>0.19225498226311921</v>
      </c>
      <c r="F101" s="449">
        <f t="shared" si="11"/>
        <v>0.13728589628482185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1330.3787067175665</v>
      </c>
      <c r="D102" s="463">
        <f>LN_IC17*LN_IC4</f>
        <v>1262.9743213841591</v>
      </c>
      <c r="E102" s="463">
        <f t="shared" si="10"/>
        <v>-67.40438533340739</v>
      </c>
      <c r="F102" s="449">
        <f t="shared" si="11"/>
        <v>-5.0665562364353926E-2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1410.2044707472073</v>
      </c>
      <c r="D103" s="465">
        <f>IF(LN_IC18=0,0,LN_IC15/LN_IC18)</f>
        <v>2611.5416158146518</v>
      </c>
      <c r="E103" s="465">
        <f t="shared" si="10"/>
        <v>1201.3371450674445</v>
      </c>
      <c r="F103" s="449">
        <f t="shared" si="11"/>
        <v>0.85188862323696013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11410.770245412477</v>
      </c>
      <c r="D104" s="465">
        <f>LN_IB18-LN_IC19</f>
        <v>11913.807917859969</v>
      </c>
      <c r="E104" s="465">
        <f t="shared" si="10"/>
        <v>503.03767244749179</v>
      </c>
      <c r="F104" s="449">
        <f t="shared" si="11"/>
        <v>4.4084462453332654E-2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9457.0521099374346</v>
      </c>
      <c r="D105" s="465">
        <f>LN_IA16-LN_IC19</f>
        <v>8695.6683670968123</v>
      </c>
      <c r="E105" s="465">
        <f t="shared" si="10"/>
        <v>-761.38374284062229</v>
      </c>
      <c r="F105" s="449">
        <f t="shared" si="11"/>
        <v>-8.0509627523418545E-2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12581460.755379198</v>
      </c>
      <c r="D106" s="448">
        <f>LN_IC21*LN_IC18</f>
        <v>10982405.854915796</v>
      </c>
      <c r="E106" s="448">
        <f t="shared" si="10"/>
        <v>-1599054.9004634023</v>
      </c>
      <c r="F106" s="449">
        <f t="shared" si="11"/>
        <v>-0.1270961243335538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54347560</v>
      </c>
      <c r="D109" s="448">
        <f>LN_IC1+LN_IC14</f>
        <v>56404564</v>
      </c>
      <c r="E109" s="448">
        <f>D109-C109</f>
        <v>2057004</v>
      </c>
      <c r="F109" s="449">
        <f>IF(C109=0,0,E109/C109)</f>
        <v>3.7849058908992421E-2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2457082</v>
      </c>
      <c r="D110" s="448">
        <f>LN_IC2+LN_IC15</f>
        <v>3466251</v>
      </c>
      <c r="E110" s="448">
        <f>D110-C110</f>
        <v>1009169</v>
      </c>
      <c r="F110" s="449">
        <f>IF(C110=0,0,E110/C110)</f>
        <v>0.41071848639972131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51890478</v>
      </c>
      <c r="D111" s="448">
        <f>LN_IC23-LN_IC24</f>
        <v>52938313</v>
      </c>
      <c r="E111" s="448">
        <f>D111-C111</f>
        <v>1047835</v>
      </c>
      <c r="F111" s="449">
        <f>IF(C111=0,0,E111/C111)</f>
        <v>2.0193203847534417E-2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20750235.496727686</v>
      </c>
      <c r="D113" s="448">
        <f>LN_IC10+LN_IC22</f>
        <v>18314706.098150939</v>
      </c>
      <c r="E113" s="448">
        <f>D113-C113</f>
        <v>-2435529.3985767476</v>
      </c>
      <c r="F113" s="449">
        <f>IF(C113=0,0,E113/C113)</f>
        <v>-0.11737357867388208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130452578</v>
      </c>
      <c r="D118" s="448">
        <v>140676638</v>
      </c>
      <c r="E118" s="448">
        <f t="shared" ref="E118:E130" si="12">D118-C118</f>
        <v>10224060</v>
      </c>
      <c r="F118" s="449">
        <f t="shared" ref="F118:F130" si="13">IF(C118=0,0,E118/C118)</f>
        <v>7.8373767362420382E-2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28470717</v>
      </c>
      <c r="D119" s="448">
        <v>34020629</v>
      </c>
      <c r="E119" s="448">
        <f t="shared" si="12"/>
        <v>5549912</v>
      </c>
      <c r="F119" s="449">
        <f t="shared" si="13"/>
        <v>0.19493404398631758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0.21824572144522894</v>
      </c>
      <c r="D120" s="453">
        <f>IF(LN_ID1=0,0,LN_1D2/LN_ID1)</f>
        <v>0.24183566997101538</v>
      </c>
      <c r="E120" s="454">
        <f t="shared" si="12"/>
        <v>2.3589948525786442E-2</v>
      </c>
      <c r="F120" s="449">
        <f t="shared" si="13"/>
        <v>0.10808893924505451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4773</v>
      </c>
      <c r="D121" s="456">
        <v>4685</v>
      </c>
      <c r="E121" s="456">
        <f t="shared" si="12"/>
        <v>-88</v>
      </c>
      <c r="F121" s="449">
        <f t="shared" si="13"/>
        <v>-1.8437041692855646E-2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1.0509999999999999</v>
      </c>
      <c r="D122" s="459">
        <v>1.04</v>
      </c>
      <c r="E122" s="460">
        <f t="shared" si="12"/>
        <v>-1.0999999999999899E-2</v>
      </c>
      <c r="F122" s="449">
        <f t="shared" si="13"/>
        <v>-1.0466222645099809E-2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5016.4229999999998</v>
      </c>
      <c r="D123" s="463">
        <f>LN_ID4*LN_ID5</f>
        <v>4872.4000000000005</v>
      </c>
      <c r="E123" s="463">
        <f t="shared" si="12"/>
        <v>-144.02299999999923</v>
      </c>
      <c r="F123" s="449">
        <f t="shared" si="13"/>
        <v>-2.8710298154680982E-2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5675.501647289314</v>
      </c>
      <c r="D124" s="465">
        <f>IF(LN_ID6=0,0,LN_1D2/LN_ID6)</f>
        <v>6982.3144651506436</v>
      </c>
      <c r="E124" s="465">
        <f t="shared" si="12"/>
        <v>1306.8128178613297</v>
      </c>
      <c r="F124" s="449">
        <f t="shared" si="13"/>
        <v>0.23025503278383838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5540.6452930894311</v>
      </c>
      <c r="D125" s="465">
        <f>LN_IB7-LN_ID7</f>
        <v>5387.7904298951353</v>
      </c>
      <c r="E125" s="465">
        <f t="shared" si="12"/>
        <v>-152.85486319429583</v>
      </c>
      <c r="F125" s="449">
        <f t="shared" si="13"/>
        <v>-2.7587917130328491E-2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3040.5615099564211</v>
      </c>
      <c r="D126" s="465">
        <f>LN_IA7-LN_ID7</f>
        <v>1683.6737841878648</v>
      </c>
      <c r="E126" s="465">
        <f t="shared" si="12"/>
        <v>-1356.8877257685563</v>
      </c>
      <c r="F126" s="449">
        <f t="shared" si="13"/>
        <v>-0.44626221877945299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15252742.69146012</v>
      </c>
      <c r="D127" s="479">
        <f>LN_ID9*LN_ID6</f>
        <v>8203532.146076954</v>
      </c>
      <c r="E127" s="479">
        <f t="shared" si="12"/>
        <v>-7049210.5453831656</v>
      </c>
      <c r="F127" s="449">
        <f t="shared" si="13"/>
        <v>-0.46216019557780635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27276</v>
      </c>
      <c r="D128" s="456">
        <v>28549</v>
      </c>
      <c r="E128" s="456">
        <f t="shared" si="12"/>
        <v>1273</v>
      </c>
      <c r="F128" s="449">
        <f t="shared" si="13"/>
        <v>4.6671066138730018E-2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1043.801033875935</v>
      </c>
      <c r="D129" s="465">
        <f>IF(LN_ID11=0,0,LN_1D2/LN_ID11)</f>
        <v>1191.6574661108971</v>
      </c>
      <c r="E129" s="465">
        <f t="shared" si="12"/>
        <v>147.85643223496209</v>
      </c>
      <c r="F129" s="449">
        <f t="shared" si="13"/>
        <v>0.14165193119796826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5.7146448774355747</v>
      </c>
      <c r="D130" s="466">
        <f>IF(LN_ID4=0,0,LN_ID11/LN_ID4)</f>
        <v>6.0937033084311629</v>
      </c>
      <c r="E130" s="466">
        <f t="shared" si="12"/>
        <v>0.37905843099558822</v>
      </c>
      <c r="F130" s="449">
        <f t="shared" si="13"/>
        <v>6.6331056281784082E-2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86636594</v>
      </c>
      <c r="D133" s="448">
        <v>100790177</v>
      </c>
      <c r="E133" s="448">
        <f t="shared" ref="E133:E141" si="14">D133-C133</f>
        <v>14153583</v>
      </c>
      <c r="F133" s="449">
        <f t="shared" ref="F133:F141" si="15">IF(C133=0,0,E133/C133)</f>
        <v>0.16336726025956191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21615281</v>
      </c>
      <c r="D134" s="448">
        <v>22452103</v>
      </c>
      <c r="E134" s="448">
        <f t="shared" si="14"/>
        <v>836822</v>
      </c>
      <c r="F134" s="449">
        <f t="shared" si="15"/>
        <v>3.8714370634367418E-2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0.24949366084266886</v>
      </c>
      <c r="D135" s="453">
        <f>IF(LN_ID14=0,0,LN_ID15/LN_ID14)</f>
        <v>0.2227608251943044</v>
      </c>
      <c r="E135" s="454">
        <f t="shared" si="14"/>
        <v>-2.6732835648364456E-2</v>
      </c>
      <c r="F135" s="449">
        <f t="shared" si="15"/>
        <v>-0.10714835622706353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0.66412328010873034</v>
      </c>
      <c r="D136" s="453">
        <f>IF(LN_ID1=0,0,LN_ID14/LN_ID1)</f>
        <v>0.71646705830430779</v>
      </c>
      <c r="E136" s="454">
        <f t="shared" si="14"/>
        <v>5.2343778195577451E-2</v>
      </c>
      <c r="F136" s="449">
        <f t="shared" si="15"/>
        <v>7.881635799155802E-2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3169.86041595897</v>
      </c>
      <c r="D137" s="463">
        <f>LN_ID17*LN_ID4</f>
        <v>3356.648168155682</v>
      </c>
      <c r="E137" s="463">
        <f t="shared" si="14"/>
        <v>186.78775219671206</v>
      </c>
      <c r="F137" s="449">
        <f t="shared" si="15"/>
        <v>5.8926175820332972E-2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6819.0008907571355</v>
      </c>
      <c r="D138" s="465">
        <f>IF(LN_ID18=0,0,LN_ID15/LN_ID18)</f>
        <v>6688.8460974259206</v>
      </c>
      <c r="E138" s="465">
        <f t="shared" si="14"/>
        <v>-130.15479333121493</v>
      </c>
      <c r="F138" s="449">
        <f t="shared" si="15"/>
        <v>-1.9087076745749394E-2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6001.9738254025488</v>
      </c>
      <c r="D139" s="465">
        <f>LN_IB18-LN_ID19</f>
        <v>7836.5034362486995</v>
      </c>
      <c r="E139" s="465">
        <f t="shared" si="14"/>
        <v>1834.5296108461507</v>
      </c>
      <c r="F139" s="449">
        <f t="shared" si="15"/>
        <v>0.30565438374318632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4048.255689927506</v>
      </c>
      <c r="D140" s="465">
        <f>LN_IA16-LN_ID19</f>
        <v>4618.3638854855426</v>
      </c>
      <c r="E140" s="465">
        <f t="shared" si="14"/>
        <v>570.10819555803664</v>
      </c>
      <c r="F140" s="449">
        <f t="shared" si="15"/>
        <v>0.14082810949331262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12832405.46518187</v>
      </c>
      <c r="D141" s="441">
        <f>LN_ID21*LN_ID18</f>
        <v>15502222.676091405</v>
      </c>
      <c r="E141" s="441">
        <f t="shared" si="14"/>
        <v>2669817.2109095342</v>
      </c>
      <c r="F141" s="449">
        <f t="shared" si="15"/>
        <v>0.2080527472540937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217089172</v>
      </c>
      <c r="D144" s="448">
        <f>LN_ID1+LN_ID14</f>
        <v>241466815</v>
      </c>
      <c r="E144" s="448">
        <f>D144-C144</f>
        <v>24377643</v>
      </c>
      <c r="F144" s="449">
        <f>IF(C144=0,0,E144/C144)</f>
        <v>0.11229322391077157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50085998</v>
      </c>
      <c r="D145" s="448">
        <f>LN_1D2+LN_ID15</f>
        <v>56472732</v>
      </c>
      <c r="E145" s="448">
        <f>D145-C145</f>
        <v>6386734</v>
      </c>
      <c r="F145" s="449">
        <f>IF(C145=0,0,E145/C145)</f>
        <v>0.12751535868367841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167003174</v>
      </c>
      <c r="D146" s="448">
        <f>LN_ID23-LN_ID24</f>
        <v>184994083</v>
      </c>
      <c r="E146" s="448">
        <f>D146-C146</f>
        <v>17990909</v>
      </c>
      <c r="F146" s="449">
        <f>IF(C146=0,0,E146/C146)</f>
        <v>0.10772794653591435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28085148.15664199</v>
      </c>
      <c r="D148" s="448">
        <f>LN_ID10+LN_ID22</f>
        <v>23705754.822168358</v>
      </c>
      <c r="E148" s="448">
        <f>D148-C148</f>
        <v>-4379393.3344736323</v>
      </c>
      <c r="F148" s="503">
        <f>IF(C148=0,0,E148/C148)</f>
        <v>-0.15593271255141763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1046714</v>
      </c>
      <c r="D153" s="448">
        <v>1208411</v>
      </c>
      <c r="E153" s="448">
        <f t="shared" ref="E153:E165" si="16">D153-C153</f>
        <v>161697</v>
      </c>
      <c r="F153" s="449">
        <f t="shared" ref="F153:F165" si="17">IF(C153=0,0,E153/C153)</f>
        <v>0.15448059355277563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447584</v>
      </c>
      <c r="D154" s="448">
        <v>492200</v>
      </c>
      <c r="E154" s="448">
        <f t="shared" si="16"/>
        <v>44616</v>
      </c>
      <c r="F154" s="449">
        <f t="shared" si="17"/>
        <v>9.9681847429756207E-2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0.42760868775998029</v>
      </c>
      <c r="D155" s="453">
        <f>IF(LN_IE1=0,0,LN_IE2/LN_IE1)</f>
        <v>0.40731175072057435</v>
      </c>
      <c r="E155" s="454">
        <f t="shared" si="16"/>
        <v>-2.0296937039405938E-2</v>
      </c>
      <c r="F155" s="449">
        <f t="shared" si="17"/>
        <v>-4.7466147485756296E-2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38</v>
      </c>
      <c r="D156" s="506">
        <v>36</v>
      </c>
      <c r="E156" s="506">
        <f t="shared" si="16"/>
        <v>-2</v>
      </c>
      <c r="F156" s="449">
        <f t="shared" si="17"/>
        <v>-5.2631578947368418E-2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1.0158</v>
      </c>
      <c r="D157" s="459">
        <v>0.93920000000000003</v>
      </c>
      <c r="E157" s="460">
        <f t="shared" si="16"/>
        <v>-7.6600000000000001E-2</v>
      </c>
      <c r="F157" s="449">
        <f t="shared" si="17"/>
        <v>-7.54085449891711E-2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38.6004</v>
      </c>
      <c r="D158" s="463">
        <f>LN_IE4*LN_IE5</f>
        <v>33.811199999999999</v>
      </c>
      <c r="E158" s="463">
        <f t="shared" si="16"/>
        <v>-4.789200000000001</v>
      </c>
      <c r="F158" s="449">
        <f t="shared" si="17"/>
        <v>-0.1240712531476358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11595.320255748646</v>
      </c>
      <c r="D159" s="465">
        <f>IF(LN_IE6=0,0,LN_IE2/LN_IE6)</f>
        <v>14557.30645466591</v>
      </c>
      <c r="E159" s="465">
        <f t="shared" si="16"/>
        <v>2961.9861989172641</v>
      </c>
      <c r="F159" s="449">
        <f t="shared" si="17"/>
        <v>0.2554466917331405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-379.17331536990059</v>
      </c>
      <c r="D160" s="465">
        <f>LN_IB7-LN_IE7</f>
        <v>-2187.2015596201309</v>
      </c>
      <c r="E160" s="465">
        <f t="shared" si="16"/>
        <v>-1808.0282442502303</v>
      </c>
      <c r="F160" s="449">
        <f t="shared" si="17"/>
        <v>4.7683425255978724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-2879.2570985029106</v>
      </c>
      <c r="D161" s="465">
        <f>LN_IA7-LN_IE7</f>
        <v>-5891.3182053274013</v>
      </c>
      <c r="E161" s="465">
        <f t="shared" si="16"/>
        <v>-3012.0611068244907</v>
      </c>
      <c r="F161" s="449">
        <f t="shared" si="17"/>
        <v>1.0461244007666535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-111140.47570505175</v>
      </c>
      <c r="D162" s="479">
        <f>LN_IE9*LN_IE6</f>
        <v>-199192.53810396584</v>
      </c>
      <c r="E162" s="479">
        <f t="shared" si="16"/>
        <v>-88052.062398914088</v>
      </c>
      <c r="F162" s="449">
        <f t="shared" si="17"/>
        <v>0.79225918226757952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244</v>
      </c>
      <c r="D163" s="456">
        <v>260</v>
      </c>
      <c r="E163" s="506">
        <f t="shared" si="16"/>
        <v>16</v>
      </c>
      <c r="F163" s="449">
        <f t="shared" si="17"/>
        <v>6.5573770491803282E-2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1834.360655737705</v>
      </c>
      <c r="D164" s="465">
        <f>IF(LN_IE11=0,0,LN_IE2/LN_IE11)</f>
        <v>1893.0769230769231</v>
      </c>
      <c r="E164" s="465">
        <f t="shared" si="16"/>
        <v>58.71626733921812</v>
      </c>
      <c r="F164" s="449">
        <f t="shared" si="17"/>
        <v>3.2009118357155801E-2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6.4210526315789478</v>
      </c>
      <c r="D165" s="466">
        <f>IF(LN_IE4=0,0,LN_IE11/LN_IE4)</f>
        <v>7.2222222222222223</v>
      </c>
      <c r="E165" s="466">
        <f t="shared" si="16"/>
        <v>0.80116959064327453</v>
      </c>
      <c r="F165" s="449">
        <f t="shared" si="17"/>
        <v>0.1247723132969034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676806</v>
      </c>
      <c r="D168" s="511">
        <v>831278</v>
      </c>
      <c r="E168" s="511">
        <f t="shared" ref="E168:E176" si="18">D168-C168</f>
        <v>154472</v>
      </c>
      <c r="F168" s="449">
        <f t="shared" ref="F168:F176" si="19">IF(C168=0,0,E168/C168)</f>
        <v>0.22823674731015978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130183</v>
      </c>
      <c r="D169" s="511">
        <v>208992</v>
      </c>
      <c r="E169" s="511">
        <f t="shared" si="18"/>
        <v>78809</v>
      </c>
      <c r="F169" s="449">
        <f t="shared" si="19"/>
        <v>0.60537090096249124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0.1923490630993224</v>
      </c>
      <c r="D170" s="453">
        <f>IF(LN_IE14=0,0,LN_IE15/LN_IE14)</f>
        <v>0.25141047880492445</v>
      </c>
      <c r="E170" s="454">
        <f t="shared" si="18"/>
        <v>5.9061415705602055E-2</v>
      </c>
      <c r="F170" s="449">
        <f t="shared" si="19"/>
        <v>0.30705330586978102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0.64660069512779994</v>
      </c>
      <c r="D171" s="453">
        <f>IF(LN_IE1=0,0,LN_IE14/LN_IE1)</f>
        <v>0.68790999088886151</v>
      </c>
      <c r="E171" s="454">
        <f t="shared" si="18"/>
        <v>4.1309295761061571E-2</v>
      </c>
      <c r="F171" s="449">
        <f t="shared" si="19"/>
        <v>6.3886871870585962E-2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24.570826414856398</v>
      </c>
      <c r="D172" s="463">
        <f>LN_IE17*LN_IE4</f>
        <v>24.764759671999016</v>
      </c>
      <c r="E172" s="463">
        <f t="shared" si="18"/>
        <v>0.19393325714261778</v>
      </c>
      <c r="F172" s="449">
        <f t="shared" si="19"/>
        <v>7.8928259826604296E-3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5298.2751903406352</v>
      </c>
      <c r="D173" s="465">
        <f>IF(LN_IE18=0,0,LN_IE15/LN_IE18)</f>
        <v>8439.088558420488</v>
      </c>
      <c r="E173" s="465">
        <f t="shared" si="18"/>
        <v>3140.8133680798528</v>
      </c>
      <c r="F173" s="449">
        <f t="shared" si="19"/>
        <v>0.59279921394153268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7522.6995258190491</v>
      </c>
      <c r="D174" s="465">
        <f>LN_IB18-LN_IE19</f>
        <v>6086.2609752541321</v>
      </c>
      <c r="E174" s="465">
        <f t="shared" si="18"/>
        <v>-1436.438550564917</v>
      </c>
      <c r="F174" s="449">
        <f t="shared" si="19"/>
        <v>-0.1909472185662662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5568.9813903440063</v>
      </c>
      <c r="D175" s="465">
        <f>LN_IA16-LN_IE19</f>
        <v>2868.1214244909752</v>
      </c>
      <c r="E175" s="465">
        <f t="shared" si="18"/>
        <v>-2700.8599658530311</v>
      </c>
      <c r="F175" s="449">
        <f t="shared" si="19"/>
        <v>-0.48498276013922792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136834.47504970821</v>
      </c>
      <c r="D176" s="441">
        <f>LN_IE21*LN_IE18</f>
        <v>71028.337787630473</v>
      </c>
      <c r="E176" s="441">
        <f t="shared" si="18"/>
        <v>-65806.13726207774</v>
      </c>
      <c r="F176" s="449">
        <f t="shared" si="19"/>
        <v>-0.48091781868693673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1723520</v>
      </c>
      <c r="D179" s="448">
        <f>LN_IE1+LN_IE14</f>
        <v>2039689</v>
      </c>
      <c r="E179" s="448">
        <f>D179-C179</f>
        <v>316169</v>
      </c>
      <c r="F179" s="449">
        <f>IF(C179=0,0,E179/C179)</f>
        <v>0.18344376624582251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577767</v>
      </c>
      <c r="D180" s="448">
        <f>LN_IE15+LN_IE2</f>
        <v>701192</v>
      </c>
      <c r="E180" s="448">
        <f>D180-C180</f>
        <v>123425</v>
      </c>
      <c r="F180" s="449">
        <f>IF(C180=0,0,E180/C180)</f>
        <v>0.21362417722022892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1145753</v>
      </c>
      <c r="D181" s="448">
        <f>LN_IE23-LN_IE24</f>
        <v>1338497</v>
      </c>
      <c r="E181" s="448">
        <f>D181-C181</f>
        <v>192744</v>
      </c>
      <c r="F181" s="449">
        <f>IF(C181=0,0,E181/C181)</f>
        <v>0.16822473953810288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25693.999344656462</v>
      </c>
      <c r="D183" s="448">
        <f>LN_IE10+LN_IE22</f>
        <v>-128164.20031633537</v>
      </c>
      <c r="E183" s="441">
        <f>D183-C183</f>
        <v>-153858.19966099184</v>
      </c>
      <c r="F183" s="449">
        <f>IF(C183=0,0,E183/C183)</f>
        <v>-5.9880985282654908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131499292</v>
      </c>
      <c r="D188" s="448">
        <f>LN_ID1+LN_IE1</f>
        <v>141885049</v>
      </c>
      <c r="E188" s="448">
        <f t="shared" ref="E188:E200" si="20">D188-C188</f>
        <v>10385757</v>
      </c>
      <c r="F188" s="449">
        <f t="shared" ref="F188:F200" si="21">IF(C188=0,0,E188/C188)</f>
        <v>7.8979565912795938E-2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28918301</v>
      </c>
      <c r="D189" s="448">
        <f>LN_1D2+LN_IE2</f>
        <v>34512829</v>
      </c>
      <c r="E189" s="448">
        <f t="shared" si="20"/>
        <v>5594528</v>
      </c>
      <c r="F189" s="449">
        <f t="shared" si="21"/>
        <v>0.19345977483255328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0.21991221823460463</v>
      </c>
      <c r="D190" s="453">
        <f>IF(LN_IF1=0,0,LN_IF2/LN_IF1)</f>
        <v>0.24324500180424224</v>
      </c>
      <c r="E190" s="454">
        <f t="shared" si="20"/>
        <v>2.3332783569637611E-2</v>
      </c>
      <c r="F190" s="449">
        <f t="shared" si="21"/>
        <v>0.10610044206250493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4811</v>
      </c>
      <c r="D191" s="456">
        <f>LN_ID4+LN_IE4</f>
        <v>4721</v>
      </c>
      <c r="E191" s="456">
        <f t="shared" si="20"/>
        <v>-90</v>
      </c>
      <c r="F191" s="449">
        <f t="shared" si="21"/>
        <v>-1.8707129494907503E-2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1.0507219704843067</v>
      </c>
      <c r="D192" s="459">
        <f>IF((LN_ID4+LN_IE4)=0,0,(LN_ID6+LN_IE6)/(LN_ID4+LN_IE4))</f>
        <v>1.0392313492904046</v>
      </c>
      <c r="E192" s="460">
        <f t="shared" si="20"/>
        <v>-1.1490621193902095E-2</v>
      </c>
      <c r="F192" s="449">
        <f t="shared" si="21"/>
        <v>-1.0935929310211104E-2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5055.0234</v>
      </c>
      <c r="D193" s="463">
        <f>LN_IF4*LN_IF5</f>
        <v>4906.2112000000006</v>
      </c>
      <c r="E193" s="463">
        <f t="shared" si="20"/>
        <v>-148.81219999999939</v>
      </c>
      <c r="F193" s="449">
        <f t="shared" si="21"/>
        <v>-2.9438478959365331E-2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5720.7056647848558</v>
      </c>
      <c r="D194" s="465">
        <f>IF(LN_IF6=0,0,LN_IF2/LN_IF6)</f>
        <v>7034.5175927200189</v>
      </c>
      <c r="E194" s="465">
        <f t="shared" si="20"/>
        <v>1313.8119279351631</v>
      </c>
      <c r="F194" s="449">
        <f t="shared" si="21"/>
        <v>0.229659067415868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5495.4412755938893</v>
      </c>
      <c r="D195" s="465">
        <f>LN_IB7-LN_IF7</f>
        <v>5335.58730232576</v>
      </c>
      <c r="E195" s="465">
        <f t="shared" si="20"/>
        <v>-159.85397326812927</v>
      </c>
      <c r="F195" s="449">
        <f t="shared" si="21"/>
        <v>-2.9088469014866135E-2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2995.3574924608793</v>
      </c>
      <c r="D196" s="465">
        <f>LN_IA7-LN_IF7</f>
        <v>1631.4706566184896</v>
      </c>
      <c r="E196" s="465">
        <f t="shared" si="20"/>
        <v>-1363.8868358423897</v>
      </c>
      <c r="F196" s="449">
        <f t="shared" si="21"/>
        <v>-0.45533357513258582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15141602.215755068</v>
      </c>
      <c r="D197" s="479">
        <f>LN_IF9*LN_IF6</f>
        <v>8004339.6079729889</v>
      </c>
      <c r="E197" s="479">
        <f t="shared" si="20"/>
        <v>-7137262.6077820789</v>
      </c>
      <c r="F197" s="449">
        <f t="shared" si="21"/>
        <v>-0.47136772622091794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27520</v>
      </c>
      <c r="D198" s="456">
        <f>LN_ID11+LN_IE11</f>
        <v>28809</v>
      </c>
      <c r="E198" s="456">
        <f t="shared" si="20"/>
        <v>1289</v>
      </c>
      <c r="F198" s="449">
        <f t="shared" si="21"/>
        <v>4.6838662790697677E-2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1050.8103561046512</v>
      </c>
      <c r="D199" s="519">
        <f>IF(LN_IF11=0,0,LN_IF2/LN_IF11)</f>
        <v>1197.9877468846541</v>
      </c>
      <c r="E199" s="519">
        <f t="shared" si="20"/>
        <v>147.17739078000295</v>
      </c>
      <c r="F199" s="449">
        <f t="shared" si="21"/>
        <v>0.14006084915796682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5.7202244855539393</v>
      </c>
      <c r="D200" s="466">
        <f>IF(LN_IF4=0,0,LN_IF11/LN_IF4)</f>
        <v>6.1023088328743906</v>
      </c>
      <c r="E200" s="466">
        <f t="shared" si="20"/>
        <v>0.38208434732045138</v>
      </c>
      <c r="F200" s="449">
        <f t="shared" si="21"/>
        <v>6.6795341386580359E-2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87313400</v>
      </c>
      <c r="D203" s="448">
        <f>LN_ID14+LN_IE14</f>
        <v>101621455</v>
      </c>
      <c r="E203" s="448">
        <f t="shared" ref="E203:E211" si="22">D203-C203</f>
        <v>14308055</v>
      </c>
      <c r="F203" s="449">
        <f t="shared" ref="F203:F211" si="23">IF(C203=0,0,E203/C203)</f>
        <v>0.16387009325029148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21745464</v>
      </c>
      <c r="D204" s="448">
        <f>LN_ID15+LN_IE15</f>
        <v>22661095</v>
      </c>
      <c r="E204" s="448">
        <f t="shared" si="22"/>
        <v>915631</v>
      </c>
      <c r="F204" s="449">
        <f t="shared" si="23"/>
        <v>4.210675844856656E-2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0.24905070699342827</v>
      </c>
      <c r="D205" s="453">
        <f>IF(LN_IF14=0,0,LN_IF15/LN_IF14)</f>
        <v>0.22299518344821967</v>
      </c>
      <c r="E205" s="454">
        <f t="shared" si="22"/>
        <v>-2.6055523545208598E-2</v>
      </c>
      <c r="F205" s="449">
        <f t="shared" si="23"/>
        <v>-0.10461935185711449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0.66398380304587501</v>
      </c>
      <c r="D206" s="453">
        <f>IF(LN_IF1=0,0,LN_IF14/LN_IF1)</f>
        <v>0.71622384258400618</v>
      </c>
      <c r="E206" s="454">
        <f t="shared" si="22"/>
        <v>5.2240039538131167E-2</v>
      </c>
      <c r="F206" s="449">
        <f t="shared" si="23"/>
        <v>7.8676677501005057E-2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3194.4312423738265</v>
      </c>
      <c r="D207" s="463">
        <f>LN_ID18+LN_IE18</f>
        <v>3381.412927827681</v>
      </c>
      <c r="E207" s="463">
        <f t="shared" si="22"/>
        <v>186.98168545385442</v>
      </c>
      <c r="F207" s="449">
        <f t="shared" si="23"/>
        <v>5.8533639094672053E-2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6807.3038203322358</v>
      </c>
      <c r="D208" s="465">
        <f>IF(LN_IF18=0,0,LN_IF15/LN_IF18)</f>
        <v>6701.664506428132</v>
      </c>
      <c r="E208" s="465">
        <f t="shared" si="22"/>
        <v>-105.6393139041038</v>
      </c>
      <c r="F208" s="449">
        <f t="shared" si="23"/>
        <v>-1.551852490975612E-2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6013.6708958274485</v>
      </c>
      <c r="D209" s="465">
        <f>LN_IB18-LN_IF19</f>
        <v>7823.6850272464881</v>
      </c>
      <c r="E209" s="465">
        <f t="shared" si="22"/>
        <v>1810.0141314190396</v>
      </c>
      <c r="F209" s="449">
        <f t="shared" si="23"/>
        <v>0.30098323682376893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4059.9527603524057</v>
      </c>
      <c r="D210" s="465">
        <f>LN_IA16-LN_IF19</f>
        <v>4605.5454764833312</v>
      </c>
      <c r="E210" s="465">
        <f t="shared" si="22"/>
        <v>545.59271613092551</v>
      </c>
      <c r="F210" s="449">
        <f t="shared" si="23"/>
        <v>0.13438400600591419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12969239.940231578</v>
      </c>
      <c r="D211" s="441">
        <f>LN_IF21*LN_IF18</f>
        <v>15573251.013879033</v>
      </c>
      <c r="E211" s="441">
        <f t="shared" si="22"/>
        <v>2604011.0736474544</v>
      </c>
      <c r="F211" s="449">
        <f t="shared" si="23"/>
        <v>0.20078363000823293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218812692</v>
      </c>
      <c r="D214" s="448">
        <f>LN_IF1+LN_IF14</f>
        <v>243506504</v>
      </c>
      <c r="E214" s="448">
        <f>D214-C214</f>
        <v>24693812</v>
      </c>
      <c r="F214" s="449">
        <f>IF(C214=0,0,E214/C214)</f>
        <v>0.11285365475966083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50663765</v>
      </c>
      <c r="D215" s="448">
        <f>LN_IF2+LN_IF15</f>
        <v>57173924</v>
      </c>
      <c r="E215" s="448">
        <f>D215-C215</f>
        <v>6510159</v>
      </c>
      <c r="F215" s="449">
        <f>IF(C215=0,0,E215/C215)</f>
        <v>0.12849733927196291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168148927</v>
      </c>
      <c r="D216" s="448">
        <f>LN_IF23-LN_IF24</f>
        <v>186332580</v>
      </c>
      <c r="E216" s="448">
        <f>D216-C216</f>
        <v>18183653</v>
      </c>
      <c r="F216" s="449">
        <f>IF(C216=0,0,E216/C216)</f>
        <v>0.10814016672256255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414508</v>
      </c>
      <c r="D221" s="448">
        <v>593771</v>
      </c>
      <c r="E221" s="448">
        <f t="shared" ref="E221:E230" si="24">D221-C221</f>
        <v>179263</v>
      </c>
      <c r="F221" s="449">
        <f t="shared" ref="F221:F230" si="25">IF(C221=0,0,E221/C221)</f>
        <v>0.43247174964053769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176111</v>
      </c>
      <c r="D222" s="448">
        <v>109681</v>
      </c>
      <c r="E222" s="448">
        <f t="shared" si="24"/>
        <v>-66430</v>
      </c>
      <c r="F222" s="449">
        <f t="shared" si="25"/>
        <v>-0.37720528530301911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0.42486755382284541</v>
      </c>
      <c r="D223" s="453">
        <f>IF(LN_IG1=0,0,LN_IG2/LN_IG1)</f>
        <v>0.18471936150468785</v>
      </c>
      <c r="E223" s="454">
        <f t="shared" si="24"/>
        <v>-0.24014819231815757</v>
      </c>
      <c r="F223" s="449">
        <f t="shared" si="25"/>
        <v>-0.56523071756684617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29</v>
      </c>
      <c r="D224" s="456">
        <v>30</v>
      </c>
      <c r="E224" s="456">
        <f t="shared" si="24"/>
        <v>1</v>
      </c>
      <c r="F224" s="449">
        <f t="shared" si="25"/>
        <v>3.4482758620689655E-2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0.74760000000000004</v>
      </c>
      <c r="D225" s="459">
        <v>0.99129999999999996</v>
      </c>
      <c r="E225" s="460">
        <f t="shared" si="24"/>
        <v>0.24369999999999992</v>
      </c>
      <c r="F225" s="449">
        <f t="shared" si="25"/>
        <v>0.32597645799892977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21.680400000000002</v>
      </c>
      <c r="D226" s="463">
        <f>LN_IG3*LN_IG4</f>
        <v>29.738999999999997</v>
      </c>
      <c r="E226" s="463">
        <f t="shared" si="24"/>
        <v>8.0585999999999949</v>
      </c>
      <c r="F226" s="449">
        <f t="shared" si="25"/>
        <v>0.37169978413682375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8123.0512352170617</v>
      </c>
      <c r="D227" s="465">
        <f>IF(LN_IG5=0,0,LN_IG2/LN_IG5)</f>
        <v>3688.1199771344031</v>
      </c>
      <c r="E227" s="465">
        <f t="shared" si="24"/>
        <v>-4434.931258082659</v>
      </c>
      <c r="F227" s="449">
        <f t="shared" si="25"/>
        <v>-0.54596864277492774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97</v>
      </c>
      <c r="D228" s="456">
        <v>110</v>
      </c>
      <c r="E228" s="456">
        <f t="shared" si="24"/>
        <v>13</v>
      </c>
      <c r="F228" s="449">
        <f t="shared" si="25"/>
        <v>0.13402061855670103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1815.5773195876288</v>
      </c>
      <c r="D229" s="465">
        <f>IF(LN_IG6=0,0,LN_IG2/LN_IG6)</f>
        <v>997.1</v>
      </c>
      <c r="E229" s="465">
        <f t="shared" si="24"/>
        <v>-818.47731958762881</v>
      </c>
      <c r="F229" s="449">
        <f t="shared" si="25"/>
        <v>-0.45080829703993502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3.3448275862068964</v>
      </c>
      <c r="D230" s="466">
        <f>IF(LN_IG3=0,0,LN_IG6/LN_IG3)</f>
        <v>3.6666666666666665</v>
      </c>
      <c r="E230" s="466">
        <f t="shared" si="24"/>
        <v>0.32183908045977017</v>
      </c>
      <c r="F230" s="449">
        <f t="shared" si="25"/>
        <v>9.6219931271477682E-2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527215</v>
      </c>
      <c r="D233" s="448">
        <v>438381</v>
      </c>
      <c r="E233" s="448">
        <f>D233-C233</f>
        <v>-88834</v>
      </c>
      <c r="F233" s="449">
        <f>IF(C233=0,0,E233/C233)</f>
        <v>-0.16849672334815968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167724</v>
      </c>
      <c r="D234" s="448">
        <v>42995</v>
      </c>
      <c r="E234" s="448">
        <f>D234-C234</f>
        <v>-124729</v>
      </c>
      <c r="F234" s="449">
        <f>IF(C234=0,0,E234/C234)</f>
        <v>-0.743656244783096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941723</v>
      </c>
      <c r="D237" s="448">
        <f>LN_IG1+LN_IG9</f>
        <v>1032152</v>
      </c>
      <c r="E237" s="448">
        <f>D237-C237</f>
        <v>90429</v>
      </c>
      <c r="F237" s="449">
        <f>IF(C237=0,0,E237/C237)</f>
        <v>9.6025051952644255E-2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343835</v>
      </c>
      <c r="D238" s="448">
        <f>LN_IG2+LN_IG10</f>
        <v>152676</v>
      </c>
      <c r="E238" s="448">
        <f>D238-C238</f>
        <v>-191159</v>
      </c>
      <c r="F238" s="449">
        <f>IF(C238=0,0,E238/C238)</f>
        <v>-0.55596143499062045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597888</v>
      </c>
      <c r="D239" s="448">
        <f>LN_IG13-LN_IG14</f>
        <v>879476</v>
      </c>
      <c r="E239" s="448">
        <f>D239-C239</f>
        <v>281588</v>
      </c>
      <c r="F239" s="449">
        <f>IF(C239=0,0,E239/C239)</f>
        <v>0.47097115178762577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12640000</v>
      </c>
      <c r="D243" s="448">
        <v>15967000</v>
      </c>
      <c r="E243" s="441">
        <f>D243-C243</f>
        <v>3327000</v>
      </c>
      <c r="F243" s="503">
        <f>IF(C243=0,0,E243/C243)</f>
        <v>0.26321202531645571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373601000</v>
      </c>
      <c r="D244" s="448">
        <v>394491000</v>
      </c>
      <c r="E244" s="441">
        <f>D244-C244</f>
        <v>20890000</v>
      </c>
      <c r="F244" s="503">
        <f>IF(C244=0,0,E244/C244)</f>
        <v>5.5915267892751891E-2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15330000</v>
      </c>
      <c r="D248" s="441">
        <v>14991000</v>
      </c>
      <c r="E248" s="441">
        <f>D248-C248</f>
        <v>-339000</v>
      </c>
      <c r="F248" s="449">
        <f>IF(C248=0,0,E248/C248)</f>
        <v>-2.2113502935420744E-2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27411000</v>
      </c>
      <c r="D249" s="441">
        <v>25817000</v>
      </c>
      <c r="E249" s="441">
        <f>D249-C249</f>
        <v>-1594000</v>
      </c>
      <c r="F249" s="449">
        <f>IF(C249=0,0,E249/C249)</f>
        <v>-5.8151836853817813E-2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42741000</v>
      </c>
      <c r="D250" s="441">
        <f>LN_IH4+LN_IH5</f>
        <v>40808000</v>
      </c>
      <c r="E250" s="441">
        <f>D250-C250</f>
        <v>-1933000</v>
      </c>
      <c r="F250" s="449">
        <f>IF(C250=0,0,E250/C250)</f>
        <v>-4.5225895510165884E-2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14677503.325582992</v>
      </c>
      <c r="D251" s="441">
        <f>LN_IH6*LN_III10</f>
        <v>13352021.900405467</v>
      </c>
      <c r="E251" s="441">
        <f>D251-C251</f>
        <v>-1325481.4251775257</v>
      </c>
      <c r="F251" s="449">
        <f>IF(C251=0,0,E251/C251)</f>
        <v>-9.0307009017480663E-2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218812692</v>
      </c>
      <c r="D254" s="441">
        <f>LN_IF23</f>
        <v>243506504</v>
      </c>
      <c r="E254" s="441">
        <f>D254-C254</f>
        <v>24693812</v>
      </c>
      <c r="F254" s="449">
        <f>IF(C254=0,0,E254/C254)</f>
        <v>0.11285365475966083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50663765</v>
      </c>
      <c r="D255" s="441">
        <f>LN_IF24</f>
        <v>57173924</v>
      </c>
      <c r="E255" s="441">
        <f>D255-C255</f>
        <v>6510159</v>
      </c>
      <c r="F255" s="449">
        <f>IF(C255=0,0,E255/C255)</f>
        <v>0.12849733927196291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75141527.210635394</v>
      </c>
      <c r="D256" s="441">
        <f>LN_IH8*LN_III10</f>
        <v>79673205.604272977</v>
      </c>
      <c r="E256" s="441">
        <f>D256-C256</f>
        <v>4531678.3936375827</v>
      </c>
      <c r="F256" s="449">
        <f>IF(C256=0,0,E256/C256)</f>
        <v>6.0308574524103861E-2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24477762.210635394</v>
      </c>
      <c r="D257" s="441">
        <f>LN_IH10-LN_IH9</f>
        <v>22499281.604272977</v>
      </c>
      <c r="E257" s="441">
        <f>D257-C257</f>
        <v>-1978480.6063624173</v>
      </c>
      <c r="F257" s="449">
        <f>IF(C257=0,0,E257/C257)</f>
        <v>-8.0827674904970809E-2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729135968</v>
      </c>
      <c r="D261" s="448">
        <f>LN_IA1+LN_IB1+LN_IF1+LN_IG1</f>
        <v>762459747</v>
      </c>
      <c r="E261" s="448">
        <f t="shared" ref="E261:E274" si="26">D261-C261</f>
        <v>33323779</v>
      </c>
      <c r="F261" s="503">
        <f t="shared" ref="F261:F274" si="27">IF(C261=0,0,E261/C261)</f>
        <v>4.5703106776375624E-2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254416074</v>
      </c>
      <c r="D262" s="448">
        <f>+LN_IA2+LN_IB2+LN_IF2+LN_IG2</f>
        <v>256665074</v>
      </c>
      <c r="E262" s="448">
        <f t="shared" si="26"/>
        <v>2249000</v>
      </c>
      <c r="F262" s="503">
        <f t="shared" si="27"/>
        <v>8.8398502682656751E-3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0.34892816314885183</v>
      </c>
      <c r="D263" s="453">
        <f>IF(LN_IIA1=0,0,LN_IIA2/LN_IIA1)</f>
        <v>0.3366277039671709</v>
      </c>
      <c r="E263" s="454">
        <f t="shared" si="26"/>
        <v>-1.2300459181680934E-2</v>
      </c>
      <c r="F263" s="458">
        <f t="shared" si="27"/>
        <v>-3.525212488059782E-2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21912</v>
      </c>
      <c r="D264" s="456">
        <f>LN_IA4+LN_IB4+LN_IF4+LN_IG3</f>
        <v>20324</v>
      </c>
      <c r="E264" s="456">
        <f t="shared" si="26"/>
        <v>-1588</v>
      </c>
      <c r="F264" s="503">
        <f t="shared" si="27"/>
        <v>-7.2471705001825482E-2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1.2991278751369113</v>
      </c>
      <c r="D265" s="525">
        <f>IF(LN_IIA4=0,0,LN_IIA6/LN_IIA4)</f>
        <v>1.3418493898838812</v>
      </c>
      <c r="E265" s="525">
        <f t="shared" si="26"/>
        <v>4.2721514746969946E-2</v>
      </c>
      <c r="F265" s="503">
        <f t="shared" si="27"/>
        <v>3.2884764898503657E-2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28466.49</v>
      </c>
      <c r="D266" s="463">
        <f>LN_IA6+LN_IB6+LN_IF6+LN_IG5</f>
        <v>27271.747000000003</v>
      </c>
      <c r="E266" s="463">
        <f t="shared" si="26"/>
        <v>-1194.7429999999986</v>
      </c>
      <c r="F266" s="503">
        <f t="shared" si="27"/>
        <v>-4.197015508410059E-2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387049978</v>
      </c>
      <c r="D267" s="448">
        <f>LN_IA11+LN_IB13+LN_IF14+LN_IG9</f>
        <v>430225751</v>
      </c>
      <c r="E267" s="448">
        <f t="shared" si="26"/>
        <v>43175773</v>
      </c>
      <c r="F267" s="503">
        <f t="shared" si="27"/>
        <v>0.11155089899010406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0.53083374704675113</v>
      </c>
      <c r="D268" s="453">
        <f>IF(LN_IIA1=0,0,LN_IIA7/LN_IIA1)</f>
        <v>0.56426028087749003</v>
      </c>
      <c r="E268" s="454">
        <f t="shared" si="26"/>
        <v>3.3426533830738903E-2</v>
      </c>
      <c r="F268" s="458">
        <f t="shared" si="27"/>
        <v>6.2969873367517817E-2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136529611</v>
      </c>
      <c r="D269" s="448">
        <f>LN_IA12+LN_IB14+LN_IF15+LN_IG10</f>
        <v>148434203</v>
      </c>
      <c r="E269" s="448">
        <f t="shared" si="26"/>
        <v>11904592</v>
      </c>
      <c r="F269" s="503">
        <f t="shared" si="27"/>
        <v>8.7194213129340864E-2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0.35274413838101293</v>
      </c>
      <c r="D270" s="453">
        <f>IF(LN_IIA7=0,0,LN_IIA9/LN_IIA7)</f>
        <v>0.34501468741697888</v>
      </c>
      <c r="E270" s="454">
        <f t="shared" si="26"/>
        <v>-7.7294509640340459E-3</v>
      </c>
      <c r="F270" s="458">
        <f t="shared" si="27"/>
        <v>-2.1912344169657497E-2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1116185946</v>
      </c>
      <c r="D271" s="441">
        <f>LN_IIA1+LN_IIA7</f>
        <v>1192685498</v>
      </c>
      <c r="E271" s="441">
        <f t="shared" si="26"/>
        <v>76499552</v>
      </c>
      <c r="F271" s="503">
        <f t="shared" si="27"/>
        <v>6.8536566218331513E-2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390945685</v>
      </c>
      <c r="D272" s="441">
        <f>LN_IIA2+LN_IIA9</f>
        <v>405099277</v>
      </c>
      <c r="E272" s="441">
        <f t="shared" si="26"/>
        <v>14153592</v>
      </c>
      <c r="F272" s="503">
        <f t="shared" si="27"/>
        <v>3.6203474147566049E-2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0.35025139529932764</v>
      </c>
      <c r="D273" s="453">
        <f>IF(LN_IIA11=0,0,LN_IIA12/LN_IIA11)</f>
        <v>0.33965305831194065</v>
      </c>
      <c r="E273" s="454">
        <f t="shared" si="26"/>
        <v>-1.0598336987386991E-2</v>
      </c>
      <c r="F273" s="458">
        <f t="shared" si="27"/>
        <v>-3.0259228455976794E-2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122878</v>
      </c>
      <c r="D274" s="508">
        <f>LN_IA8+LN_IB10+LN_IF11+LN_IG6</f>
        <v>120574</v>
      </c>
      <c r="E274" s="528">
        <f t="shared" si="26"/>
        <v>-2304</v>
      </c>
      <c r="F274" s="458">
        <f t="shared" si="27"/>
        <v>-1.8750305180748383E-2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534947242</v>
      </c>
      <c r="D277" s="448">
        <f>LN_IA1+LN_IF1+LN_IG1</f>
        <v>580565091</v>
      </c>
      <c r="E277" s="448">
        <f t="shared" ref="E277:E291" si="28">D277-C277</f>
        <v>45617849</v>
      </c>
      <c r="F277" s="503">
        <f t="shared" ref="F277:F291" si="29">IF(C277=0,0,E277/C277)</f>
        <v>8.5275416748480035E-2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158163187</v>
      </c>
      <c r="D278" s="448">
        <f>LN_IA2+LN_IF2+LN_IG2</f>
        <v>161551810</v>
      </c>
      <c r="E278" s="448">
        <f t="shared" si="28"/>
        <v>3388623</v>
      </c>
      <c r="F278" s="503">
        <f t="shared" si="29"/>
        <v>2.1424852800923898E-2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0.29566128130444685</v>
      </c>
      <c r="D279" s="453">
        <f>IF(D277=0,0,LN_IIB2/D277)</f>
        <v>0.2782664898465278</v>
      </c>
      <c r="E279" s="454">
        <f t="shared" si="28"/>
        <v>-1.7394791457919057E-2</v>
      </c>
      <c r="F279" s="458">
        <f t="shared" si="29"/>
        <v>-5.8833511717103666E-2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14993</v>
      </c>
      <c r="D280" s="456">
        <f>LN_IA4+LN_IF4+LN_IG3</f>
        <v>14301</v>
      </c>
      <c r="E280" s="456">
        <f t="shared" si="28"/>
        <v>-692</v>
      </c>
      <c r="F280" s="503">
        <f t="shared" si="29"/>
        <v>-4.6154872273727741E-2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1.3262758820783034</v>
      </c>
      <c r="D281" s="525">
        <f>IF(LN_IIB4=0,0,LN_IIB6/LN_IIB4)</f>
        <v>1.3693297811341865</v>
      </c>
      <c r="E281" s="525">
        <f t="shared" si="28"/>
        <v>4.3053899055883083E-2</v>
      </c>
      <c r="F281" s="503">
        <f t="shared" si="29"/>
        <v>3.2462249851378341E-2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19884.854300000003</v>
      </c>
      <c r="D282" s="463">
        <f>LN_IA6+LN_IF6+LN_IG5</f>
        <v>19582.785200000002</v>
      </c>
      <c r="E282" s="463">
        <f t="shared" si="28"/>
        <v>-302.06910000000062</v>
      </c>
      <c r="F282" s="503">
        <f t="shared" si="29"/>
        <v>-1.5190913417957535E-2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208389897</v>
      </c>
      <c r="D283" s="448">
        <f>LN_IA11+LN_IF14+LN_IG9</f>
        <v>238993311</v>
      </c>
      <c r="E283" s="448">
        <f t="shared" si="28"/>
        <v>30603414</v>
      </c>
      <c r="F283" s="503">
        <f t="shared" si="29"/>
        <v>0.14685651483382614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0.38955224111614356</v>
      </c>
      <c r="D284" s="453">
        <f>IF(D277=0,0,LN_IIB7/D277)</f>
        <v>0.41165635809818263</v>
      </c>
      <c r="E284" s="454">
        <f t="shared" si="28"/>
        <v>2.2104116982039068E-2</v>
      </c>
      <c r="F284" s="458">
        <f t="shared" si="29"/>
        <v>5.6742368927737236E-2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54915005</v>
      </c>
      <c r="D285" s="448">
        <f>LN_IA12+LN_IF15+LN_IG10</f>
        <v>56456813</v>
      </c>
      <c r="E285" s="448">
        <f t="shared" si="28"/>
        <v>1541808</v>
      </c>
      <c r="F285" s="503">
        <f t="shared" si="29"/>
        <v>2.8076260759695826E-2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0.26352047671485723</v>
      </c>
      <c r="D286" s="453">
        <f>IF(LN_IIB7=0,0,LN_IIB9/LN_IIB7)</f>
        <v>0.23622758630261415</v>
      </c>
      <c r="E286" s="454">
        <f t="shared" si="28"/>
        <v>-2.7292890412243087E-2</v>
      </c>
      <c r="F286" s="458">
        <f t="shared" si="29"/>
        <v>-0.10357028323751631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743337139</v>
      </c>
      <c r="D287" s="441">
        <f>D277+LN_IIB7</f>
        <v>819558402</v>
      </c>
      <c r="E287" s="441">
        <f t="shared" si="28"/>
        <v>76221263</v>
      </c>
      <c r="F287" s="503">
        <f t="shared" si="29"/>
        <v>0.10253929072148782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213078192</v>
      </c>
      <c r="D288" s="441">
        <f>LN_IIB2+LN_IIB9</f>
        <v>218008623</v>
      </c>
      <c r="E288" s="441">
        <f t="shared" si="28"/>
        <v>4930431</v>
      </c>
      <c r="F288" s="503">
        <f t="shared" si="29"/>
        <v>2.3139069060619775E-2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0.28665080865816933</v>
      </c>
      <c r="D289" s="453">
        <f>IF(LN_IIB11=0,0,LN_IIB12/LN_IIB11)</f>
        <v>0.26600742847365744</v>
      </c>
      <c r="E289" s="454">
        <f t="shared" si="28"/>
        <v>-2.0643380184511895E-2</v>
      </c>
      <c r="F289" s="458">
        <f t="shared" si="29"/>
        <v>-7.2015775155649733E-2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91197</v>
      </c>
      <c r="D290" s="508">
        <f>LN_IA8+LN_IF11+LN_IG6</f>
        <v>93140</v>
      </c>
      <c r="E290" s="528">
        <f t="shared" si="28"/>
        <v>1943</v>
      </c>
      <c r="F290" s="458">
        <f t="shared" si="29"/>
        <v>2.1305525401054858E-2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530258947</v>
      </c>
      <c r="D291" s="516">
        <f>LN_IIB11-LN_IIB12</f>
        <v>601549779</v>
      </c>
      <c r="E291" s="441">
        <f t="shared" si="28"/>
        <v>71290832</v>
      </c>
      <c r="F291" s="503">
        <f t="shared" si="29"/>
        <v>0.13444531658227729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6.2621885157096422</v>
      </c>
      <c r="D294" s="466">
        <f>IF(LN_IA4=0,0,LN_IA8/LN_IA4)</f>
        <v>6.7247120418848167</v>
      </c>
      <c r="E294" s="466">
        <f t="shared" ref="E294:E300" si="30">D294-C294</f>
        <v>0.46252352617517456</v>
      </c>
      <c r="F294" s="503">
        <f t="shared" ref="F294:F300" si="31">IF(C294=0,0,E294/C294)</f>
        <v>7.3859725719668881E-2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4.5788408729585202</v>
      </c>
      <c r="D295" s="466">
        <f>IF(LN_IB4=0,0,(LN_IB10)/(LN_IB4))</f>
        <v>4.5548729868836126</v>
      </c>
      <c r="E295" s="466">
        <f t="shared" si="30"/>
        <v>-2.3967886074907518E-2</v>
      </c>
      <c r="F295" s="503">
        <f t="shared" si="31"/>
        <v>-5.2344876661811531E-3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4.8747368421052633</v>
      </c>
      <c r="D296" s="466">
        <f>IF(LN_IC4=0,0,LN_IC11/LN_IC4)</f>
        <v>5.3757881462799499</v>
      </c>
      <c r="E296" s="466">
        <f t="shared" si="30"/>
        <v>0.50105130417468668</v>
      </c>
      <c r="F296" s="503">
        <f t="shared" si="31"/>
        <v>0.1027853031669083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5.7146448774355747</v>
      </c>
      <c r="D297" s="466">
        <f>IF(LN_ID4=0,0,LN_ID11/LN_ID4)</f>
        <v>6.0937033084311629</v>
      </c>
      <c r="E297" s="466">
        <f t="shared" si="30"/>
        <v>0.37905843099558822</v>
      </c>
      <c r="F297" s="503">
        <f t="shared" si="31"/>
        <v>6.6331056281784082E-2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6.4210526315789478</v>
      </c>
      <c r="D298" s="466">
        <f>IF(LN_IE4=0,0,LN_IE11/LN_IE4)</f>
        <v>7.2222222222222223</v>
      </c>
      <c r="E298" s="466">
        <f t="shared" si="30"/>
        <v>0.80116959064327453</v>
      </c>
      <c r="F298" s="503">
        <f t="shared" si="31"/>
        <v>0.1247723132969034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3.3448275862068964</v>
      </c>
      <c r="D299" s="466">
        <f>IF(LN_IG3=0,0,LN_IG6/LN_IG3)</f>
        <v>3.6666666666666665</v>
      </c>
      <c r="E299" s="466">
        <f t="shared" si="30"/>
        <v>0.32183908045977017</v>
      </c>
      <c r="F299" s="503">
        <f t="shared" si="31"/>
        <v>9.6219931271477682E-2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5.607794815626141</v>
      </c>
      <c r="D300" s="466">
        <f>IF(LN_IIA4=0,0,LN_IIA14/LN_IIA4)</f>
        <v>5.9325920094469593</v>
      </c>
      <c r="E300" s="466">
        <f t="shared" si="30"/>
        <v>0.32479719382081829</v>
      </c>
      <c r="F300" s="503">
        <f t="shared" si="31"/>
        <v>5.7918879791352157E-2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1116185946</v>
      </c>
      <c r="D304" s="441">
        <f>LN_IIA11</f>
        <v>1192685498</v>
      </c>
      <c r="E304" s="441">
        <f t="shared" ref="E304:E316" si="32">D304-C304</f>
        <v>76499552</v>
      </c>
      <c r="F304" s="449">
        <f>IF(C304=0,0,E304/C304)</f>
        <v>6.8536566218331513E-2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530258947</v>
      </c>
      <c r="D305" s="441">
        <f>LN_IIB14</f>
        <v>601549779</v>
      </c>
      <c r="E305" s="441">
        <f t="shared" si="32"/>
        <v>71290832</v>
      </c>
      <c r="F305" s="449">
        <f>IF(C305=0,0,E305/C305)</f>
        <v>0.13444531658227729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42741000</v>
      </c>
      <c r="D306" s="441">
        <f>LN_IH6</f>
        <v>40808000</v>
      </c>
      <c r="E306" s="441">
        <f t="shared" si="32"/>
        <v>-1933000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146520421</v>
      </c>
      <c r="D307" s="441">
        <f>LN_IB32-LN_IB33</f>
        <v>144331512</v>
      </c>
      <c r="E307" s="441">
        <f t="shared" si="32"/>
        <v>-2188909</v>
      </c>
      <c r="F307" s="449">
        <f t="shared" ref="F307:F316" si="33">IF(C307=0,0,E307/C307)</f>
        <v>-1.4939275938880902E-2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13360954</v>
      </c>
      <c r="D308" s="441">
        <v>15759908</v>
      </c>
      <c r="E308" s="441">
        <f t="shared" si="32"/>
        <v>2398954</v>
      </c>
      <c r="F308" s="449">
        <f t="shared" si="33"/>
        <v>0.17954960401779693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732881322</v>
      </c>
      <c r="D309" s="441">
        <f>LN_III2+LN_III3+LN_III4+LN_III5</f>
        <v>802449199</v>
      </c>
      <c r="E309" s="441">
        <f t="shared" si="32"/>
        <v>69567877</v>
      </c>
      <c r="F309" s="449">
        <f t="shared" si="33"/>
        <v>9.4923795861180368E-2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383304624</v>
      </c>
      <c r="D310" s="441">
        <f>LN_III1-LN_III6</f>
        <v>390236299</v>
      </c>
      <c r="E310" s="441">
        <f t="shared" si="32"/>
        <v>6931675</v>
      </c>
      <c r="F310" s="449">
        <f t="shared" si="33"/>
        <v>1.8083984815168836E-2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383304624</v>
      </c>
      <c r="D312" s="441">
        <f>LN_III7+LN_III8</f>
        <v>390236299</v>
      </c>
      <c r="E312" s="441">
        <f t="shared" si="32"/>
        <v>6931675</v>
      </c>
      <c r="F312" s="449">
        <f t="shared" si="33"/>
        <v>1.8083984815168836E-2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0.34340570706307744</v>
      </c>
      <c r="D313" s="532">
        <f>IF(LN_III1=0,0,LN_III9/LN_III1)</f>
        <v>0.32719128358178462</v>
      </c>
      <c r="E313" s="532">
        <f t="shared" si="32"/>
        <v>-1.6214423481292817E-2</v>
      </c>
      <c r="F313" s="449">
        <f t="shared" si="33"/>
        <v>-4.7216523044896631E-2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14677503.325582992</v>
      </c>
      <c r="D314" s="441">
        <f>D313*LN_III5</f>
        <v>13352021.900405467</v>
      </c>
      <c r="E314" s="441">
        <f t="shared" si="32"/>
        <v>-1325481.4251775257</v>
      </c>
      <c r="F314" s="449">
        <f t="shared" si="33"/>
        <v>-9.0307009017480663E-2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24477762.210635394</v>
      </c>
      <c r="D315" s="441">
        <f>D313*LN_IH8-LN_IH9</f>
        <v>22499281.604272977</v>
      </c>
      <c r="E315" s="441">
        <f t="shared" si="32"/>
        <v>-1978480.6063624173</v>
      </c>
      <c r="F315" s="449">
        <f t="shared" si="33"/>
        <v>-8.0827674904970809E-2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39155265.53621839</v>
      </c>
      <c r="D318" s="441">
        <f>D314+D315+D316</f>
        <v>35851303.504678443</v>
      </c>
      <c r="E318" s="441">
        <f>D318-C318</f>
        <v>-3303962.0315399468</v>
      </c>
      <c r="F318" s="449">
        <f>IF(C318=0,0,E318/C318)</f>
        <v>-8.4381040105162897E-2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12832405.46518187</v>
      </c>
      <c r="D322" s="441">
        <f>LN_ID22</f>
        <v>15502222.676091405</v>
      </c>
      <c r="E322" s="441">
        <f>LN_IV2-C322</f>
        <v>2669817.2109095342</v>
      </c>
      <c r="F322" s="449">
        <f>IF(C322=0,0,E322/C322)</f>
        <v>0.2080527472540937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25693.999344656462</v>
      </c>
      <c r="D323" s="441">
        <f>LN_IE10+LN_IE22</f>
        <v>-128164.20031633537</v>
      </c>
      <c r="E323" s="441">
        <f>LN_IV3-C323</f>
        <v>-153858.19966099184</v>
      </c>
      <c r="F323" s="449">
        <f>IF(C323=0,0,E323/C323)</f>
        <v>-5.9880985282654908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20750235.496727686</v>
      </c>
      <c r="D324" s="441">
        <f>LN_IC10+LN_IC22</f>
        <v>18314706.098150939</v>
      </c>
      <c r="E324" s="441">
        <f>LN_IV1-C324</f>
        <v>-2435529.3985767476</v>
      </c>
      <c r="F324" s="449">
        <f>IF(C324=0,0,E324/C324)</f>
        <v>-0.11737357867388208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33608334.961254209</v>
      </c>
      <c r="D325" s="516">
        <f>LN_IV1+LN_IV2+LN_IV3</f>
        <v>33688764.573926009</v>
      </c>
      <c r="E325" s="441">
        <f>LN_IV4-C325</f>
        <v>80429.612671799958</v>
      </c>
      <c r="F325" s="449">
        <f>IF(C325=0,0,E325/C325)</f>
        <v>2.3931448185256499E-3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21473522</v>
      </c>
      <c r="D329" s="518">
        <v>23556144</v>
      </c>
      <c r="E329" s="518">
        <f t="shared" ref="E329:E335" si="34">D329-C329</f>
        <v>2082622</v>
      </c>
      <c r="F329" s="542">
        <f t="shared" ref="F329:F335" si="35">IF(C329=0,0,E329/C329)</f>
        <v>9.6985580660685286E-2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33619490</v>
      </c>
      <c r="D330" s="516">
        <v>3085057</v>
      </c>
      <c r="E330" s="518">
        <f t="shared" si="34"/>
        <v>-30534433</v>
      </c>
      <c r="F330" s="543">
        <f t="shared" si="35"/>
        <v>-0.90823605593065215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424565000</v>
      </c>
      <c r="D331" s="516">
        <v>408184000</v>
      </c>
      <c r="E331" s="518">
        <f t="shared" si="34"/>
        <v>-16381000</v>
      </c>
      <c r="F331" s="542">
        <f t="shared" si="35"/>
        <v>-3.8583020267803518E-2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1116186000</v>
      </c>
      <c r="D333" s="516">
        <v>1192685000</v>
      </c>
      <c r="E333" s="518">
        <f t="shared" si="34"/>
        <v>76499000</v>
      </c>
      <c r="F333" s="542">
        <f t="shared" si="35"/>
        <v>6.853606836136629E-2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42741000</v>
      </c>
      <c r="D335" s="516">
        <v>40808000</v>
      </c>
      <c r="E335" s="516">
        <f t="shared" si="34"/>
        <v>-1933000</v>
      </c>
      <c r="F335" s="542">
        <f t="shared" si="35"/>
        <v>-4.5225895510165884E-2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FILING&amp;RSAINT VINCENT`S MEDICAL CENTER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F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194188726</v>
      </c>
      <c r="D14" s="589">
        <v>181894656</v>
      </c>
      <c r="E14" s="590">
        <f t="shared" ref="E14:E22" si="0">D14-C14</f>
        <v>-12294070</v>
      </c>
    </row>
    <row r="15" spans="1:5" s="421" customFormat="1" x14ac:dyDescent="0.2">
      <c r="A15" s="588">
        <v>2</v>
      </c>
      <c r="B15" s="587" t="s">
        <v>635</v>
      </c>
      <c r="C15" s="589">
        <v>403033442</v>
      </c>
      <c r="D15" s="591">
        <v>438086271</v>
      </c>
      <c r="E15" s="590">
        <f t="shared" si="0"/>
        <v>35052829</v>
      </c>
    </row>
    <row r="16" spans="1:5" s="421" customFormat="1" x14ac:dyDescent="0.2">
      <c r="A16" s="588">
        <v>3</v>
      </c>
      <c r="B16" s="587" t="s">
        <v>777</v>
      </c>
      <c r="C16" s="589">
        <v>131499292</v>
      </c>
      <c r="D16" s="591">
        <v>141885049</v>
      </c>
      <c r="E16" s="590">
        <f t="shared" si="0"/>
        <v>10385757</v>
      </c>
    </row>
    <row r="17" spans="1:5" s="421" customFormat="1" x14ac:dyDescent="0.2">
      <c r="A17" s="588">
        <v>4</v>
      </c>
      <c r="B17" s="587" t="s">
        <v>115</v>
      </c>
      <c r="C17" s="589">
        <v>130452578</v>
      </c>
      <c r="D17" s="591">
        <v>140676638</v>
      </c>
      <c r="E17" s="590">
        <f t="shared" si="0"/>
        <v>10224060</v>
      </c>
    </row>
    <row r="18" spans="1:5" s="421" customFormat="1" x14ac:dyDescent="0.2">
      <c r="A18" s="588">
        <v>5</v>
      </c>
      <c r="B18" s="587" t="s">
        <v>743</v>
      </c>
      <c r="C18" s="589">
        <v>1046714</v>
      </c>
      <c r="D18" s="591">
        <v>1208411</v>
      </c>
      <c r="E18" s="590">
        <f t="shared" si="0"/>
        <v>161697</v>
      </c>
    </row>
    <row r="19" spans="1:5" s="421" customFormat="1" x14ac:dyDescent="0.2">
      <c r="A19" s="588">
        <v>6</v>
      </c>
      <c r="B19" s="587" t="s">
        <v>424</v>
      </c>
      <c r="C19" s="589">
        <v>414508</v>
      </c>
      <c r="D19" s="591">
        <v>593771</v>
      </c>
      <c r="E19" s="590">
        <f t="shared" si="0"/>
        <v>179263</v>
      </c>
    </row>
    <row r="20" spans="1:5" s="421" customFormat="1" x14ac:dyDescent="0.2">
      <c r="A20" s="588">
        <v>7</v>
      </c>
      <c r="B20" s="587" t="s">
        <v>758</v>
      </c>
      <c r="C20" s="589">
        <v>22641056</v>
      </c>
      <c r="D20" s="591">
        <v>21755534</v>
      </c>
      <c r="E20" s="590">
        <f t="shared" si="0"/>
        <v>-885522</v>
      </c>
    </row>
    <row r="21" spans="1:5" s="421" customFormat="1" x14ac:dyDescent="0.2">
      <c r="A21" s="588"/>
      <c r="B21" s="592" t="s">
        <v>778</v>
      </c>
      <c r="C21" s="593">
        <f>SUM(C15+C16+C19)</f>
        <v>534947242</v>
      </c>
      <c r="D21" s="593">
        <f>SUM(D15+D16+D19)</f>
        <v>580565091</v>
      </c>
      <c r="E21" s="593">
        <f t="shared" si="0"/>
        <v>45617849</v>
      </c>
    </row>
    <row r="22" spans="1:5" s="421" customFormat="1" x14ac:dyDescent="0.2">
      <c r="A22" s="588"/>
      <c r="B22" s="592" t="s">
        <v>465</v>
      </c>
      <c r="C22" s="593">
        <f>SUM(C14+C21)</f>
        <v>729135968</v>
      </c>
      <c r="D22" s="593">
        <f>SUM(D14+D21)</f>
        <v>762459747</v>
      </c>
      <c r="E22" s="593">
        <f t="shared" si="0"/>
        <v>33323779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178660081</v>
      </c>
      <c r="D25" s="589">
        <v>191232440</v>
      </c>
      <c r="E25" s="590">
        <f t="shared" ref="E25:E33" si="1">D25-C25</f>
        <v>12572359</v>
      </c>
    </row>
    <row r="26" spans="1:5" s="421" customFormat="1" x14ac:dyDescent="0.2">
      <c r="A26" s="588">
        <v>2</v>
      </c>
      <c r="B26" s="587" t="s">
        <v>635</v>
      </c>
      <c r="C26" s="589">
        <v>120549282</v>
      </c>
      <c r="D26" s="591">
        <v>136933475</v>
      </c>
      <c r="E26" s="590">
        <f t="shared" si="1"/>
        <v>16384193</v>
      </c>
    </row>
    <row r="27" spans="1:5" s="421" customFormat="1" x14ac:dyDescent="0.2">
      <c r="A27" s="588">
        <v>3</v>
      </c>
      <c r="B27" s="587" t="s">
        <v>777</v>
      </c>
      <c r="C27" s="589">
        <v>87313400</v>
      </c>
      <c r="D27" s="591">
        <v>101621455</v>
      </c>
      <c r="E27" s="590">
        <f t="shared" si="1"/>
        <v>14308055</v>
      </c>
    </row>
    <row r="28" spans="1:5" s="421" customFormat="1" x14ac:dyDescent="0.2">
      <c r="A28" s="588">
        <v>4</v>
      </c>
      <c r="B28" s="587" t="s">
        <v>115</v>
      </c>
      <c r="C28" s="589">
        <v>86636594</v>
      </c>
      <c r="D28" s="591">
        <v>100790177</v>
      </c>
      <c r="E28" s="590">
        <f t="shared" si="1"/>
        <v>14153583</v>
      </c>
    </row>
    <row r="29" spans="1:5" s="421" customFormat="1" x14ac:dyDescent="0.2">
      <c r="A29" s="588">
        <v>5</v>
      </c>
      <c r="B29" s="587" t="s">
        <v>743</v>
      </c>
      <c r="C29" s="589">
        <v>676806</v>
      </c>
      <c r="D29" s="591">
        <v>831278</v>
      </c>
      <c r="E29" s="590">
        <f t="shared" si="1"/>
        <v>154472</v>
      </c>
    </row>
    <row r="30" spans="1:5" s="421" customFormat="1" x14ac:dyDescent="0.2">
      <c r="A30" s="588">
        <v>6</v>
      </c>
      <c r="B30" s="587" t="s">
        <v>424</v>
      </c>
      <c r="C30" s="589">
        <v>527215</v>
      </c>
      <c r="D30" s="591">
        <v>438381</v>
      </c>
      <c r="E30" s="590">
        <f t="shared" si="1"/>
        <v>-88834</v>
      </c>
    </row>
    <row r="31" spans="1:5" s="421" customFormat="1" x14ac:dyDescent="0.2">
      <c r="A31" s="588">
        <v>7</v>
      </c>
      <c r="B31" s="587" t="s">
        <v>758</v>
      </c>
      <c r="C31" s="590">
        <v>31706504</v>
      </c>
      <c r="D31" s="594">
        <v>34649030</v>
      </c>
      <c r="E31" s="590">
        <f t="shared" si="1"/>
        <v>2942526</v>
      </c>
    </row>
    <row r="32" spans="1:5" s="421" customFormat="1" x14ac:dyDescent="0.2">
      <c r="A32" s="588"/>
      <c r="B32" s="592" t="s">
        <v>780</v>
      </c>
      <c r="C32" s="593">
        <f>SUM(C26+C27+C30)</f>
        <v>208389897</v>
      </c>
      <c r="D32" s="593">
        <f>SUM(D26+D27+D30)</f>
        <v>238993311</v>
      </c>
      <c r="E32" s="593">
        <f t="shared" si="1"/>
        <v>30603414</v>
      </c>
    </row>
    <row r="33" spans="1:5" s="421" customFormat="1" x14ac:dyDescent="0.2">
      <c r="A33" s="588"/>
      <c r="B33" s="592" t="s">
        <v>467</v>
      </c>
      <c r="C33" s="593">
        <f>SUM(C25+C32)</f>
        <v>387049978</v>
      </c>
      <c r="D33" s="593">
        <f>SUM(D25+D32)</f>
        <v>430225751</v>
      </c>
      <c r="E33" s="593">
        <f t="shared" si="1"/>
        <v>43175773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372848807</v>
      </c>
      <c r="D36" s="590">
        <f t="shared" si="2"/>
        <v>373127096</v>
      </c>
      <c r="E36" s="590">
        <f t="shared" ref="E36:E44" si="3">D36-C36</f>
        <v>278289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523582724</v>
      </c>
      <c r="D37" s="590">
        <f t="shared" si="2"/>
        <v>575019746</v>
      </c>
      <c r="E37" s="590">
        <f t="shared" si="3"/>
        <v>51437022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218812692</v>
      </c>
      <c r="D38" s="590">
        <f t="shared" si="2"/>
        <v>243506504</v>
      </c>
      <c r="E38" s="590">
        <f t="shared" si="3"/>
        <v>24693812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217089172</v>
      </c>
      <c r="D39" s="590">
        <f t="shared" si="2"/>
        <v>241466815</v>
      </c>
      <c r="E39" s="590">
        <f t="shared" si="3"/>
        <v>24377643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1723520</v>
      </c>
      <c r="D40" s="590">
        <f t="shared" si="2"/>
        <v>2039689</v>
      </c>
      <c r="E40" s="590">
        <f t="shared" si="3"/>
        <v>316169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941723</v>
      </c>
      <c r="D41" s="590">
        <f t="shared" si="2"/>
        <v>1032152</v>
      </c>
      <c r="E41" s="590">
        <f t="shared" si="3"/>
        <v>90429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54347560</v>
      </c>
      <c r="D42" s="590">
        <f t="shared" si="2"/>
        <v>56404564</v>
      </c>
      <c r="E42" s="590">
        <f t="shared" si="3"/>
        <v>2057004</v>
      </c>
    </row>
    <row r="43" spans="1:5" s="421" customFormat="1" x14ac:dyDescent="0.2">
      <c r="A43" s="588"/>
      <c r="B43" s="592" t="s">
        <v>788</v>
      </c>
      <c r="C43" s="593">
        <f>SUM(C37+C38+C41)</f>
        <v>743337139</v>
      </c>
      <c r="D43" s="593">
        <f>SUM(D37+D38+D41)</f>
        <v>819558402</v>
      </c>
      <c r="E43" s="593">
        <f t="shared" si="3"/>
        <v>76221263</v>
      </c>
    </row>
    <row r="44" spans="1:5" s="421" customFormat="1" x14ac:dyDescent="0.2">
      <c r="A44" s="588"/>
      <c r="B44" s="592" t="s">
        <v>725</v>
      </c>
      <c r="C44" s="593">
        <f>SUM(C36+C43)</f>
        <v>1116185946</v>
      </c>
      <c r="D44" s="593">
        <f>SUM(D36+D43)</f>
        <v>1192685498</v>
      </c>
      <c r="E44" s="593">
        <f t="shared" si="3"/>
        <v>76499552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96252887</v>
      </c>
      <c r="D47" s="589">
        <v>95113264</v>
      </c>
      <c r="E47" s="590">
        <f t="shared" ref="E47:E55" si="4">D47-C47</f>
        <v>-1139623</v>
      </c>
    </row>
    <row r="48" spans="1:5" s="421" customFormat="1" x14ac:dyDescent="0.2">
      <c r="A48" s="588">
        <v>2</v>
      </c>
      <c r="B48" s="587" t="s">
        <v>635</v>
      </c>
      <c r="C48" s="589">
        <v>129068775</v>
      </c>
      <c r="D48" s="591">
        <v>126929300</v>
      </c>
      <c r="E48" s="590">
        <f t="shared" si="4"/>
        <v>-2139475</v>
      </c>
    </row>
    <row r="49" spans="1:5" s="421" customFormat="1" x14ac:dyDescent="0.2">
      <c r="A49" s="588">
        <v>3</v>
      </c>
      <c r="B49" s="587" t="s">
        <v>777</v>
      </c>
      <c r="C49" s="589">
        <v>28918301</v>
      </c>
      <c r="D49" s="591">
        <v>34512829</v>
      </c>
      <c r="E49" s="590">
        <f t="shared" si="4"/>
        <v>5594528</v>
      </c>
    </row>
    <row r="50" spans="1:5" s="421" customFormat="1" x14ac:dyDescent="0.2">
      <c r="A50" s="588">
        <v>4</v>
      </c>
      <c r="B50" s="587" t="s">
        <v>115</v>
      </c>
      <c r="C50" s="589">
        <v>28470717</v>
      </c>
      <c r="D50" s="591">
        <v>34020629</v>
      </c>
      <c r="E50" s="590">
        <f t="shared" si="4"/>
        <v>5549912</v>
      </c>
    </row>
    <row r="51" spans="1:5" s="421" customFormat="1" x14ac:dyDescent="0.2">
      <c r="A51" s="588">
        <v>5</v>
      </c>
      <c r="B51" s="587" t="s">
        <v>743</v>
      </c>
      <c r="C51" s="589">
        <v>447584</v>
      </c>
      <c r="D51" s="591">
        <v>492200</v>
      </c>
      <c r="E51" s="590">
        <f t="shared" si="4"/>
        <v>44616</v>
      </c>
    </row>
    <row r="52" spans="1:5" s="421" customFormat="1" x14ac:dyDescent="0.2">
      <c r="A52" s="588">
        <v>6</v>
      </c>
      <c r="B52" s="587" t="s">
        <v>424</v>
      </c>
      <c r="C52" s="589">
        <v>176111</v>
      </c>
      <c r="D52" s="591">
        <v>109681</v>
      </c>
      <c r="E52" s="590">
        <f t="shared" si="4"/>
        <v>-66430</v>
      </c>
    </row>
    <row r="53" spans="1:5" s="421" customFormat="1" x14ac:dyDescent="0.2">
      <c r="A53" s="588">
        <v>7</v>
      </c>
      <c r="B53" s="587" t="s">
        <v>758</v>
      </c>
      <c r="C53" s="589">
        <v>580976</v>
      </c>
      <c r="D53" s="591">
        <v>167941</v>
      </c>
      <c r="E53" s="590">
        <f t="shared" si="4"/>
        <v>-413035</v>
      </c>
    </row>
    <row r="54" spans="1:5" s="421" customFormat="1" x14ac:dyDescent="0.2">
      <c r="A54" s="588"/>
      <c r="B54" s="592" t="s">
        <v>790</v>
      </c>
      <c r="C54" s="593">
        <f>SUM(C48+C49+C52)</f>
        <v>158163187</v>
      </c>
      <c r="D54" s="593">
        <f>SUM(D48+D49+D52)</f>
        <v>161551810</v>
      </c>
      <c r="E54" s="593">
        <f t="shared" si="4"/>
        <v>3388623</v>
      </c>
    </row>
    <row r="55" spans="1:5" s="421" customFormat="1" x14ac:dyDescent="0.2">
      <c r="A55" s="588"/>
      <c r="B55" s="592" t="s">
        <v>466</v>
      </c>
      <c r="C55" s="593">
        <f>SUM(C47+C54)</f>
        <v>254416074</v>
      </c>
      <c r="D55" s="593">
        <f>SUM(D47+D54)</f>
        <v>256665074</v>
      </c>
      <c r="E55" s="593">
        <f t="shared" si="4"/>
        <v>2249000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81614606</v>
      </c>
      <c r="D58" s="589">
        <v>91977390</v>
      </c>
      <c r="E58" s="590">
        <f t="shared" ref="E58:E66" si="5">D58-C58</f>
        <v>10362784</v>
      </c>
    </row>
    <row r="59" spans="1:5" s="421" customFormat="1" x14ac:dyDescent="0.2">
      <c r="A59" s="588">
        <v>2</v>
      </c>
      <c r="B59" s="587" t="s">
        <v>635</v>
      </c>
      <c r="C59" s="589">
        <v>33001817</v>
      </c>
      <c r="D59" s="591">
        <v>33752723</v>
      </c>
      <c r="E59" s="590">
        <f t="shared" si="5"/>
        <v>750906</v>
      </c>
    </row>
    <row r="60" spans="1:5" s="421" customFormat="1" x14ac:dyDescent="0.2">
      <c r="A60" s="588">
        <v>3</v>
      </c>
      <c r="B60" s="587" t="s">
        <v>777</v>
      </c>
      <c r="C60" s="589">
        <f>C61+C62</f>
        <v>21745464</v>
      </c>
      <c r="D60" s="591">
        <f>D61+D62</f>
        <v>22661095</v>
      </c>
      <c r="E60" s="590">
        <f t="shared" si="5"/>
        <v>915631</v>
      </c>
    </row>
    <row r="61" spans="1:5" s="421" customFormat="1" x14ac:dyDescent="0.2">
      <c r="A61" s="588">
        <v>4</v>
      </c>
      <c r="B61" s="587" t="s">
        <v>115</v>
      </c>
      <c r="C61" s="589">
        <v>21615281</v>
      </c>
      <c r="D61" s="591">
        <v>22452103</v>
      </c>
      <c r="E61" s="590">
        <f t="shared" si="5"/>
        <v>836822</v>
      </c>
    </row>
    <row r="62" spans="1:5" s="421" customFormat="1" x14ac:dyDescent="0.2">
      <c r="A62" s="588">
        <v>5</v>
      </c>
      <c r="B62" s="587" t="s">
        <v>743</v>
      </c>
      <c r="C62" s="589">
        <v>130183</v>
      </c>
      <c r="D62" s="591">
        <v>208992</v>
      </c>
      <c r="E62" s="590">
        <f t="shared" si="5"/>
        <v>78809</v>
      </c>
    </row>
    <row r="63" spans="1:5" s="421" customFormat="1" x14ac:dyDescent="0.2">
      <c r="A63" s="588">
        <v>6</v>
      </c>
      <c r="B63" s="587" t="s">
        <v>424</v>
      </c>
      <c r="C63" s="589">
        <v>167724</v>
      </c>
      <c r="D63" s="591">
        <v>42995</v>
      </c>
      <c r="E63" s="590">
        <f t="shared" si="5"/>
        <v>-124729</v>
      </c>
    </row>
    <row r="64" spans="1:5" s="421" customFormat="1" x14ac:dyDescent="0.2">
      <c r="A64" s="588">
        <v>7</v>
      </c>
      <c r="B64" s="587" t="s">
        <v>758</v>
      </c>
      <c r="C64" s="589">
        <v>1876106</v>
      </c>
      <c r="D64" s="591">
        <v>3298310</v>
      </c>
      <c r="E64" s="590">
        <f t="shared" si="5"/>
        <v>1422204</v>
      </c>
    </row>
    <row r="65" spans="1:5" s="421" customFormat="1" x14ac:dyDescent="0.2">
      <c r="A65" s="588"/>
      <c r="B65" s="592" t="s">
        <v>792</v>
      </c>
      <c r="C65" s="593">
        <f>SUM(C59+C60+C63)</f>
        <v>54915005</v>
      </c>
      <c r="D65" s="593">
        <f>SUM(D59+D60+D63)</f>
        <v>56456813</v>
      </c>
      <c r="E65" s="593">
        <f t="shared" si="5"/>
        <v>1541808</v>
      </c>
    </row>
    <row r="66" spans="1:5" s="421" customFormat="1" x14ac:dyDescent="0.2">
      <c r="A66" s="588"/>
      <c r="B66" s="592" t="s">
        <v>468</v>
      </c>
      <c r="C66" s="593">
        <f>SUM(C58+C65)</f>
        <v>136529611</v>
      </c>
      <c r="D66" s="593">
        <f>SUM(D58+D65)</f>
        <v>148434203</v>
      </c>
      <c r="E66" s="593">
        <f t="shared" si="5"/>
        <v>11904592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177867493</v>
      </c>
      <c r="D69" s="590">
        <f t="shared" si="6"/>
        <v>187090654</v>
      </c>
      <c r="E69" s="590">
        <f t="shared" ref="E69:E77" si="7">D69-C69</f>
        <v>9223161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162070592</v>
      </c>
      <c r="D70" s="590">
        <f t="shared" si="6"/>
        <v>160682023</v>
      </c>
      <c r="E70" s="590">
        <f t="shared" si="7"/>
        <v>-1388569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50663765</v>
      </c>
      <c r="D71" s="590">
        <f t="shared" si="6"/>
        <v>57173924</v>
      </c>
      <c r="E71" s="590">
        <f t="shared" si="7"/>
        <v>6510159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50085998</v>
      </c>
      <c r="D72" s="590">
        <f t="shared" si="6"/>
        <v>56472732</v>
      </c>
      <c r="E72" s="590">
        <f t="shared" si="7"/>
        <v>6386734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577767</v>
      </c>
      <c r="D73" s="590">
        <f t="shared" si="6"/>
        <v>701192</v>
      </c>
      <c r="E73" s="590">
        <f t="shared" si="7"/>
        <v>123425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343835</v>
      </c>
      <c r="D74" s="590">
        <f t="shared" si="6"/>
        <v>152676</v>
      </c>
      <c r="E74" s="590">
        <f t="shared" si="7"/>
        <v>-191159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2457082</v>
      </c>
      <c r="D75" s="590">
        <f t="shared" si="6"/>
        <v>3466251</v>
      </c>
      <c r="E75" s="590">
        <f t="shared" si="7"/>
        <v>1009169</v>
      </c>
    </row>
    <row r="76" spans="1:5" s="421" customFormat="1" x14ac:dyDescent="0.2">
      <c r="A76" s="588"/>
      <c r="B76" s="592" t="s">
        <v>793</v>
      </c>
      <c r="C76" s="593">
        <f>SUM(C70+C71+C74)</f>
        <v>213078192</v>
      </c>
      <c r="D76" s="593">
        <f>SUM(D70+D71+D74)</f>
        <v>218008623</v>
      </c>
      <c r="E76" s="593">
        <f t="shared" si="7"/>
        <v>4930431</v>
      </c>
    </row>
    <row r="77" spans="1:5" s="421" customFormat="1" x14ac:dyDescent="0.2">
      <c r="A77" s="588"/>
      <c r="B77" s="592" t="s">
        <v>726</v>
      </c>
      <c r="C77" s="593">
        <f>SUM(C69+C76)</f>
        <v>390945685</v>
      </c>
      <c r="D77" s="593">
        <f>SUM(D69+D76)</f>
        <v>405099277</v>
      </c>
      <c r="E77" s="593">
        <f t="shared" si="7"/>
        <v>14153592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0.17397524731063044</v>
      </c>
      <c r="D83" s="599">
        <f t="shared" si="8"/>
        <v>0.15250848300328709</v>
      </c>
      <c r="E83" s="599">
        <f t="shared" ref="E83:E91" si="9">D83-C83</f>
        <v>-2.1466764307343345E-2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0.36108091438019235</v>
      </c>
      <c r="D84" s="599">
        <f t="shared" si="8"/>
        <v>0.36731080551798578</v>
      </c>
      <c r="E84" s="599">
        <f t="shared" si="9"/>
        <v>6.2298911377934307E-3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0.11781127729769857</v>
      </c>
      <c r="D85" s="599">
        <f t="shared" si="8"/>
        <v>0.11896266806121591</v>
      </c>
      <c r="E85" s="599">
        <f t="shared" si="9"/>
        <v>1.1513907635173487E-3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0.11687351777496757</v>
      </c>
      <c r="D86" s="599">
        <f t="shared" si="8"/>
        <v>0.11794948310841288</v>
      </c>
      <c r="E86" s="599">
        <f t="shared" si="9"/>
        <v>1.0759653334453112E-3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9.3775952273099123E-4</v>
      </c>
      <c r="D87" s="599">
        <f t="shared" si="8"/>
        <v>1.0131849528030397E-3</v>
      </c>
      <c r="E87" s="599">
        <f t="shared" si="9"/>
        <v>7.5425430072048453E-5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3.7136106352659632E-4</v>
      </c>
      <c r="D88" s="599">
        <f t="shared" si="8"/>
        <v>4.9784373248076504E-4</v>
      </c>
      <c r="E88" s="599">
        <f t="shared" si="9"/>
        <v>1.2648266895416872E-4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2.0284304851836937E-2</v>
      </c>
      <c r="D89" s="599">
        <f t="shared" si="8"/>
        <v>1.8240796954839808E-2</v>
      </c>
      <c r="E89" s="599">
        <f t="shared" si="9"/>
        <v>-2.0435078969971293E-3</v>
      </c>
    </row>
    <row r="90" spans="1:5" s="421" customFormat="1" x14ac:dyDescent="0.2">
      <c r="A90" s="588"/>
      <c r="B90" s="592" t="s">
        <v>796</v>
      </c>
      <c r="C90" s="600">
        <f>SUM(C84+C85+C88)</f>
        <v>0.47926355274141752</v>
      </c>
      <c r="D90" s="600">
        <f>SUM(D84+D85+D88)</f>
        <v>0.48677131731168244</v>
      </c>
      <c r="E90" s="601">
        <f t="shared" si="9"/>
        <v>7.5077645702649187E-3</v>
      </c>
    </row>
    <row r="91" spans="1:5" s="421" customFormat="1" x14ac:dyDescent="0.2">
      <c r="A91" s="588"/>
      <c r="B91" s="592" t="s">
        <v>797</v>
      </c>
      <c r="C91" s="600">
        <f>SUM(C83+C90)</f>
        <v>0.65323880005204793</v>
      </c>
      <c r="D91" s="600">
        <f>SUM(D83+D90)</f>
        <v>0.63927980031496956</v>
      </c>
      <c r="E91" s="601">
        <f t="shared" si="9"/>
        <v>-1.395899973707837E-2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0.16006300889224778</v>
      </c>
      <c r="D95" s="599">
        <f t="shared" si="10"/>
        <v>0.16033769197384842</v>
      </c>
      <c r="E95" s="599">
        <f t="shared" ref="E95:E103" si="11">D95-C95</f>
        <v>2.746830816006407E-4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0.10800107493917506</v>
      </c>
      <c r="D96" s="599">
        <f t="shared" si="10"/>
        <v>0.11481105054905262</v>
      </c>
      <c r="E96" s="599">
        <f t="shared" si="11"/>
        <v>6.809975609877561E-3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7.8224779941818048E-2</v>
      </c>
      <c r="D97" s="599">
        <f t="shared" si="10"/>
        <v>8.5203899242849684E-2</v>
      </c>
      <c r="E97" s="599">
        <f t="shared" si="11"/>
        <v>6.979119301031636E-3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7.7618423982557472E-2</v>
      </c>
      <c r="D98" s="599">
        <f t="shared" si="10"/>
        <v>8.450691919119821E-2</v>
      </c>
      <c r="E98" s="599">
        <f t="shared" si="11"/>
        <v>6.8884952086407381E-3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6.0635595926057293E-4</v>
      </c>
      <c r="D99" s="599">
        <f t="shared" si="10"/>
        <v>6.9698005165147068E-4</v>
      </c>
      <c r="E99" s="599">
        <f t="shared" si="11"/>
        <v>9.0624092390897753E-5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4.7233617471116232E-4</v>
      </c>
      <c r="D100" s="599">
        <f t="shared" si="10"/>
        <v>3.6755791927973959E-4</v>
      </c>
      <c r="E100" s="599">
        <f t="shared" si="11"/>
        <v>-1.0477825543142274E-4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2.8406112900475455E-2</v>
      </c>
      <c r="D101" s="599">
        <f t="shared" si="10"/>
        <v>2.9051271318467898E-2</v>
      </c>
      <c r="E101" s="599">
        <f t="shared" si="11"/>
        <v>6.4515841799244258E-4</v>
      </c>
    </row>
    <row r="102" spans="1:5" s="421" customFormat="1" x14ac:dyDescent="0.2">
      <c r="A102" s="588"/>
      <c r="B102" s="592" t="s">
        <v>799</v>
      </c>
      <c r="C102" s="600">
        <f>SUM(C96+C97+C100)</f>
        <v>0.18669819105570426</v>
      </c>
      <c r="D102" s="600">
        <f>SUM(D96+D97+D100)</f>
        <v>0.20038250771118205</v>
      </c>
      <c r="E102" s="601">
        <f t="shared" si="11"/>
        <v>1.3684316655477785E-2</v>
      </c>
    </row>
    <row r="103" spans="1:5" s="421" customFormat="1" x14ac:dyDescent="0.2">
      <c r="A103" s="588"/>
      <c r="B103" s="592" t="s">
        <v>800</v>
      </c>
      <c r="C103" s="600">
        <f>SUM(C95+C102)</f>
        <v>0.34676119994795207</v>
      </c>
      <c r="D103" s="600">
        <f>SUM(D95+D102)</f>
        <v>0.36072019968503044</v>
      </c>
      <c r="E103" s="601">
        <f t="shared" si="11"/>
        <v>1.395899973707837E-2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0.24620526761920905</v>
      </c>
      <c r="D109" s="599">
        <f t="shared" si="12"/>
        <v>0.23479001173334604</v>
      </c>
      <c r="E109" s="599">
        <f t="shared" ref="E109:E117" si="13">D109-C109</f>
        <v>-1.1415255885863007E-2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0.33014503024889508</v>
      </c>
      <c r="D110" s="599">
        <f t="shared" si="12"/>
        <v>0.31332887320852959</v>
      </c>
      <c r="E110" s="599">
        <f t="shared" si="13"/>
        <v>-1.6816157040365487E-2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7.3970124519982874E-2</v>
      </c>
      <c r="D111" s="599">
        <f t="shared" si="12"/>
        <v>8.519597777509734E-2</v>
      </c>
      <c r="E111" s="599">
        <f t="shared" si="13"/>
        <v>1.1225853255114465E-2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7.2825249369359329E-2</v>
      </c>
      <c r="D112" s="599">
        <f t="shared" si="12"/>
        <v>8.3980966966771459E-2</v>
      </c>
      <c r="E112" s="599">
        <f t="shared" si="13"/>
        <v>1.1155717597412129E-2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1.1448751506235452E-3</v>
      </c>
      <c r="D113" s="599">
        <f t="shared" si="12"/>
        <v>1.2150108083258811E-3</v>
      </c>
      <c r="E113" s="599">
        <f t="shared" si="13"/>
        <v>7.0135657702335985E-5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4.504743414676645E-4</v>
      </c>
      <c r="D114" s="599">
        <f t="shared" si="12"/>
        <v>2.7075091521330954E-4</v>
      </c>
      <c r="E114" s="599">
        <f t="shared" si="13"/>
        <v>-1.7972342625435496E-4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1.4860785584575515E-3</v>
      </c>
      <c r="D115" s="599">
        <f t="shared" si="12"/>
        <v>4.1456751353323201E-4</v>
      </c>
      <c r="E115" s="599">
        <f t="shared" si="13"/>
        <v>-1.0715110449243195E-3</v>
      </c>
    </row>
    <row r="116" spans="1:5" s="421" customFormat="1" x14ac:dyDescent="0.2">
      <c r="A116" s="588"/>
      <c r="B116" s="592" t="s">
        <v>796</v>
      </c>
      <c r="C116" s="600">
        <f>SUM(C110+C111+C114)</f>
        <v>0.4045656291103456</v>
      </c>
      <c r="D116" s="600">
        <f>SUM(D110+D111+D114)</f>
        <v>0.39879560189884028</v>
      </c>
      <c r="E116" s="601">
        <f t="shared" si="13"/>
        <v>-5.7700272115053242E-3</v>
      </c>
    </row>
    <row r="117" spans="1:5" s="421" customFormat="1" x14ac:dyDescent="0.2">
      <c r="A117" s="588"/>
      <c r="B117" s="592" t="s">
        <v>797</v>
      </c>
      <c r="C117" s="600">
        <f>SUM(C109+C116)</f>
        <v>0.65077089672955468</v>
      </c>
      <c r="D117" s="600">
        <f>SUM(D109+D116)</f>
        <v>0.63358561363218635</v>
      </c>
      <c r="E117" s="601">
        <f t="shared" si="13"/>
        <v>-1.7185283097368331E-2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0.20876200743845016</v>
      </c>
      <c r="D121" s="599">
        <f t="shared" si="14"/>
        <v>0.2270490105071207</v>
      </c>
      <c r="E121" s="599">
        <f t="shared" ref="E121:E129" si="15">D121-C121</f>
        <v>1.8287003068670538E-2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8.4415350434165815E-2</v>
      </c>
      <c r="D122" s="599">
        <f t="shared" si="14"/>
        <v>8.3319632782262412E-2</v>
      </c>
      <c r="E122" s="599">
        <f t="shared" si="15"/>
        <v>-1.0957176519034023E-3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5.5622724164355465E-2</v>
      </c>
      <c r="D123" s="599">
        <f t="shared" si="14"/>
        <v>5.5939608601177533E-2</v>
      </c>
      <c r="E123" s="599">
        <f t="shared" si="15"/>
        <v>3.1688443682206802E-4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5.5289729057886906E-2</v>
      </c>
      <c r="D124" s="599">
        <f t="shared" si="14"/>
        <v>5.5423705434063268E-2</v>
      </c>
      <c r="E124" s="599">
        <f t="shared" si="15"/>
        <v>1.3397637617636182E-4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3.3299510646856226E-4</v>
      </c>
      <c r="D125" s="599">
        <f t="shared" si="14"/>
        <v>5.1590316711426769E-4</v>
      </c>
      <c r="E125" s="599">
        <f t="shared" si="15"/>
        <v>1.8290806064570544E-4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4.2902123347390316E-4</v>
      </c>
      <c r="D126" s="599">
        <f t="shared" si="14"/>
        <v>1.0613447725309072E-4</v>
      </c>
      <c r="E126" s="599">
        <f t="shared" si="15"/>
        <v>-3.2288675622081241E-4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4.7988916925889588E-3</v>
      </c>
      <c r="D127" s="599">
        <f t="shared" si="14"/>
        <v>8.1419794782798382E-3</v>
      </c>
      <c r="E127" s="599">
        <f t="shared" si="15"/>
        <v>3.3430877856908793E-3</v>
      </c>
    </row>
    <row r="128" spans="1:5" s="421" customFormat="1" x14ac:dyDescent="0.2">
      <c r="A128" s="588"/>
      <c r="B128" s="592" t="s">
        <v>799</v>
      </c>
      <c r="C128" s="600">
        <f>SUM(C122+C123+C126)</f>
        <v>0.14046709583199518</v>
      </c>
      <c r="D128" s="600">
        <f>SUM(D122+D123+D126)</f>
        <v>0.13936537586069303</v>
      </c>
      <c r="E128" s="601">
        <f t="shared" si="15"/>
        <v>-1.1017199713021508E-3</v>
      </c>
    </row>
    <row r="129" spans="1:5" s="421" customFormat="1" x14ac:dyDescent="0.2">
      <c r="A129" s="588"/>
      <c r="B129" s="592" t="s">
        <v>800</v>
      </c>
      <c r="C129" s="600">
        <f>SUM(C121+C128)</f>
        <v>0.34922910327044532</v>
      </c>
      <c r="D129" s="600">
        <f>SUM(D121+D128)</f>
        <v>0.36641438636781376</v>
      </c>
      <c r="E129" s="601">
        <f t="shared" si="15"/>
        <v>1.7185283097368442E-2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6919</v>
      </c>
      <c r="D137" s="606">
        <v>6023</v>
      </c>
      <c r="E137" s="607">
        <f t="shared" ref="E137:E145" si="16">D137-C137</f>
        <v>-896</v>
      </c>
    </row>
    <row r="138" spans="1:5" s="421" customFormat="1" x14ac:dyDescent="0.2">
      <c r="A138" s="588">
        <v>2</v>
      </c>
      <c r="B138" s="587" t="s">
        <v>635</v>
      </c>
      <c r="C138" s="606">
        <v>10153</v>
      </c>
      <c r="D138" s="606">
        <v>9550</v>
      </c>
      <c r="E138" s="607">
        <f t="shared" si="16"/>
        <v>-603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4811</v>
      </c>
      <c r="D139" s="606">
        <f>D140+D141</f>
        <v>4721</v>
      </c>
      <c r="E139" s="607">
        <f t="shared" si="16"/>
        <v>-90</v>
      </c>
    </row>
    <row r="140" spans="1:5" s="421" customFormat="1" x14ac:dyDescent="0.2">
      <c r="A140" s="588">
        <v>4</v>
      </c>
      <c r="B140" s="587" t="s">
        <v>115</v>
      </c>
      <c r="C140" s="606">
        <v>4773</v>
      </c>
      <c r="D140" s="606">
        <v>4685</v>
      </c>
      <c r="E140" s="607">
        <f t="shared" si="16"/>
        <v>-88</v>
      </c>
    </row>
    <row r="141" spans="1:5" s="421" customFormat="1" x14ac:dyDescent="0.2">
      <c r="A141" s="588">
        <v>5</v>
      </c>
      <c r="B141" s="587" t="s">
        <v>743</v>
      </c>
      <c r="C141" s="606">
        <v>38</v>
      </c>
      <c r="D141" s="606">
        <v>36</v>
      </c>
      <c r="E141" s="607">
        <f t="shared" si="16"/>
        <v>-2</v>
      </c>
    </row>
    <row r="142" spans="1:5" s="421" customFormat="1" x14ac:dyDescent="0.2">
      <c r="A142" s="588">
        <v>6</v>
      </c>
      <c r="B142" s="587" t="s">
        <v>424</v>
      </c>
      <c r="C142" s="606">
        <v>29</v>
      </c>
      <c r="D142" s="606">
        <v>30</v>
      </c>
      <c r="E142" s="607">
        <f t="shared" si="16"/>
        <v>1</v>
      </c>
    </row>
    <row r="143" spans="1:5" s="421" customFormat="1" x14ac:dyDescent="0.2">
      <c r="A143" s="588">
        <v>7</v>
      </c>
      <c r="B143" s="587" t="s">
        <v>758</v>
      </c>
      <c r="C143" s="606">
        <v>950</v>
      </c>
      <c r="D143" s="606">
        <v>793</v>
      </c>
      <c r="E143" s="607">
        <f t="shared" si="16"/>
        <v>-157</v>
      </c>
    </row>
    <row r="144" spans="1:5" s="421" customFormat="1" x14ac:dyDescent="0.2">
      <c r="A144" s="588"/>
      <c r="B144" s="592" t="s">
        <v>807</v>
      </c>
      <c r="C144" s="608">
        <f>SUM(C138+C139+C142)</f>
        <v>14993</v>
      </c>
      <c r="D144" s="608">
        <f>SUM(D138+D139+D142)</f>
        <v>14301</v>
      </c>
      <c r="E144" s="609">
        <f t="shared" si="16"/>
        <v>-692</v>
      </c>
    </row>
    <row r="145" spans="1:5" s="421" customFormat="1" x14ac:dyDescent="0.2">
      <c r="A145" s="588"/>
      <c r="B145" s="592" t="s">
        <v>138</v>
      </c>
      <c r="C145" s="608">
        <f>SUM(C137+C144)</f>
        <v>21912</v>
      </c>
      <c r="D145" s="608">
        <f>SUM(D137+D144)</f>
        <v>20324</v>
      </c>
      <c r="E145" s="609">
        <f t="shared" si="16"/>
        <v>-1588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31681</v>
      </c>
      <c r="D149" s="610">
        <v>27434</v>
      </c>
      <c r="E149" s="607">
        <f t="shared" ref="E149:E157" si="17">D149-C149</f>
        <v>-4247</v>
      </c>
    </row>
    <row r="150" spans="1:5" s="421" customFormat="1" x14ac:dyDescent="0.2">
      <c r="A150" s="588">
        <v>2</v>
      </c>
      <c r="B150" s="587" t="s">
        <v>635</v>
      </c>
      <c r="C150" s="610">
        <v>63580</v>
      </c>
      <c r="D150" s="610">
        <v>64221</v>
      </c>
      <c r="E150" s="607">
        <f t="shared" si="17"/>
        <v>641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27520</v>
      </c>
      <c r="D151" s="610">
        <f>D152+D153</f>
        <v>28809</v>
      </c>
      <c r="E151" s="607">
        <f t="shared" si="17"/>
        <v>1289</v>
      </c>
    </row>
    <row r="152" spans="1:5" s="421" customFormat="1" x14ac:dyDescent="0.2">
      <c r="A152" s="588">
        <v>4</v>
      </c>
      <c r="B152" s="587" t="s">
        <v>115</v>
      </c>
      <c r="C152" s="610">
        <v>27276</v>
      </c>
      <c r="D152" s="610">
        <v>28549</v>
      </c>
      <c r="E152" s="607">
        <f t="shared" si="17"/>
        <v>1273</v>
      </c>
    </row>
    <row r="153" spans="1:5" s="421" customFormat="1" x14ac:dyDescent="0.2">
      <c r="A153" s="588">
        <v>5</v>
      </c>
      <c r="B153" s="587" t="s">
        <v>743</v>
      </c>
      <c r="C153" s="611">
        <v>244</v>
      </c>
      <c r="D153" s="610">
        <v>260</v>
      </c>
      <c r="E153" s="607">
        <f t="shared" si="17"/>
        <v>16</v>
      </c>
    </row>
    <row r="154" spans="1:5" s="421" customFormat="1" x14ac:dyDescent="0.2">
      <c r="A154" s="588">
        <v>6</v>
      </c>
      <c r="B154" s="587" t="s">
        <v>424</v>
      </c>
      <c r="C154" s="610">
        <v>97</v>
      </c>
      <c r="D154" s="610">
        <v>110</v>
      </c>
      <c r="E154" s="607">
        <f t="shared" si="17"/>
        <v>13</v>
      </c>
    </row>
    <row r="155" spans="1:5" s="421" customFormat="1" x14ac:dyDescent="0.2">
      <c r="A155" s="588">
        <v>7</v>
      </c>
      <c r="B155" s="587" t="s">
        <v>758</v>
      </c>
      <c r="C155" s="610">
        <v>4631</v>
      </c>
      <c r="D155" s="610">
        <v>4263</v>
      </c>
      <c r="E155" s="607">
        <f t="shared" si="17"/>
        <v>-368</v>
      </c>
    </row>
    <row r="156" spans="1:5" s="421" customFormat="1" x14ac:dyDescent="0.2">
      <c r="A156" s="588"/>
      <c r="B156" s="592" t="s">
        <v>808</v>
      </c>
      <c r="C156" s="608">
        <f>SUM(C150+C151+C154)</f>
        <v>91197</v>
      </c>
      <c r="D156" s="608">
        <f>SUM(D150+D151+D154)</f>
        <v>93140</v>
      </c>
      <c r="E156" s="609">
        <f t="shared" si="17"/>
        <v>1943</v>
      </c>
    </row>
    <row r="157" spans="1:5" s="421" customFormat="1" x14ac:dyDescent="0.2">
      <c r="A157" s="588"/>
      <c r="B157" s="592" t="s">
        <v>140</v>
      </c>
      <c r="C157" s="608">
        <f>SUM(C149+C156)</f>
        <v>122878</v>
      </c>
      <c r="D157" s="608">
        <f>SUM(D149+D156)</f>
        <v>120574</v>
      </c>
      <c r="E157" s="609">
        <f t="shared" si="17"/>
        <v>-2304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4.5788408729585202</v>
      </c>
      <c r="D161" s="612">
        <f t="shared" si="18"/>
        <v>4.5548729868836126</v>
      </c>
      <c r="E161" s="613">
        <f t="shared" ref="E161:E169" si="19">D161-C161</f>
        <v>-2.3967886074907518E-2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6.2621885157096422</v>
      </c>
      <c r="D162" s="612">
        <f t="shared" si="18"/>
        <v>6.7247120418848167</v>
      </c>
      <c r="E162" s="613">
        <f t="shared" si="19"/>
        <v>0.46252352617517456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5.7202244855539393</v>
      </c>
      <c r="D163" s="612">
        <f t="shared" si="18"/>
        <v>6.1023088328743906</v>
      </c>
      <c r="E163" s="613">
        <f t="shared" si="19"/>
        <v>0.38208434732045138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5.7146448774355747</v>
      </c>
      <c r="D164" s="612">
        <f t="shared" si="18"/>
        <v>6.0937033084311629</v>
      </c>
      <c r="E164" s="613">
        <f t="shared" si="19"/>
        <v>0.37905843099558822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6.4210526315789478</v>
      </c>
      <c r="D165" s="612">
        <f t="shared" si="18"/>
        <v>7.2222222222222223</v>
      </c>
      <c r="E165" s="613">
        <f t="shared" si="19"/>
        <v>0.80116959064327453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3.3448275862068964</v>
      </c>
      <c r="D166" s="612">
        <f t="shared" si="18"/>
        <v>3.6666666666666665</v>
      </c>
      <c r="E166" s="613">
        <f t="shared" si="19"/>
        <v>0.32183908045977017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4.8747368421052633</v>
      </c>
      <c r="D167" s="612">
        <f t="shared" si="18"/>
        <v>5.3757881462799499</v>
      </c>
      <c r="E167" s="613">
        <f t="shared" si="19"/>
        <v>0.50105130417468668</v>
      </c>
    </row>
    <row r="168" spans="1:5" s="421" customFormat="1" x14ac:dyDescent="0.2">
      <c r="A168" s="588"/>
      <c r="B168" s="592" t="s">
        <v>810</v>
      </c>
      <c r="C168" s="614">
        <f t="shared" si="18"/>
        <v>6.0826385646635099</v>
      </c>
      <c r="D168" s="614">
        <f t="shared" si="18"/>
        <v>6.5128312705405218</v>
      </c>
      <c r="E168" s="615">
        <f t="shared" si="19"/>
        <v>0.43019270587701186</v>
      </c>
    </row>
    <row r="169" spans="1:5" s="421" customFormat="1" x14ac:dyDescent="0.2">
      <c r="A169" s="588"/>
      <c r="B169" s="592" t="s">
        <v>744</v>
      </c>
      <c r="C169" s="614">
        <f t="shared" si="18"/>
        <v>5.607794815626141</v>
      </c>
      <c r="D169" s="614">
        <f t="shared" si="18"/>
        <v>5.9325920094469593</v>
      </c>
      <c r="E169" s="615">
        <f t="shared" si="19"/>
        <v>0.32479719382081829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1.2402999999999997</v>
      </c>
      <c r="D173" s="617">
        <f t="shared" si="20"/>
        <v>1.2766</v>
      </c>
      <c r="E173" s="618">
        <f t="shared" ref="E173:E181" si="21">D173-C173</f>
        <v>3.6300000000000221E-2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1.4584999999999999</v>
      </c>
      <c r="D174" s="617">
        <f t="shared" si="20"/>
        <v>1.5337000000000001</v>
      </c>
      <c r="E174" s="618">
        <f t="shared" si="21"/>
        <v>7.5200000000000156E-2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1.0507219704843067</v>
      </c>
      <c r="D175" s="617">
        <f t="shared" si="20"/>
        <v>1.0392313492904046</v>
      </c>
      <c r="E175" s="618">
        <f t="shared" si="21"/>
        <v>-1.1490621193902095E-2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1.0509999999999999</v>
      </c>
      <c r="D176" s="617">
        <f t="shared" si="20"/>
        <v>1.04</v>
      </c>
      <c r="E176" s="618">
        <f t="shared" si="21"/>
        <v>-1.0999999999999899E-2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1.0158</v>
      </c>
      <c r="D177" s="617">
        <f t="shared" si="20"/>
        <v>0.93920000000000003</v>
      </c>
      <c r="E177" s="618">
        <f t="shared" si="21"/>
        <v>-7.6600000000000001E-2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0.74760000000000004</v>
      </c>
      <c r="D178" s="617">
        <f t="shared" si="20"/>
        <v>0.99129999999999996</v>
      </c>
      <c r="E178" s="618">
        <f t="shared" si="21"/>
        <v>0.24369999999999992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1.0567</v>
      </c>
      <c r="D179" s="617">
        <f t="shared" si="20"/>
        <v>1.0913999999999999</v>
      </c>
      <c r="E179" s="618">
        <f t="shared" si="21"/>
        <v>3.4699999999999953E-2</v>
      </c>
    </row>
    <row r="180" spans="1:5" s="421" customFormat="1" x14ac:dyDescent="0.2">
      <c r="A180" s="588"/>
      <c r="B180" s="592" t="s">
        <v>812</v>
      </c>
      <c r="C180" s="619">
        <f t="shared" si="20"/>
        <v>1.3262758820783034</v>
      </c>
      <c r="D180" s="619">
        <f t="shared" si="20"/>
        <v>1.3693297811341865</v>
      </c>
      <c r="E180" s="620">
        <f t="shared" si="21"/>
        <v>4.3053899055883083E-2</v>
      </c>
    </row>
    <row r="181" spans="1:5" s="421" customFormat="1" x14ac:dyDescent="0.2">
      <c r="A181" s="588"/>
      <c r="B181" s="592" t="s">
        <v>723</v>
      </c>
      <c r="C181" s="619">
        <f t="shared" si="20"/>
        <v>1.2991278751369113</v>
      </c>
      <c r="D181" s="619">
        <f t="shared" si="20"/>
        <v>1.3418493898838812</v>
      </c>
      <c r="E181" s="620">
        <f t="shared" si="21"/>
        <v>4.2721514746969946E-2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351375285</v>
      </c>
      <c r="D185" s="589">
        <v>349570952</v>
      </c>
      <c r="E185" s="590">
        <f>D185-C185</f>
        <v>-1804333</v>
      </c>
    </row>
    <row r="186" spans="1:5" s="421" customFormat="1" ht="25.5" x14ac:dyDescent="0.2">
      <c r="A186" s="588">
        <v>2</v>
      </c>
      <c r="B186" s="587" t="s">
        <v>815</v>
      </c>
      <c r="C186" s="589">
        <v>204854864</v>
      </c>
      <c r="D186" s="589">
        <v>205239440</v>
      </c>
      <c r="E186" s="590">
        <f>D186-C186</f>
        <v>384576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146520421</v>
      </c>
      <c r="D188" s="622">
        <f>+D185-D186</f>
        <v>144331512</v>
      </c>
      <c r="E188" s="590">
        <f t="shared" ref="E188:E197" si="22">D188-C188</f>
        <v>-2188909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0.41699125480609711</v>
      </c>
      <c r="D189" s="623">
        <f>IF(D185=0,0,+D188/D185)</f>
        <v>0.4128818804143658</v>
      </c>
      <c r="E189" s="599">
        <f t="shared" si="22"/>
        <v>-4.109374391731313E-3</v>
      </c>
    </row>
    <row r="190" spans="1:5" s="421" customFormat="1" x14ac:dyDescent="0.2">
      <c r="A190" s="588">
        <v>5</v>
      </c>
      <c r="B190" s="587" t="s">
        <v>762</v>
      </c>
      <c r="C190" s="589">
        <v>21473522</v>
      </c>
      <c r="D190" s="589">
        <v>23556144</v>
      </c>
      <c r="E190" s="622">
        <f t="shared" si="22"/>
        <v>2082622</v>
      </c>
    </row>
    <row r="191" spans="1:5" s="421" customFormat="1" x14ac:dyDescent="0.2">
      <c r="A191" s="588">
        <v>6</v>
      </c>
      <c r="B191" s="587" t="s">
        <v>748</v>
      </c>
      <c r="C191" s="589">
        <v>13360954</v>
      </c>
      <c r="D191" s="589">
        <v>15759908</v>
      </c>
      <c r="E191" s="622">
        <f t="shared" si="22"/>
        <v>2398954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15330000</v>
      </c>
      <c r="D193" s="589">
        <v>14991000</v>
      </c>
      <c r="E193" s="622">
        <f t="shared" si="22"/>
        <v>-339000</v>
      </c>
    </row>
    <row r="194" spans="1:5" s="421" customFormat="1" x14ac:dyDescent="0.2">
      <c r="A194" s="588">
        <v>9</v>
      </c>
      <c r="B194" s="587" t="s">
        <v>818</v>
      </c>
      <c r="C194" s="589">
        <v>27411000</v>
      </c>
      <c r="D194" s="589">
        <v>25817000</v>
      </c>
      <c r="E194" s="622">
        <f t="shared" si="22"/>
        <v>-1594000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42741000</v>
      </c>
      <c r="D195" s="589">
        <f>+D193+D194</f>
        <v>40808000</v>
      </c>
      <c r="E195" s="625">
        <f t="shared" si="22"/>
        <v>-1933000</v>
      </c>
    </row>
    <row r="196" spans="1:5" s="421" customFormat="1" x14ac:dyDescent="0.2">
      <c r="A196" s="588">
        <v>11</v>
      </c>
      <c r="B196" s="587" t="s">
        <v>820</v>
      </c>
      <c r="C196" s="589">
        <v>12640000</v>
      </c>
      <c r="D196" s="589">
        <v>15967000</v>
      </c>
      <c r="E196" s="622">
        <f t="shared" si="22"/>
        <v>3327000</v>
      </c>
    </row>
    <row r="197" spans="1:5" s="421" customFormat="1" x14ac:dyDescent="0.2">
      <c r="A197" s="588">
        <v>12</v>
      </c>
      <c r="B197" s="587" t="s">
        <v>710</v>
      </c>
      <c r="C197" s="589">
        <v>373601000</v>
      </c>
      <c r="D197" s="589">
        <v>394491000</v>
      </c>
      <c r="E197" s="622">
        <f t="shared" si="22"/>
        <v>20890000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8581.6356999999989</v>
      </c>
      <c r="D203" s="629">
        <v>7688.9618</v>
      </c>
      <c r="E203" s="630">
        <f t="shared" ref="E203:E211" si="23">D203-C203</f>
        <v>-892.67389999999887</v>
      </c>
    </row>
    <row r="204" spans="1:5" s="421" customFormat="1" x14ac:dyDescent="0.2">
      <c r="A204" s="588">
        <v>2</v>
      </c>
      <c r="B204" s="587" t="s">
        <v>635</v>
      </c>
      <c r="C204" s="629">
        <v>14808.1505</v>
      </c>
      <c r="D204" s="629">
        <v>14646.835000000001</v>
      </c>
      <c r="E204" s="630">
        <f t="shared" si="23"/>
        <v>-161.31549999999879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5055.0234</v>
      </c>
      <c r="D205" s="629">
        <f>D206+D207</f>
        <v>4906.2112000000006</v>
      </c>
      <c r="E205" s="630">
        <f t="shared" si="23"/>
        <v>-148.81219999999939</v>
      </c>
    </row>
    <row r="206" spans="1:5" s="421" customFormat="1" x14ac:dyDescent="0.2">
      <c r="A206" s="588">
        <v>4</v>
      </c>
      <c r="B206" s="587" t="s">
        <v>115</v>
      </c>
      <c r="C206" s="629">
        <v>5016.4229999999998</v>
      </c>
      <c r="D206" s="629">
        <v>4872.4000000000005</v>
      </c>
      <c r="E206" s="630">
        <f t="shared" si="23"/>
        <v>-144.02299999999923</v>
      </c>
    </row>
    <row r="207" spans="1:5" s="421" customFormat="1" x14ac:dyDescent="0.2">
      <c r="A207" s="588">
        <v>5</v>
      </c>
      <c r="B207" s="587" t="s">
        <v>743</v>
      </c>
      <c r="C207" s="629">
        <v>38.6004</v>
      </c>
      <c r="D207" s="629">
        <v>33.811199999999999</v>
      </c>
      <c r="E207" s="630">
        <f t="shared" si="23"/>
        <v>-4.789200000000001</v>
      </c>
    </row>
    <row r="208" spans="1:5" s="421" customFormat="1" x14ac:dyDescent="0.2">
      <c r="A208" s="588">
        <v>6</v>
      </c>
      <c r="B208" s="587" t="s">
        <v>424</v>
      </c>
      <c r="C208" s="629">
        <v>21.680400000000002</v>
      </c>
      <c r="D208" s="629">
        <v>29.738999999999997</v>
      </c>
      <c r="E208" s="630">
        <f t="shared" si="23"/>
        <v>8.0585999999999949</v>
      </c>
    </row>
    <row r="209" spans="1:5" s="421" customFormat="1" x14ac:dyDescent="0.2">
      <c r="A209" s="588">
        <v>7</v>
      </c>
      <c r="B209" s="587" t="s">
        <v>758</v>
      </c>
      <c r="C209" s="629">
        <v>1003.865</v>
      </c>
      <c r="D209" s="629">
        <v>865.48019999999997</v>
      </c>
      <c r="E209" s="630">
        <f t="shared" si="23"/>
        <v>-138.38480000000004</v>
      </c>
    </row>
    <row r="210" spans="1:5" s="421" customFormat="1" x14ac:dyDescent="0.2">
      <c r="A210" s="588"/>
      <c r="B210" s="592" t="s">
        <v>823</v>
      </c>
      <c r="C210" s="631">
        <f>C204+C205+C208</f>
        <v>19884.854300000003</v>
      </c>
      <c r="D210" s="631">
        <f>D204+D205+D208</f>
        <v>19582.785200000002</v>
      </c>
      <c r="E210" s="632">
        <f t="shared" si="23"/>
        <v>-302.06910000000062</v>
      </c>
    </row>
    <row r="211" spans="1:5" s="421" customFormat="1" x14ac:dyDescent="0.2">
      <c r="A211" s="588"/>
      <c r="B211" s="592" t="s">
        <v>724</v>
      </c>
      <c r="C211" s="631">
        <f>C210+C203</f>
        <v>28466.49</v>
      </c>
      <c r="D211" s="631">
        <f>D210+D203</f>
        <v>27271.747000000003</v>
      </c>
      <c r="E211" s="632">
        <f t="shared" si="23"/>
        <v>-1194.7429999999986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6365.7099250911197</v>
      </c>
      <c r="D215" s="633">
        <f>IF(D14*D137=0,0,D25/D14*D137)</f>
        <v>6332.1980505023739</v>
      </c>
      <c r="E215" s="633">
        <f t="shared" ref="E215:E223" si="24">D215-C215</f>
        <v>-33.511874588745741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3036.8121664355581</v>
      </c>
      <c r="D216" s="633">
        <f>IF(D15*D138=0,0,D26/D15*D138)</f>
        <v>2985.0620136187745</v>
      </c>
      <c r="E216" s="633">
        <f t="shared" si="24"/>
        <v>-51.750152816783611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3194.4312423738265</v>
      </c>
      <c r="D217" s="633">
        <f>D218+D219</f>
        <v>3381.412927827681</v>
      </c>
      <c r="E217" s="633">
        <f t="shared" si="24"/>
        <v>186.98168545385442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3169.86041595897</v>
      </c>
      <c r="D218" s="633">
        <f t="shared" si="25"/>
        <v>3356.648168155682</v>
      </c>
      <c r="E218" s="633">
        <f t="shared" si="24"/>
        <v>186.78775219671206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24.570826414856398</v>
      </c>
      <c r="D219" s="633">
        <f t="shared" si="25"/>
        <v>24.764759671999016</v>
      </c>
      <c r="E219" s="633">
        <f t="shared" si="24"/>
        <v>0.19393325714261778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36.885259150607467</v>
      </c>
      <c r="D220" s="633">
        <f t="shared" si="25"/>
        <v>22.148993467178425</v>
      </c>
      <c r="E220" s="633">
        <f t="shared" si="24"/>
        <v>-14.736265683429043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1330.3787067175665</v>
      </c>
      <c r="D221" s="633">
        <f t="shared" si="25"/>
        <v>1262.9743213841591</v>
      </c>
      <c r="E221" s="633">
        <f t="shared" si="24"/>
        <v>-67.40438533340739</v>
      </c>
    </row>
    <row r="222" spans="1:5" s="421" customFormat="1" x14ac:dyDescent="0.2">
      <c r="A222" s="588"/>
      <c r="B222" s="592" t="s">
        <v>825</v>
      </c>
      <c r="C222" s="634">
        <f>C216+C218+C219+C220</f>
        <v>6268.1286679599916</v>
      </c>
      <c r="D222" s="634">
        <f>D216+D218+D219+D220</f>
        <v>6388.623934913634</v>
      </c>
      <c r="E222" s="634">
        <f t="shared" si="24"/>
        <v>120.49526695364239</v>
      </c>
    </row>
    <row r="223" spans="1:5" s="421" customFormat="1" x14ac:dyDescent="0.2">
      <c r="A223" s="588"/>
      <c r="B223" s="592" t="s">
        <v>826</v>
      </c>
      <c r="C223" s="634">
        <f>C215+C222</f>
        <v>12633.83859305111</v>
      </c>
      <c r="D223" s="634">
        <f>D215+D222</f>
        <v>12720.821985416009</v>
      </c>
      <c r="E223" s="634">
        <f t="shared" si="24"/>
        <v>86.983392364898464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11216.146940378745</v>
      </c>
      <c r="D227" s="636">
        <f t="shared" si="26"/>
        <v>12370.104895045779</v>
      </c>
      <c r="E227" s="636">
        <f t="shared" ref="E227:E235" si="27">D227-C227</f>
        <v>1153.9579546670338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8716.0631572457351</v>
      </c>
      <c r="D228" s="636">
        <f t="shared" si="26"/>
        <v>8665.9882493385085</v>
      </c>
      <c r="E228" s="636">
        <f t="shared" si="27"/>
        <v>-50.074907907226589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5720.7056647848558</v>
      </c>
      <c r="D229" s="636">
        <f t="shared" si="26"/>
        <v>7034.5175927200189</v>
      </c>
      <c r="E229" s="636">
        <f t="shared" si="27"/>
        <v>1313.8119279351631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5675.501647289314</v>
      </c>
      <c r="D230" s="636">
        <f t="shared" si="26"/>
        <v>6982.3144651506436</v>
      </c>
      <c r="E230" s="636">
        <f t="shared" si="27"/>
        <v>1306.8128178613297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11595.320255748646</v>
      </c>
      <c r="D231" s="636">
        <f t="shared" si="26"/>
        <v>14557.30645466591</v>
      </c>
      <c r="E231" s="636">
        <f t="shared" si="27"/>
        <v>2961.9861989172641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8123.0512352170617</v>
      </c>
      <c r="D232" s="636">
        <f t="shared" si="26"/>
        <v>3688.1199771344031</v>
      </c>
      <c r="E232" s="636">
        <f t="shared" si="27"/>
        <v>-4434.931258082659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578.73917309598403</v>
      </c>
      <c r="D233" s="636">
        <f t="shared" si="26"/>
        <v>194.04372277956216</v>
      </c>
      <c r="E233" s="636">
        <f t="shared" si="27"/>
        <v>-384.6954503164219</v>
      </c>
    </row>
    <row r="234" spans="1:5" x14ac:dyDescent="0.2">
      <c r="A234" s="588"/>
      <c r="B234" s="592" t="s">
        <v>828</v>
      </c>
      <c r="C234" s="637">
        <f t="shared" si="26"/>
        <v>7953.9525215429903</v>
      </c>
      <c r="D234" s="637">
        <f t="shared" si="26"/>
        <v>8249.6850345884395</v>
      </c>
      <c r="E234" s="637">
        <f t="shared" si="27"/>
        <v>295.7325130454492</v>
      </c>
    </row>
    <row r="235" spans="1:5" s="421" customFormat="1" x14ac:dyDescent="0.2">
      <c r="A235" s="588"/>
      <c r="B235" s="592" t="s">
        <v>829</v>
      </c>
      <c r="C235" s="637">
        <f t="shared" si="26"/>
        <v>8937.3882765314574</v>
      </c>
      <c r="D235" s="637">
        <f t="shared" si="26"/>
        <v>9411.3909900968192</v>
      </c>
      <c r="E235" s="637">
        <f t="shared" si="27"/>
        <v>474.00271356536177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12820.974716159684</v>
      </c>
      <c r="D239" s="636">
        <f t="shared" si="28"/>
        <v>14525.34953367462</v>
      </c>
      <c r="E239" s="638">
        <f t="shared" ref="E239:E247" si="29">D239-C239</f>
        <v>1704.3748175149358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10867.256580684641</v>
      </c>
      <c r="D240" s="636">
        <f t="shared" si="28"/>
        <v>11307.209982911463</v>
      </c>
      <c r="E240" s="638">
        <f t="shared" si="29"/>
        <v>439.95340222682171</v>
      </c>
    </row>
    <row r="241" spans="1:5" x14ac:dyDescent="0.2">
      <c r="A241" s="588">
        <v>3</v>
      </c>
      <c r="B241" s="587" t="s">
        <v>777</v>
      </c>
      <c r="C241" s="636">
        <f t="shared" si="28"/>
        <v>6807.3038203322358</v>
      </c>
      <c r="D241" s="636">
        <f t="shared" si="28"/>
        <v>6701.664506428132</v>
      </c>
      <c r="E241" s="638">
        <f t="shared" si="29"/>
        <v>-105.6393139041038</v>
      </c>
    </row>
    <row r="242" spans="1:5" x14ac:dyDescent="0.2">
      <c r="A242" s="588">
        <v>4</v>
      </c>
      <c r="B242" s="587" t="s">
        <v>115</v>
      </c>
      <c r="C242" s="636">
        <f t="shared" si="28"/>
        <v>6819.0008907571355</v>
      </c>
      <c r="D242" s="636">
        <f t="shared" si="28"/>
        <v>6688.8460974259206</v>
      </c>
      <c r="E242" s="638">
        <f t="shared" si="29"/>
        <v>-130.15479333121493</v>
      </c>
    </row>
    <row r="243" spans="1:5" x14ac:dyDescent="0.2">
      <c r="A243" s="588">
        <v>5</v>
      </c>
      <c r="B243" s="587" t="s">
        <v>743</v>
      </c>
      <c r="C243" s="636">
        <f t="shared" si="28"/>
        <v>5298.2751903406352</v>
      </c>
      <c r="D243" s="636">
        <f t="shared" si="28"/>
        <v>8439.088558420488</v>
      </c>
      <c r="E243" s="638">
        <f t="shared" si="29"/>
        <v>3140.8133680798528</v>
      </c>
    </row>
    <row r="244" spans="1:5" x14ac:dyDescent="0.2">
      <c r="A244" s="588">
        <v>6</v>
      </c>
      <c r="B244" s="587" t="s">
        <v>424</v>
      </c>
      <c r="C244" s="636">
        <f t="shared" si="28"/>
        <v>4547.1823666782539</v>
      </c>
      <c r="D244" s="636">
        <f t="shared" si="28"/>
        <v>1941.1717315151279</v>
      </c>
      <c r="E244" s="638">
        <f t="shared" si="29"/>
        <v>-2606.0106351631257</v>
      </c>
    </row>
    <row r="245" spans="1:5" x14ac:dyDescent="0.2">
      <c r="A245" s="588">
        <v>7</v>
      </c>
      <c r="B245" s="587" t="s">
        <v>758</v>
      </c>
      <c r="C245" s="636">
        <f t="shared" si="28"/>
        <v>1410.2044707472073</v>
      </c>
      <c r="D245" s="636">
        <f t="shared" si="28"/>
        <v>2611.5416158146518</v>
      </c>
      <c r="E245" s="638">
        <f t="shared" si="29"/>
        <v>1201.3371450674445</v>
      </c>
    </row>
    <row r="246" spans="1:5" ht="25.5" x14ac:dyDescent="0.2">
      <c r="A246" s="588"/>
      <c r="B246" s="592" t="s">
        <v>831</v>
      </c>
      <c r="C246" s="637">
        <f t="shared" si="28"/>
        <v>8760.9887909133322</v>
      </c>
      <c r="D246" s="637">
        <f t="shared" si="28"/>
        <v>8837.0850397791055</v>
      </c>
      <c r="E246" s="639">
        <f t="shared" si="29"/>
        <v>76.096248865773305</v>
      </c>
    </row>
    <row r="247" spans="1:5" x14ac:dyDescent="0.2">
      <c r="A247" s="588"/>
      <c r="B247" s="592" t="s">
        <v>832</v>
      </c>
      <c r="C247" s="637">
        <f t="shared" si="28"/>
        <v>10806.661015528114</v>
      </c>
      <c r="D247" s="637">
        <f t="shared" si="28"/>
        <v>11668.601539285337</v>
      </c>
      <c r="E247" s="639">
        <f t="shared" si="29"/>
        <v>861.94052375722276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12832405.46518187</v>
      </c>
      <c r="D251" s="622">
        <f>((IF((IF(D15=0,0,D26/D15)*D138)=0,0,D59/(IF(D15=0,0,D26/D15)*D138)))-(IF((IF(D17=0,0,D28/D17)*D140)=0,0,D61/(IF(D17=0,0,D28/D17)*D140))))*(IF(D17=0,0,D28/D17)*D140)</f>
        <v>15502222.676091405</v>
      </c>
      <c r="E251" s="622">
        <f>D251-C251</f>
        <v>2669817.2109095342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25693.999344656462</v>
      </c>
      <c r="D252" s="622">
        <f>IF(D231=0,0,(D228-D231)*D207)+IF(D243=0,0,(D240-D243)*D219)</f>
        <v>-128164.20031633537</v>
      </c>
      <c r="E252" s="622">
        <f>D252-C252</f>
        <v>-153858.19966099184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20750235.496727686</v>
      </c>
      <c r="D253" s="622">
        <f>IF(D233=0,0,(D228-D233)*D209+IF(D221=0,0,(D240-D245)*D221))</f>
        <v>18314706.098150939</v>
      </c>
      <c r="E253" s="622">
        <f>D253-C253</f>
        <v>-2435529.3985767476</v>
      </c>
    </row>
    <row r="254" spans="1:5" ht="15" customHeight="1" x14ac:dyDescent="0.2">
      <c r="A254" s="588"/>
      <c r="B254" s="592" t="s">
        <v>759</v>
      </c>
      <c r="C254" s="640">
        <f>+C251+C252+C253</f>
        <v>33608334.961254209</v>
      </c>
      <c r="D254" s="640">
        <f>+D251+D252+D253</f>
        <v>33688764.573926009</v>
      </c>
      <c r="E254" s="640">
        <f>D254-C254</f>
        <v>80429.612671799958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1116185946</v>
      </c>
      <c r="D258" s="625">
        <f>+D44</f>
        <v>1192685498</v>
      </c>
      <c r="E258" s="622">
        <f t="shared" ref="E258:E271" si="30">D258-C258</f>
        <v>76499552</v>
      </c>
    </row>
    <row r="259" spans="1:5" x14ac:dyDescent="0.2">
      <c r="A259" s="588">
        <v>2</v>
      </c>
      <c r="B259" s="587" t="s">
        <v>742</v>
      </c>
      <c r="C259" s="622">
        <f>+(C43-C76)</f>
        <v>530258947</v>
      </c>
      <c r="D259" s="625">
        <f>+(D43-D76)</f>
        <v>601549779</v>
      </c>
      <c r="E259" s="622">
        <f t="shared" si="30"/>
        <v>71290832</v>
      </c>
    </row>
    <row r="260" spans="1:5" x14ac:dyDescent="0.2">
      <c r="A260" s="588">
        <v>3</v>
      </c>
      <c r="B260" s="587" t="s">
        <v>746</v>
      </c>
      <c r="C260" s="622">
        <f>C195</f>
        <v>42741000</v>
      </c>
      <c r="D260" s="622">
        <f>D195</f>
        <v>40808000</v>
      </c>
      <c r="E260" s="622">
        <f t="shared" si="30"/>
        <v>-1933000</v>
      </c>
    </row>
    <row r="261" spans="1:5" x14ac:dyDescent="0.2">
      <c r="A261" s="588">
        <v>4</v>
      </c>
      <c r="B261" s="587" t="s">
        <v>747</v>
      </c>
      <c r="C261" s="622">
        <f>C188</f>
        <v>146520421</v>
      </c>
      <c r="D261" s="622">
        <f>D188</f>
        <v>144331512</v>
      </c>
      <c r="E261" s="622">
        <f t="shared" si="30"/>
        <v>-2188909</v>
      </c>
    </row>
    <row r="262" spans="1:5" x14ac:dyDescent="0.2">
      <c r="A262" s="588">
        <v>5</v>
      </c>
      <c r="B262" s="587" t="s">
        <v>748</v>
      </c>
      <c r="C262" s="622">
        <f>C191</f>
        <v>13360954</v>
      </c>
      <c r="D262" s="622">
        <f>D191</f>
        <v>15759908</v>
      </c>
      <c r="E262" s="622">
        <f t="shared" si="30"/>
        <v>2398954</v>
      </c>
    </row>
    <row r="263" spans="1:5" x14ac:dyDescent="0.2">
      <c r="A263" s="588">
        <v>6</v>
      </c>
      <c r="B263" s="587" t="s">
        <v>749</v>
      </c>
      <c r="C263" s="622">
        <f>+C259+C260+C261+C262</f>
        <v>732881322</v>
      </c>
      <c r="D263" s="622">
        <f>+D259+D260+D261+D262</f>
        <v>802449199</v>
      </c>
      <c r="E263" s="622">
        <f t="shared" si="30"/>
        <v>69567877</v>
      </c>
    </row>
    <row r="264" spans="1:5" x14ac:dyDescent="0.2">
      <c r="A264" s="588">
        <v>7</v>
      </c>
      <c r="B264" s="587" t="s">
        <v>654</v>
      </c>
      <c r="C264" s="622">
        <f>+C258-C263</f>
        <v>383304624</v>
      </c>
      <c r="D264" s="622">
        <f>+D258-D263</f>
        <v>390236299</v>
      </c>
      <c r="E264" s="622">
        <f t="shared" si="30"/>
        <v>6931675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383304624</v>
      </c>
      <c r="D266" s="622">
        <f>+D264+D265</f>
        <v>390236299</v>
      </c>
      <c r="E266" s="641">
        <f t="shared" si="30"/>
        <v>6931675</v>
      </c>
    </row>
    <row r="267" spans="1:5" x14ac:dyDescent="0.2">
      <c r="A267" s="588">
        <v>10</v>
      </c>
      <c r="B267" s="587" t="s">
        <v>837</v>
      </c>
      <c r="C267" s="642">
        <f>IF(C258=0,0,C266/C258)</f>
        <v>0.34340570706307744</v>
      </c>
      <c r="D267" s="642">
        <f>IF(D258=0,0,D266/D258)</f>
        <v>0.32719128358178462</v>
      </c>
      <c r="E267" s="643">
        <f t="shared" si="30"/>
        <v>-1.6214423481292817E-2</v>
      </c>
    </row>
    <row r="268" spans="1:5" x14ac:dyDescent="0.2">
      <c r="A268" s="588">
        <v>11</v>
      </c>
      <c r="B268" s="587" t="s">
        <v>716</v>
      </c>
      <c r="C268" s="622">
        <f>+C260*C267</f>
        <v>14677503.325582992</v>
      </c>
      <c r="D268" s="644">
        <f>+D260*D267</f>
        <v>13352021.900405467</v>
      </c>
      <c r="E268" s="622">
        <f t="shared" si="30"/>
        <v>-1325481.4251775257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24477762.210635394</v>
      </c>
      <c r="D269" s="644">
        <f>((D17+D18+D28+D29)*D267)-(D50+D51+D61+D62)</f>
        <v>22499281.604272977</v>
      </c>
      <c r="E269" s="622">
        <f t="shared" si="30"/>
        <v>-1978480.6063624173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39155265.53621839</v>
      </c>
      <c r="D271" s="622">
        <f>+D268+D269+D270</f>
        <v>35851303.504678443</v>
      </c>
      <c r="E271" s="625">
        <f t="shared" si="30"/>
        <v>-3303962.0315399468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0.49566671033209209</v>
      </c>
      <c r="D276" s="623">
        <f t="shared" si="31"/>
        <v>0.52290301480874735</v>
      </c>
      <c r="E276" s="650">
        <f t="shared" ref="E276:E284" si="32">D276-C276</f>
        <v>2.723630447665526E-2</v>
      </c>
    </row>
    <row r="277" spans="1:5" x14ac:dyDescent="0.2">
      <c r="A277" s="588">
        <v>2</v>
      </c>
      <c r="B277" s="587" t="s">
        <v>635</v>
      </c>
      <c r="C277" s="623">
        <f t="shared" si="31"/>
        <v>0.32024333851680725</v>
      </c>
      <c r="D277" s="623">
        <f t="shared" si="31"/>
        <v>0.28973585433358628</v>
      </c>
      <c r="E277" s="650">
        <f t="shared" si="32"/>
        <v>-3.0507484183220968E-2</v>
      </c>
    </row>
    <row r="278" spans="1:5" x14ac:dyDescent="0.2">
      <c r="A278" s="588">
        <v>3</v>
      </c>
      <c r="B278" s="587" t="s">
        <v>777</v>
      </c>
      <c r="C278" s="623">
        <f t="shared" si="31"/>
        <v>0.21991221823460463</v>
      </c>
      <c r="D278" s="623">
        <f t="shared" si="31"/>
        <v>0.24324500180424224</v>
      </c>
      <c r="E278" s="650">
        <f t="shared" si="32"/>
        <v>2.3332783569637611E-2</v>
      </c>
    </row>
    <row r="279" spans="1:5" x14ac:dyDescent="0.2">
      <c r="A279" s="588">
        <v>4</v>
      </c>
      <c r="B279" s="587" t="s">
        <v>115</v>
      </c>
      <c r="C279" s="623">
        <f t="shared" si="31"/>
        <v>0.21824572144522894</v>
      </c>
      <c r="D279" s="623">
        <f t="shared" si="31"/>
        <v>0.24183566997101538</v>
      </c>
      <c r="E279" s="650">
        <f t="shared" si="32"/>
        <v>2.3589948525786442E-2</v>
      </c>
    </row>
    <row r="280" spans="1:5" x14ac:dyDescent="0.2">
      <c r="A280" s="588">
        <v>5</v>
      </c>
      <c r="B280" s="587" t="s">
        <v>743</v>
      </c>
      <c r="C280" s="623">
        <f t="shared" si="31"/>
        <v>0.42760868775998029</v>
      </c>
      <c r="D280" s="623">
        <f t="shared" si="31"/>
        <v>0.40731175072057435</v>
      </c>
      <c r="E280" s="650">
        <f t="shared" si="32"/>
        <v>-2.0296937039405938E-2</v>
      </c>
    </row>
    <row r="281" spans="1:5" x14ac:dyDescent="0.2">
      <c r="A281" s="588">
        <v>6</v>
      </c>
      <c r="B281" s="587" t="s">
        <v>424</v>
      </c>
      <c r="C281" s="623">
        <f t="shared" si="31"/>
        <v>0.42486755382284541</v>
      </c>
      <c r="D281" s="623">
        <f t="shared" si="31"/>
        <v>0.18471936150468785</v>
      </c>
      <c r="E281" s="650">
        <f t="shared" si="32"/>
        <v>-0.24014819231815757</v>
      </c>
    </row>
    <row r="282" spans="1:5" x14ac:dyDescent="0.2">
      <c r="A282" s="588">
        <v>7</v>
      </c>
      <c r="B282" s="587" t="s">
        <v>758</v>
      </c>
      <c r="C282" s="623">
        <f t="shared" si="31"/>
        <v>2.5660287223352125E-2</v>
      </c>
      <c r="D282" s="623">
        <f t="shared" si="31"/>
        <v>7.7194611724998342E-3</v>
      </c>
      <c r="E282" s="650">
        <f t="shared" si="32"/>
        <v>-1.7940826050852291E-2</v>
      </c>
    </row>
    <row r="283" spans="1:5" ht="29.25" customHeight="1" x14ac:dyDescent="0.2">
      <c r="A283" s="588"/>
      <c r="B283" s="592" t="s">
        <v>844</v>
      </c>
      <c r="C283" s="651">
        <f t="shared" si="31"/>
        <v>0.29566128130444685</v>
      </c>
      <c r="D283" s="651">
        <f t="shared" si="31"/>
        <v>0.2782664898465278</v>
      </c>
      <c r="E283" s="652">
        <f t="shared" si="32"/>
        <v>-1.7394791457919057E-2</v>
      </c>
    </row>
    <row r="284" spans="1:5" x14ac:dyDescent="0.2">
      <c r="A284" s="588"/>
      <c r="B284" s="592" t="s">
        <v>845</v>
      </c>
      <c r="C284" s="651">
        <f t="shared" si="31"/>
        <v>0.34892816314885183</v>
      </c>
      <c r="D284" s="651">
        <f t="shared" si="31"/>
        <v>0.3366277039671709</v>
      </c>
      <c r="E284" s="652">
        <f t="shared" si="32"/>
        <v>-1.2300459181680934E-2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0.45681500614566495</v>
      </c>
      <c r="D287" s="623">
        <f t="shared" si="33"/>
        <v>0.48097169078635404</v>
      </c>
      <c r="E287" s="650">
        <f t="shared" ref="E287:E295" si="34">D287-C287</f>
        <v>2.4156684640689097E-2</v>
      </c>
    </row>
    <row r="288" spans="1:5" x14ac:dyDescent="0.2">
      <c r="A288" s="588">
        <v>2</v>
      </c>
      <c r="B288" s="587" t="s">
        <v>635</v>
      </c>
      <c r="C288" s="623">
        <f t="shared" si="33"/>
        <v>0.27376203700657464</v>
      </c>
      <c r="D288" s="623">
        <f t="shared" si="33"/>
        <v>0.24648993242886738</v>
      </c>
      <c r="E288" s="650">
        <f t="shared" si="34"/>
        <v>-2.7272104577707262E-2</v>
      </c>
    </row>
    <row r="289" spans="1:5" x14ac:dyDescent="0.2">
      <c r="A289" s="588">
        <v>3</v>
      </c>
      <c r="B289" s="587" t="s">
        <v>777</v>
      </c>
      <c r="C289" s="623">
        <f t="shared" si="33"/>
        <v>0.24905070699342827</v>
      </c>
      <c r="D289" s="623">
        <f t="shared" si="33"/>
        <v>0.22299518344821967</v>
      </c>
      <c r="E289" s="650">
        <f t="shared" si="34"/>
        <v>-2.6055523545208598E-2</v>
      </c>
    </row>
    <row r="290" spans="1:5" x14ac:dyDescent="0.2">
      <c r="A290" s="588">
        <v>4</v>
      </c>
      <c r="B290" s="587" t="s">
        <v>115</v>
      </c>
      <c r="C290" s="623">
        <f t="shared" si="33"/>
        <v>0.24949366084266886</v>
      </c>
      <c r="D290" s="623">
        <f t="shared" si="33"/>
        <v>0.2227608251943044</v>
      </c>
      <c r="E290" s="650">
        <f t="shared" si="34"/>
        <v>-2.6732835648364456E-2</v>
      </c>
    </row>
    <row r="291" spans="1:5" x14ac:dyDescent="0.2">
      <c r="A291" s="588">
        <v>5</v>
      </c>
      <c r="B291" s="587" t="s">
        <v>743</v>
      </c>
      <c r="C291" s="623">
        <f t="shared" si="33"/>
        <v>0.1923490630993224</v>
      </c>
      <c r="D291" s="623">
        <f t="shared" si="33"/>
        <v>0.25141047880492445</v>
      </c>
      <c r="E291" s="650">
        <f t="shared" si="34"/>
        <v>5.9061415705602055E-2</v>
      </c>
    </row>
    <row r="292" spans="1:5" x14ac:dyDescent="0.2">
      <c r="A292" s="588">
        <v>6</v>
      </c>
      <c r="B292" s="587" t="s">
        <v>424</v>
      </c>
      <c r="C292" s="623">
        <f t="shared" si="33"/>
        <v>0.31813207135608812</v>
      </c>
      <c r="D292" s="623">
        <f t="shared" si="33"/>
        <v>9.8076787087031603E-2</v>
      </c>
      <c r="E292" s="650">
        <f t="shared" si="34"/>
        <v>-0.22005528426905652</v>
      </c>
    </row>
    <row r="293" spans="1:5" x14ac:dyDescent="0.2">
      <c r="A293" s="588">
        <v>7</v>
      </c>
      <c r="B293" s="587" t="s">
        <v>758</v>
      </c>
      <c r="C293" s="623">
        <f t="shared" si="33"/>
        <v>5.9171014249946953E-2</v>
      </c>
      <c r="D293" s="623">
        <f t="shared" si="33"/>
        <v>9.5191986615498325E-2</v>
      </c>
      <c r="E293" s="650">
        <f t="shared" si="34"/>
        <v>3.6020972365551372E-2</v>
      </c>
    </row>
    <row r="294" spans="1:5" ht="29.25" customHeight="1" x14ac:dyDescent="0.2">
      <c r="A294" s="588"/>
      <c r="B294" s="592" t="s">
        <v>847</v>
      </c>
      <c r="C294" s="651">
        <f t="shared" si="33"/>
        <v>0.26352047671485723</v>
      </c>
      <c r="D294" s="651">
        <f t="shared" si="33"/>
        <v>0.23622758630261415</v>
      </c>
      <c r="E294" s="652">
        <f t="shared" si="34"/>
        <v>-2.7292890412243087E-2</v>
      </c>
    </row>
    <row r="295" spans="1:5" x14ac:dyDescent="0.2">
      <c r="A295" s="588"/>
      <c r="B295" s="592" t="s">
        <v>848</v>
      </c>
      <c r="C295" s="651">
        <f t="shared" si="33"/>
        <v>0.35274413838101293</v>
      </c>
      <c r="D295" s="651">
        <f t="shared" si="33"/>
        <v>0.34501468741697888</v>
      </c>
      <c r="E295" s="652">
        <f t="shared" si="34"/>
        <v>-7.7294509640340459E-3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390945685</v>
      </c>
      <c r="D301" s="590">
        <f>+D48+D47+D50+D51+D52+D59+D58+D61+D62+D63</f>
        <v>405099277</v>
      </c>
      <c r="E301" s="590">
        <f>D301-C301</f>
        <v>14153592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390945685</v>
      </c>
      <c r="D303" s="593">
        <f>+D301+D302</f>
        <v>405099277</v>
      </c>
      <c r="E303" s="593">
        <f>D303-C303</f>
        <v>14153592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33619490</v>
      </c>
      <c r="D305" s="654">
        <v>3085057</v>
      </c>
      <c r="E305" s="655">
        <f>D305-C305</f>
        <v>-30534433</v>
      </c>
    </row>
    <row r="306" spans="1:5" x14ac:dyDescent="0.2">
      <c r="A306" s="588">
        <v>4</v>
      </c>
      <c r="B306" s="592" t="s">
        <v>855</v>
      </c>
      <c r="C306" s="593">
        <f>+C303+C305+C194+C190-C191</f>
        <v>460088743</v>
      </c>
      <c r="D306" s="593">
        <f>+D303+D305</f>
        <v>408184334</v>
      </c>
      <c r="E306" s="656">
        <f>D306-C306</f>
        <v>-51904409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424565000</v>
      </c>
      <c r="D308" s="589">
        <v>408184000</v>
      </c>
      <c r="E308" s="590">
        <f>D308-C308</f>
        <v>-16381000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35523743</v>
      </c>
      <c r="D310" s="658">
        <f>D306-D308</f>
        <v>334</v>
      </c>
      <c r="E310" s="656">
        <f>D310-C310</f>
        <v>-35523409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1116185946</v>
      </c>
      <c r="D314" s="590">
        <f>+D14+D15+D16+D19+D25+D26+D27+D30</f>
        <v>1192685498</v>
      </c>
      <c r="E314" s="590">
        <f>D314-C314</f>
        <v>76499552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1116185946</v>
      </c>
      <c r="D316" s="657">
        <f>D314+D315</f>
        <v>1192685498</v>
      </c>
      <c r="E316" s="593">
        <f>D316-C316</f>
        <v>76499552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1116186000</v>
      </c>
      <c r="D318" s="589">
        <v>1192685000</v>
      </c>
      <c r="E318" s="590">
        <f>D318-C318</f>
        <v>76499000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-54</v>
      </c>
      <c r="D320" s="657">
        <f>D316-D318</f>
        <v>498</v>
      </c>
      <c r="E320" s="593">
        <f>D320-C320</f>
        <v>552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42741000</v>
      </c>
      <c r="D324" s="589">
        <f>+D193+D194</f>
        <v>40808000</v>
      </c>
      <c r="E324" s="590">
        <f>D324-C324</f>
        <v>-1933000</v>
      </c>
    </row>
    <row r="325" spans="1:5" x14ac:dyDescent="0.2">
      <c r="A325" s="588">
        <v>2</v>
      </c>
      <c r="B325" s="587" t="s">
        <v>865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866</v>
      </c>
      <c r="C326" s="657">
        <f>C324+C325</f>
        <v>42741000</v>
      </c>
      <c r="D326" s="657">
        <f>D324+D325</f>
        <v>40808000</v>
      </c>
      <c r="E326" s="593">
        <f>D326-C326</f>
        <v>-1933000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42741000</v>
      </c>
      <c r="D328" s="589">
        <v>40808000</v>
      </c>
      <c r="E328" s="590">
        <f>D328-C328</f>
        <v>-1933000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FILING&amp;RSAINT VINCENT`S MEDICAL CENTER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sqref="A1:F1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181894656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438086271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141885049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140676638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1208411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593771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21755534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580565091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762459747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191232440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136933475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101621455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100790177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831278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438381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34649030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238993311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430225751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373127096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819558402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1192685498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95113264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126929300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34512829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34020629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492200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109681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167941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161551810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256665074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91977390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33752723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22661095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22452103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208992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42995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3298310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56456813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148434203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187090654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218008623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405099277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6023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9550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4721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4685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36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30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793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14301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20324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1.2766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1.5337000000000001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1.0392313492904046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1.04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0.93920000000000003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0.99129999999999996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1.0913999999999999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1.3693297811341865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1.3418493898838812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349570952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205239440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144331512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0.4128818804143658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23556144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15759908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14991000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25817000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40808000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15967000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394491000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405099277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405099277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3085057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408184334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408184000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334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1192685498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1192685498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1192685000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498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40808000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40808000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40808000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FILING&amp;RSAINT VINCENT`S MEDICAL CENTER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882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3003</v>
      </c>
      <c r="D12" s="185">
        <v>3142</v>
      </c>
      <c r="E12" s="185">
        <f>+D12-C12</f>
        <v>139</v>
      </c>
      <c r="F12" s="77">
        <f>IF(C12=0,0,+E12/C12)</f>
        <v>4.6287046287046288E-2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2978</v>
      </c>
      <c r="D13" s="185">
        <v>3047</v>
      </c>
      <c r="E13" s="185">
        <f>+D13-C13</f>
        <v>69</v>
      </c>
      <c r="F13" s="77">
        <f>IF(C13=0,0,+E13/C13)</f>
        <v>2.3169912693082606E-2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15330000</v>
      </c>
      <c r="D15" s="76">
        <v>14991000</v>
      </c>
      <c r="E15" s="76">
        <f>+D15-C15</f>
        <v>-339000</v>
      </c>
      <c r="F15" s="77">
        <f>IF(C15=0,0,+E15/C15)</f>
        <v>-2.2113502935420744E-2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5147.7501678979179</v>
      </c>
      <c r="D16" s="79">
        <f>IF(D13=0,0,+D15/+D13)</f>
        <v>4919.9212340006561</v>
      </c>
      <c r="E16" s="79">
        <f>+D16-C16</f>
        <v>-227.82893389726178</v>
      </c>
      <c r="F16" s="80">
        <f>IF(C16=0,0,+E16/C16)</f>
        <v>-4.4257962501372837E-2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0.37779400000000002</v>
      </c>
      <c r="D18" s="704">
        <v>0.33096399999999998</v>
      </c>
      <c r="E18" s="704">
        <f>+D18-C18</f>
        <v>-4.6830000000000038E-2</v>
      </c>
      <c r="F18" s="77">
        <f>IF(C18=0,0,+E18/C18)</f>
        <v>-0.12395644187043742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5791582.0200000005</v>
      </c>
      <c r="D19" s="79">
        <f>+D15*D18</f>
        <v>4961481.324</v>
      </c>
      <c r="E19" s="79">
        <f>+D19-C19</f>
        <v>-830100.69600000046</v>
      </c>
      <c r="F19" s="80">
        <f>IF(C19=0,0,+E19/C19)</f>
        <v>-0.1433288336646919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1944.7891269308261</v>
      </c>
      <c r="D20" s="79">
        <f>IF(D13=0,0,+D19/D13)</f>
        <v>1628.3168112897933</v>
      </c>
      <c r="E20" s="79">
        <f>+D20-C20</f>
        <v>-316.47231564103276</v>
      </c>
      <c r="F20" s="80">
        <f>IF(C20=0,0,+E20/C20)</f>
        <v>-0.1627283448157047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3948573</v>
      </c>
      <c r="D22" s="76">
        <v>3339705</v>
      </c>
      <c r="E22" s="76">
        <f>+D22-C22</f>
        <v>-608868</v>
      </c>
      <c r="F22" s="77">
        <f>IF(C22=0,0,+E22/C22)</f>
        <v>-0.15419950447921313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2974043</v>
      </c>
      <c r="D23" s="185">
        <v>2803331</v>
      </c>
      <c r="E23" s="185">
        <f>+D23-C23</f>
        <v>-170712</v>
      </c>
      <c r="F23" s="77">
        <f>IF(C23=0,0,+E23/C23)</f>
        <v>-5.7400649553486616E-2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8407384</v>
      </c>
      <c r="D24" s="185">
        <v>8847964</v>
      </c>
      <c r="E24" s="185">
        <f>+D24-C24</f>
        <v>440580</v>
      </c>
      <c r="F24" s="77">
        <f>IF(C24=0,0,+E24/C24)</f>
        <v>5.2403934446196343E-2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15330000</v>
      </c>
      <c r="D25" s="79">
        <f>+D22+D23+D24</f>
        <v>14991000</v>
      </c>
      <c r="E25" s="79">
        <f>+E22+E23+E24</f>
        <v>-339000</v>
      </c>
      <c r="F25" s="80">
        <f>IF(C25=0,0,+E25/C25)</f>
        <v>-2.2113502935420744E-2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671</v>
      </c>
      <c r="D27" s="185">
        <v>587</v>
      </c>
      <c r="E27" s="185">
        <f>+D27-C27</f>
        <v>-84</v>
      </c>
      <c r="F27" s="77">
        <f>IF(C27=0,0,+E27/C27)</f>
        <v>-0.12518628912071536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144</v>
      </c>
      <c r="D28" s="185">
        <v>95</v>
      </c>
      <c r="E28" s="185">
        <f>+D28-C28</f>
        <v>-49</v>
      </c>
      <c r="F28" s="77">
        <f>IF(C28=0,0,+E28/C28)</f>
        <v>-0.34027777777777779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1412</v>
      </c>
      <c r="D29" s="185">
        <v>1299</v>
      </c>
      <c r="E29" s="185">
        <f>+D29-C29</f>
        <v>-113</v>
      </c>
      <c r="F29" s="77">
        <f>IF(C29=0,0,+E29/C29)</f>
        <v>-8.0028328611898014E-2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7629</v>
      </c>
      <c r="D30" s="185">
        <v>7283</v>
      </c>
      <c r="E30" s="185">
        <f>+D30-C30</f>
        <v>-346</v>
      </c>
      <c r="F30" s="77">
        <f>IF(C30=0,0,+E30/C30)</f>
        <v>-4.5353257307641892E-2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13336000</v>
      </c>
      <c r="D33" s="76">
        <v>11631000</v>
      </c>
      <c r="E33" s="76">
        <f>+D33-C33</f>
        <v>-1705000</v>
      </c>
      <c r="F33" s="77">
        <f>IF(C33=0,0,+E33/C33)</f>
        <v>-0.1278494301139772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3171000</v>
      </c>
      <c r="D34" s="185">
        <v>3863000</v>
      </c>
      <c r="E34" s="185">
        <f>+D34-C34</f>
        <v>692000</v>
      </c>
      <c r="F34" s="77">
        <f>IF(C34=0,0,+E34/C34)</f>
        <v>0.21822768842636392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10904000</v>
      </c>
      <c r="D35" s="185">
        <v>10323000</v>
      </c>
      <c r="E35" s="185">
        <f>+D35-C35</f>
        <v>-581000</v>
      </c>
      <c r="F35" s="77">
        <f>IF(C35=0,0,+E35/C35)</f>
        <v>-5.3283198826118858E-2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27411000</v>
      </c>
      <c r="D36" s="79">
        <f>+D33+D34+D35</f>
        <v>25817000</v>
      </c>
      <c r="E36" s="79">
        <f>+E33+E34+E35</f>
        <v>-1594000</v>
      </c>
      <c r="F36" s="80">
        <f>IF(C36=0,0,+E36/C36)</f>
        <v>-5.8151836853817813E-2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15330000</v>
      </c>
      <c r="D39" s="76">
        <f>+D25</f>
        <v>14991000</v>
      </c>
      <c r="E39" s="76">
        <f>+D39-C39</f>
        <v>-339000</v>
      </c>
      <c r="F39" s="77">
        <f>IF(C39=0,0,+E39/C39)</f>
        <v>-2.2113502935420744E-2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27411000</v>
      </c>
      <c r="D40" s="185">
        <f>+D36</f>
        <v>25817000</v>
      </c>
      <c r="E40" s="185">
        <f>+D40-C40</f>
        <v>-1594000</v>
      </c>
      <c r="F40" s="77">
        <f>IF(C40=0,0,+E40/C40)</f>
        <v>-5.8151836853817813E-2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42741000</v>
      </c>
      <c r="D41" s="79">
        <f>+D39+D40</f>
        <v>40808000</v>
      </c>
      <c r="E41" s="79">
        <f>+E39+E40</f>
        <v>-1933000</v>
      </c>
      <c r="F41" s="80">
        <f>IF(C41=0,0,+E41/C41)</f>
        <v>-4.5225895510165884E-2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17284573</v>
      </c>
      <c r="D43" s="76">
        <f t="shared" si="0"/>
        <v>14970705</v>
      </c>
      <c r="E43" s="76">
        <f>+D43-C43</f>
        <v>-2313868</v>
      </c>
      <c r="F43" s="77">
        <f>IF(C43=0,0,+E43/C43)</f>
        <v>-0.13386897090254993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6145043</v>
      </c>
      <c r="D44" s="185">
        <f t="shared" si="0"/>
        <v>6666331</v>
      </c>
      <c r="E44" s="185">
        <f>+D44-C44</f>
        <v>521288</v>
      </c>
      <c r="F44" s="77">
        <f>IF(C44=0,0,+E44/C44)</f>
        <v>8.4830651307077912E-2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19311384</v>
      </c>
      <c r="D45" s="185">
        <f t="shared" si="0"/>
        <v>19170964</v>
      </c>
      <c r="E45" s="185">
        <f>+D45-C45</f>
        <v>-140420</v>
      </c>
      <c r="F45" s="77">
        <f>IF(C45=0,0,+E45/C45)</f>
        <v>-7.271358697025547E-3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42741000</v>
      </c>
      <c r="D46" s="79">
        <f>+D43+D44+D45</f>
        <v>40808000</v>
      </c>
      <c r="E46" s="79">
        <f>+E43+E44+E45</f>
        <v>-1933000</v>
      </c>
      <c r="F46" s="80">
        <f>IF(C46=0,0,+E46/C46)</f>
        <v>-4.5225895510165884E-2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911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FILING&amp;RSAINT VINCENT`S MEDICAL CENTER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sqref="A1:F1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912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913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351375285</v>
      </c>
      <c r="D15" s="76">
        <v>349570952</v>
      </c>
      <c r="E15" s="76">
        <f>+D15-C15</f>
        <v>-1804333</v>
      </c>
      <c r="F15" s="77">
        <f>IF(C15=0,0,E15/C15)</f>
        <v>-5.1350595133633258E-3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146520421</v>
      </c>
      <c r="D17" s="76">
        <v>144331512</v>
      </c>
      <c r="E17" s="76">
        <f>+D17-C17</f>
        <v>-2188909</v>
      </c>
      <c r="F17" s="77">
        <f>IF(C17=0,0,E17/C17)</f>
        <v>-1.4939275938880902E-2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204854864</v>
      </c>
      <c r="D19" s="79">
        <f>+D15-D17</f>
        <v>205239440</v>
      </c>
      <c r="E19" s="79">
        <f>+D19-C19</f>
        <v>384576</v>
      </c>
      <c r="F19" s="80">
        <f>IF(C19=0,0,E19/C19)</f>
        <v>1.8773095863615912E-3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0.41699125480609711</v>
      </c>
      <c r="D21" s="720">
        <f>IF(D15=0,0,D17/D15)</f>
        <v>0.4128818804143658</v>
      </c>
      <c r="E21" s="720">
        <f>+D21-C21</f>
        <v>-4.109374391731313E-3</v>
      </c>
      <c r="F21" s="80">
        <f>IF(C21=0,0,E21/C21)</f>
        <v>-9.8548215205189176E-3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FILING&amp;RSAINT VINCENT`S MEDICAL CENTER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F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684144505</v>
      </c>
      <c r="D10" s="744">
        <v>729135968</v>
      </c>
      <c r="E10" s="744">
        <v>762459747</v>
      </c>
    </row>
    <row r="11" spans="1:6" ht="26.1" customHeight="1" x14ac:dyDescent="0.25">
      <c r="A11" s="742">
        <v>2</v>
      </c>
      <c r="B11" s="743" t="s">
        <v>932</v>
      </c>
      <c r="C11" s="744">
        <v>320088865</v>
      </c>
      <c r="D11" s="744">
        <v>387049978</v>
      </c>
      <c r="E11" s="744">
        <v>430225751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1004233370</v>
      </c>
      <c r="D12" s="744">
        <f>+D11+D10</f>
        <v>1116185946</v>
      </c>
      <c r="E12" s="744">
        <f>+E11+E10</f>
        <v>1192685498</v>
      </c>
    </row>
    <row r="13" spans="1:6" ht="26.1" customHeight="1" x14ac:dyDescent="0.25">
      <c r="A13" s="742">
        <v>4</v>
      </c>
      <c r="B13" s="743" t="s">
        <v>507</v>
      </c>
      <c r="C13" s="744">
        <v>389074000</v>
      </c>
      <c r="D13" s="744">
        <v>424565000</v>
      </c>
      <c r="E13" s="744">
        <v>408184000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382310000</v>
      </c>
      <c r="D16" s="744">
        <v>373601000</v>
      </c>
      <c r="E16" s="744">
        <v>394491000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122440</v>
      </c>
      <c r="D19" s="747">
        <v>122878</v>
      </c>
      <c r="E19" s="747">
        <v>120574</v>
      </c>
    </row>
    <row r="20" spans="1:5" ht="26.1" customHeight="1" x14ac:dyDescent="0.25">
      <c r="A20" s="742">
        <v>2</v>
      </c>
      <c r="B20" s="743" t="s">
        <v>381</v>
      </c>
      <c r="C20" s="748">
        <v>22100</v>
      </c>
      <c r="D20" s="748">
        <v>21912</v>
      </c>
      <c r="E20" s="748">
        <v>20324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5.5402714932126695</v>
      </c>
      <c r="D21" s="749">
        <f>IF(D20=0,0,+D19/D20)</f>
        <v>5.607794815626141</v>
      </c>
      <c r="E21" s="749">
        <f>IF(E20=0,0,+E19/E20)</f>
        <v>5.9325920094469593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179725.67626308714</v>
      </c>
      <c r="D22" s="748">
        <f>IF(D10=0,0,D19*(D12/D10))</f>
        <v>188105.78916961068</v>
      </c>
      <c r="E22" s="748">
        <f>IF(E10=0,0,E19*(E12/E10))</f>
        <v>188609.1191065225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32439.868061207329</v>
      </c>
      <c r="D23" s="748">
        <f>IF(D10=0,0,D20*(D12/D10))</f>
        <v>33543.629065288405</v>
      </c>
      <c r="E23" s="748">
        <f>IF(E10=0,0,E20*(E12/E10))</f>
        <v>31792.02594855411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1.3074215158371041</v>
      </c>
      <c r="D26" s="750">
        <v>1.2991278751369113</v>
      </c>
      <c r="E26" s="750">
        <v>1.3418493898838812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160080.69039909504</v>
      </c>
      <c r="D27" s="748">
        <f>D19*D26</f>
        <v>159634.23504107338</v>
      </c>
      <c r="E27" s="748">
        <f>E19*E26</f>
        <v>161792.14833585909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28894.015500000001</v>
      </c>
      <c r="D28" s="748">
        <f>D20*D26</f>
        <v>28466.49</v>
      </c>
      <c r="E28" s="748">
        <f>E20*E26</f>
        <v>27271.747000000003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234977.21609473403</v>
      </c>
      <c r="D29" s="748">
        <f>D22*D26</f>
        <v>244373.47418486816</v>
      </c>
      <c r="E29" s="748">
        <f>E22*E26</f>
        <v>253085.03139962352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42412.581474139348</v>
      </c>
      <c r="D30" s="748">
        <f>D23*D26</f>
        <v>43577.463551968867</v>
      </c>
      <c r="E30" s="748">
        <f>E23*E26</f>
        <v>42660.110622239852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8201.8406566481535</v>
      </c>
      <c r="D33" s="744">
        <f>IF(D19=0,0,D12/D19)</f>
        <v>9083.6923289767092</v>
      </c>
      <c r="E33" s="744">
        <f>IF(E19=0,0,E12/E19)</f>
        <v>9891.7303730489166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45440.423981900451</v>
      </c>
      <c r="D34" s="744">
        <f>IF(D20=0,0,D12/D20)</f>
        <v>50939.482749178533</v>
      </c>
      <c r="E34" s="744">
        <f>IF(E20=0,0,E12/E20)</f>
        <v>58683.600570753792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5587.5898807579224</v>
      </c>
      <c r="D35" s="744">
        <f>IF(D22=0,0,D12/D22)</f>
        <v>5933.8202770227381</v>
      </c>
      <c r="E35" s="744">
        <f>IF(E22=0,0,E12/E22)</f>
        <v>6323.5834176522294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30956.764932126698</v>
      </c>
      <c r="D36" s="744">
        <f>IF(D23=0,0,D12/D23)</f>
        <v>33275.646586345385</v>
      </c>
      <c r="E36" s="744">
        <f>IF(E23=0,0,E12/E23)</f>
        <v>37515.240454634913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4273.7478411316724</v>
      </c>
      <c r="D37" s="744">
        <f>IF(D29=0,0,D12/D29)</f>
        <v>4567.5413410688225</v>
      </c>
      <c r="E37" s="744">
        <f>IF(E29=0,0,E12/E29)</f>
        <v>4712.5880634036348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23677.723333400994</v>
      </c>
      <c r="D38" s="744">
        <f>IF(D30=0,0,D12/D30)</f>
        <v>25613.834652603819</v>
      </c>
      <c r="E38" s="744">
        <f>IF(E30=0,0,E12/E30)</f>
        <v>27957.862288763528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3806.6041493065877</v>
      </c>
      <c r="D39" s="744">
        <f>IF(D22=0,0,D10/D22)</f>
        <v>3876.201637486844</v>
      </c>
      <c r="E39" s="744">
        <f>IF(E22=0,0,E10/E22)</f>
        <v>4042.5391445117698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21089.620454348355</v>
      </c>
      <c r="D40" s="744">
        <f>IF(D23=0,0,D10/D23)</f>
        <v>21736.943447020287</v>
      </c>
      <c r="E40" s="744">
        <f>IF(E23=0,0,E10/E23)</f>
        <v>23982.735426607072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3177.670695851029</v>
      </c>
      <c r="D43" s="744">
        <f>IF(D19=0,0,D13/D19)</f>
        <v>3455.1750516772736</v>
      </c>
      <c r="E43" s="744">
        <f>IF(E19=0,0,E13/E19)</f>
        <v>3385.3401230779436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17605.158371040725</v>
      </c>
      <c r="D44" s="744">
        <f>IF(D20=0,0,D13/D20)</f>
        <v>19375.912741876597</v>
      </c>
      <c r="E44" s="744">
        <f>IF(E20=0,0,E13/E20)</f>
        <v>20083.841763432396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2164.8214550627886</v>
      </c>
      <c r="D45" s="744">
        <f>IF(D22=0,0,D13/D22)</f>
        <v>2257.0544047274348</v>
      </c>
      <c r="E45" s="744">
        <f>IF(E22=0,0,E13/E22)</f>
        <v>2164.1795578795222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11993.698595379541</v>
      </c>
      <c r="D46" s="744">
        <f>IF(D23=0,0,D13/D23)</f>
        <v>12657.097989416656</v>
      </c>
      <c r="E46" s="744">
        <f>IF(E23=0,0,E13/E23)</f>
        <v>12839.194352084507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1655.7945764543397</v>
      </c>
      <c r="D47" s="744">
        <f>IF(D29=0,0,D13/D29)</f>
        <v>1737.361231271841</v>
      </c>
      <c r="E47" s="744">
        <f>IF(E29=0,0,E13/E29)</f>
        <v>1612.8334328689468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9173.5514905461259</v>
      </c>
      <c r="D48" s="744">
        <f>IF(D30=0,0,D13/D30)</f>
        <v>9742.76530559608</v>
      </c>
      <c r="E48" s="744">
        <f>IF(E30=0,0,E13/E30)</f>
        <v>9568.2827364072236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3122.4273113361646</v>
      </c>
      <c r="D51" s="744">
        <f>IF(D19=0,0,D16/D19)</f>
        <v>3040.4222073926985</v>
      </c>
      <c r="E51" s="744">
        <f>IF(E19=0,0,E16/E19)</f>
        <v>3271.7750095377114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17299.095022624435</v>
      </c>
      <c r="D52" s="744">
        <f>IF(D20=0,0,D16/D20)</f>
        <v>17050.063891931361</v>
      </c>
      <c r="E52" s="744">
        <f>IF(E20=0,0,E16/E20)</f>
        <v>19410.106278291674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2127.1863205586978</v>
      </c>
      <c r="D53" s="744">
        <f>IF(D22=0,0,D16/D22)</f>
        <v>1986.1217544088051</v>
      </c>
      <c r="E53" s="744">
        <f>IF(E22=0,0,E16/E22)</f>
        <v>2091.5796747727754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11785.189732543302</v>
      </c>
      <c r="D54" s="744">
        <f>IF(D23=0,0,D16/D23)</f>
        <v>11137.763277575996</v>
      </c>
      <c r="E54" s="744">
        <f>IF(E23=0,0,E16/E23)</f>
        <v>12408.488865678637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1627.0088068703092</v>
      </c>
      <c r="D55" s="744">
        <f>IF(D29=0,0,D16/D29)</f>
        <v>1528.8115915452076</v>
      </c>
      <c r="E55" s="744">
        <f>IF(E29=0,0,E16/E29)</f>
        <v>1558.7290872888298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9014.0705119095328</v>
      </c>
      <c r="D56" s="744">
        <f>IF(D30=0,0,D16/D30)</f>
        <v>8573.2617171363654</v>
      </c>
      <c r="E56" s="744">
        <f>IF(E30=0,0,E16/E30)</f>
        <v>9247.3037281422639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62345375</v>
      </c>
      <c r="D59" s="752">
        <v>64980063</v>
      </c>
      <c r="E59" s="752">
        <v>69212911</v>
      </c>
    </row>
    <row r="60" spans="1:6" ht="26.1" customHeight="1" x14ac:dyDescent="0.25">
      <c r="A60" s="742">
        <v>2</v>
      </c>
      <c r="B60" s="743" t="s">
        <v>968</v>
      </c>
      <c r="C60" s="752">
        <v>17202845</v>
      </c>
      <c r="D60" s="752">
        <v>7091846</v>
      </c>
      <c r="E60" s="752">
        <v>19798899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79548220</v>
      </c>
      <c r="D61" s="755">
        <f>D59+D60</f>
        <v>72071909</v>
      </c>
      <c r="E61" s="755">
        <f>E59+E60</f>
        <v>89011810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10691645</v>
      </c>
      <c r="D64" s="744">
        <v>11509155</v>
      </c>
      <c r="E64" s="752">
        <v>10079633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2950126</v>
      </c>
      <c r="D65" s="752">
        <v>1256095</v>
      </c>
      <c r="E65" s="752">
        <v>2883358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13641771</v>
      </c>
      <c r="D66" s="757">
        <f>D64+D65</f>
        <v>12765250</v>
      </c>
      <c r="E66" s="757">
        <f>E64+E65</f>
        <v>12962991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69982980</v>
      </c>
      <c r="D69" s="752">
        <v>76016782</v>
      </c>
      <c r="E69" s="752">
        <v>77039456</v>
      </c>
    </row>
    <row r="70" spans="1:6" ht="26.1" customHeight="1" x14ac:dyDescent="0.25">
      <c r="A70" s="742">
        <v>2</v>
      </c>
      <c r="B70" s="743" t="s">
        <v>976</v>
      </c>
      <c r="C70" s="752">
        <v>19310029</v>
      </c>
      <c r="D70" s="752">
        <v>8296059</v>
      </c>
      <c r="E70" s="752">
        <v>22037743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89293009</v>
      </c>
      <c r="D71" s="755">
        <f>D69+D70</f>
        <v>84312841</v>
      </c>
      <c r="E71" s="755">
        <f>E69+E70</f>
        <v>99077199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143020000</v>
      </c>
      <c r="D75" s="744">
        <f t="shared" si="0"/>
        <v>152506000</v>
      </c>
      <c r="E75" s="744">
        <f t="shared" si="0"/>
        <v>156332000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39463000</v>
      </c>
      <c r="D76" s="744">
        <f t="shared" si="0"/>
        <v>16644000</v>
      </c>
      <c r="E76" s="744">
        <f t="shared" si="0"/>
        <v>44720000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182483000</v>
      </c>
      <c r="D77" s="757">
        <f>D75+D76</f>
        <v>169150000</v>
      </c>
      <c r="E77" s="757">
        <f>E75+E76</f>
        <v>201052000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783.7</v>
      </c>
      <c r="D80" s="749">
        <v>790.3</v>
      </c>
      <c r="E80" s="749">
        <v>853</v>
      </c>
    </row>
    <row r="81" spans="1:5" ht="26.1" customHeight="1" x14ac:dyDescent="0.25">
      <c r="A81" s="742">
        <v>2</v>
      </c>
      <c r="B81" s="743" t="s">
        <v>617</v>
      </c>
      <c r="C81" s="749">
        <v>77.099999999999994</v>
      </c>
      <c r="D81" s="749">
        <v>74.5</v>
      </c>
      <c r="E81" s="749">
        <v>69.900000000000006</v>
      </c>
    </row>
    <row r="82" spans="1:5" ht="26.1" customHeight="1" x14ac:dyDescent="0.25">
      <c r="A82" s="742">
        <v>3</v>
      </c>
      <c r="B82" s="743" t="s">
        <v>982</v>
      </c>
      <c r="C82" s="749">
        <v>1186.4000000000001</v>
      </c>
      <c r="D82" s="749">
        <v>1213.4000000000001</v>
      </c>
      <c r="E82" s="749">
        <v>1340.3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2047.2000000000003</v>
      </c>
      <c r="D83" s="759">
        <f>D80+D81+D82</f>
        <v>2078.1999999999998</v>
      </c>
      <c r="E83" s="759">
        <f>E80+E81+E82</f>
        <v>2263.1999999999998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79552.603036876346</v>
      </c>
      <c r="D86" s="752">
        <f>IF(D80=0,0,D59/D80)</f>
        <v>82222.020751613323</v>
      </c>
      <c r="E86" s="752">
        <f>IF(E80=0,0,E59/E80)</f>
        <v>81140.575615474794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21950.803879035342</v>
      </c>
      <c r="D87" s="752">
        <f>IF(D80=0,0,D60/D80)</f>
        <v>8973.6125521953691</v>
      </c>
      <c r="E87" s="752">
        <f>IF(E80=0,0,E60/E80)</f>
        <v>23210.901524032826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101503.40691591169</v>
      </c>
      <c r="D88" s="755">
        <f>+D86+D87</f>
        <v>91195.633303808689</v>
      </c>
      <c r="E88" s="755">
        <f>+E86+E87</f>
        <v>104351.47713950762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138672.43839169911</v>
      </c>
      <c r="D91" s="744">
        <f>IF(D81=0,0,D64/D81)</f>
        <v>154485.30201342283</v>
      </c>
      <c r="E91" s="744">
        <f>IF(E81=0,0,E64/E81)</f>
        <v>144200.75822603717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38263.631647211419</v>
      </c>
      <c r="D92" s="744">
        <f>IF(D81=0,0,D65/D81)</f>
        <v>16860.335570469797</v>
      </c>
      <c r="E92" s="744">
        <f>IF(E81=0,0,E65/E81)</f>
        <v>41249.756795422029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176936.07003891052</v>
      </c>
      <c r="D93" s="757">
        <f>+D91+D92</f>
        <v>171345.63758389262</v>
      </c>
      <c r="E93" s="757">
        <f>+E91+E92</f>
        <v>185450.5150214592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58987.677006068778</v>
      </c>
      <c r="D96" s="752">
        <f>IF(D82=0,0,D69/D82)</f>
        <v>62647.751771880663</v>
      </c>
      <c r="E96" s="752">
        <f>IF(E82=0,0,E69/E82)</f>
        <v>57479.26285160039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16276.153910991232</v>
      </c>
      <c r="D97" s="752">
        <f>IF(D82=0,0,D70/D82)</f>
        <v>6837.0356024394259</v>
      </c>
      <c r="E97" s="752">
        <f>IF(E82=0,0,E70/E82)</f>
        <v>16442.395732298741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75263.830917060011</v>
      </c>
      <c r="D98" s="757">
        <f>+D96+D97</f>
        <v>69484.787374320091</v>
      </c>
      <c r="E98" s="757">
        <f>+E96+E97</f>
        <v>73921.65858389913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69861.273935130899</v>
      </c>
      <c r="D101" s="744">
        <f>IF(D83=0,0,D75/D83)</f>
        <v>73383.697430468688</v>
      </c>
      <c r="E101" s="744">
        <f>IF(E83=0,0,E75/E83)</f>
        <v>69075.645104277137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19276.572880031261</v>
      </c>
      <c r="D102" s="761">
        <f>IF(D83=0,0,D76/D83)</f>
        <v>8008.8538158021374</v>
      </c>
      <c r="E102" s="761">
        <f>IF(E83=0,0,E76/E83)</f>
        <v>19759.632378932485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89137.846815162164</v>
      </c>
      <c r="D103" s="757">
        <f>+D101+D102</f>
        <v>81392.551246270828</v>
      </c>
      <c r="E103" s="757">
        <f>+E101+E102</f>
        <v>88835.277483209618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1490.3871283894152</v>
      </c>
      <c r="D108" s="744">
        <f>IF(D19=0,0,D77/D19)</f>
        <v>1376.5686290466967</v>
      </c>
      <c r="E108" s="744">
        <f>IF(E19=0,0,E77/E19)</f>
        <v>1667.4573291090949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8257.1493212669684</v>
      </c>
      <c r="D109" s="744">
        <f>IF(D20=0,0,D77/D20)</f>
        <v>7719.5144213216499</v>
      </c>
      <c r="E109" s="744">
        <f>IF(E20=0,0,E77/E20)</f>
        <v>9892.3440267663846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1015.3418464976402</v>
      </c>
      <c r="D110" s="744">
        <f>IF(D22=0,0,D77/D22)</f>
        <v>899.22803942775693</v>
      </c>
      <c r="E110" s="744">
        <f>IF(E22=0,0,E77/E22)</f>
        <v>1065.9717883865944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5625.269488016791</v>
      </c>
      <c r="D111" s="744">
        <f>IF(D23=0,0,D77/D23)</f>
        <v>5042.6863375686353</v>
      </c>
      <c r="E111" s="744">
        <f>IF(E23=0,0,E77/E23)</f>
        <v>6323.9757140781958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776.59869766449901</v>
      </c>
      <c r="D112" s="744">
        <f>IF(D29=0,0,D77/D29)</f>
        <v>692.17823482772224</v>
      </c>
      <c r="E112" s="744">
        <f>IF(E29=0,0,E77/E29)</f>
        <v>794.40494322454458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4302.5676263367086</v>
      </c>
      <c r="D113" s="744">
        <f>IF(D30=0,0,D77/D30)</f>
        <v>3881.5935167561552</v>
      </c>
      <c r="E113" s="744">
        <f>IF(E30=0,0,E77/E30)</f>
        <v>4712.8804184390992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FILING&amp;RSAINT VINCENT`S MEDICAL CENTER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1116186000</v>
      </c>
      <c r="D12" s="76">
        <v>1192685000</v>
      </c>
      <c r="E12" s="76">
        <f t="shared" ref="E12:E21" si="0">D12-C12</f>
        <v>76499000</v>
      </c>
      <c r="F12" s="77">
        <f t="shared" ref="F12:F21" si="1">IF(C12=0,0,E12/C12)</f>
        <v>6.853606836136629E-2</v>
      </c>
    </row>
    <row r="13" spans="1:8" ht="23.1" customHeight="1" x14ac:dyDescent="0.2">
      <c r="A13" s="74">
        <v>2</v>
      </c>
      <c r="B13" s="75" t="s">
        <v>72</v>
      </c>
      <c r="C13" s="76">
        <v>676291000</v>
      </c>
      <c r="D13" s="76">
        <v>743693000</v>
      </c>
      <c r="E13" s="76">
        <f t="shared" si="0"/>
        <v>67402000</v>
      </c>
      <c r="F13" s="77">
        <f t="shared" si="1"/>
        <v>9.9664197808339905E-2</v>
      </c>
    </row>
    <row r="14" spans="1:8" ht="23.1" customHeight="1" x14ac:dyDescent="0.2">
      <c r="A14" s="74">
        <v>3</v>
      </c>
      <c r="B14" s="75" t="s">
        <v>73</v>
      </c>
      <c r="C14" s="76">
        <v>15330000</v>
      </c>
      <c r="D14" s="76">
        <v>14991000</v>
      </c>
      <c r="E14" s="76">
        <f t="shared" si="0"/>
        <v>-339000</v>
      </c>
      <c r="F14" s="77">
        <f t="shared" si="1"/>
        <v>-2.2113502935420744E-2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424565000</v>
      </c>
      <c r="D16" s="79">
        <f>D12-D13-D14-D15</f>
        <v>434001000</v>
      </c>
      <c r="E16" s="79">
        <f t="shared" si="0"/>
        <v>9436000</v>
      </c>
      <c r="F16" s="80">
        <f t="shared" si="1"/>
        <v>2.2225100985714792E-2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25817000</v>
      </c>
      <c r="E17" s="76">
        <f t="shared" si="0"/>
        <v>25817000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424565000</v>
      </c>
      <c r="D18" s="79">
        <f>D16-D17</f>
        <v>408184000</v>
      </c>
      <c r="E18" s="79">
        <f t="shared" si="0"/>
        <v>-16381000</v>
      </c>
      <c r="F18" s="80">
        <f t="shared" si="1"/>
        <v>-3.8583020267803518E-2</v>
      </c>
    </row>
    <row r="19" spans="1:7" ht="23.1" customHeight="1" x14ac:dyDescent="0.2">
      <c r="A19" s="74">
        <v>6</v>
      </c>
      <c r="B19" s="75" t="s">
        <v>78</v>
      </c>
      <c r="C19" s="76">
        <v>12640000</v>
      </c>
      <c r="D19" s="76">
        <v>15967000</v>
      </c>
      <c r="E19" s="76">
        <f t="shared" si="0"/>
        <v>3327000</v>
      </c>
      <c r="F19" s="77">
        <f t="shared" si="1"/>
        <v>0.26321202531645571</v>
      </c>
      <c r="G19" s="65"/>
    </row>
    <row r="20" spans="1:7" ht="33" customHeight="1" x14ac:dyDescent="0.2">
      <c r="A20" s="74">
        <v>7</v>
      </c>
      <c r="B20" s="82" t="s">
        <v>79</v>
      </c>
      <c r="C20" s="76">
        <v>282000</v>
      </c>
      <c r="D20" s="76">
        <v>580000</v>
      </c>
      <c r="E20" s="76">
        <f t="shared" si="0"/>
        <v>298000</v>
      </c>
      <c r="F20" s="77">
        <f t="shared" si="1"/>
        <v>1.0567375886524824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437487000</v>
      </c>
      <c r="D21" s="79">
        <f>SUM(D18:D20)</f>
        <v>424731000</v>
      </c>
      <c r="E21" s="79">
        <f t="shared" si="0"/>
        <v>-12756000</v>
      </c>
      <c r="F21" s="80">
        <f t="shared" si="1"/>
        <v>-2.9157437821009539E-2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152506000</v>
      </c>
      <c r="D24" s="76">
        <v>156332000</v>
      </c>
      <c r="E24" s="76">
        <f t="shared" ref="E24:E33" si="2">D24-C24</f>
        <v>3826000</v>
      </c>
      <c r="F24" s="77">
        <f t="shared" ref="F24:F33" si="3">IF(C24=0,0,E24/C24)</f>
        <v>2.5087537539506641E-2</v>
      </c>
    </row>
    <row r="25" spans="1:7" ht="23.1" customHeight="1" x14ac:dyDescent="0.2">
      <c r="A25" s="74">
        <v>2</v>
      </c>
      <c r="B25" s="75" t="s">
        <v>83</v>
      </c>
      <c r="C25" s="76">
        <v>16644000</v>
      </c>
      <c r="D25" s="76">
        <v>44720000</v>
      </c>
      <c r="E25" s="76">
        <f t="shared" si="2"/>
        <v>28076000</v>
      </c>
      <c r="F25" s="77">
        <f t="shared" si="3"/>
        <v>1.6868541216053834</v>
      </c>
    </row>
    <row r="26" spans="1:7" ht="23.1" customHeight="1" x14ac:dyDescent="0.2">
      <c r="A26" s="74">
        <v>3</v>
      </c>
      <c r="B26" s="75" t="s">
        <v>84</v>
      </c>
      <c r="C26" s="76">
        <v>2868000</v>
      </c>
      <c r="D26" s="76">
        <v>3988000</v>
      </c>
      <c r="E26" s="76">
        <f t="shared" si="2"/>
        <v>1120000</v>
      </c>
      <c r="F26" s="77">
        <f t="shared" si="3"/>
        <v>0.39051603905160392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43886000</v>
      </c>
      <c r="D27" s="76">
        <v>42973000</v>
      </c>
      <c r="E27" s="76">
        <f t="shared" si="2"/>
        <v>-913000</v>
      </c>
      <c r="F27" s="77">
        <f t="shared" si="3"/>
        <v>-2.0803901016269426E-2</v>
      </c>
    </row>
    <row r="28" spans="1:7" ht="23.1" customHeight="1" x14ac:dyDescent="0.2">
      <c r="A28" s="74">
        <v>5</v>
      </c>
      <c r="B28" s="75" t="s">
        <v>86</v>
      </c>
      <c r="C28" s="76">
        <v>22796000</v>
      </c>
      <c r="D28" s="76">
        <v>24642000</v>
      </c>
      <c r="E28" s="76">
        <f t="shared" si="2"/>
        <v>1846000</v>
      </c>
      <c r="F28" s="77">
        <f t="shared" si="3"/>
        <v>8.0979119143709422E-2</v>
      </c>
    </row>
    <row r="29" spans="1:7" ht="23.1" customHeight="1" x14ac:dyDescent="0.2">
      <c r="A29" s="74">
        <v>6</v>
      </c>
      <c r="B29" s="75" t="s">
        <v>87</v>
      </c>
      <c r="C29" s="76">
        <v>27411000</v>
      </c>
      <c r="D29" s="76">
        <v>0</v>
      </c>
      <c r="E29" s="76">
        <f t="shared" si="2"/>
        <v>-27411000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2149000</v>
      </c>
      <c r="D30" s="76">
        <v>1954000</v>
      </c>
      <c r="E30" s="76">
        <f t="shared" si="2"/>
        <v>-195000</v>
      </c>
      <c r="F30" s="77">
        <f t="shared" si="3"/>
        <v>-9.0739879013494645E-2</v>
      </c>
    </row>
    <row r="31" spans="1:7" ht="23.1" customHeight="1" x14ac:dyDescent="0.2">
      <c r="A31" s="74">
        <v>8</v>
      </c>
      <c r="B31" s="75" t="s">
        <v>89</v>
      </c>
      <c r="C31" s="76">
        <v>3407000</v>
      </c>
      <c r="D31" s="76">
        <v>3184000</v>
      </c>
      <c r="E31" s="76">
        <f t="shared" si="2"/>
        <v>-223000</v>
      </c>
      <c r="F31" s="77">
        <f t="shared" si="3"/>
        <v>-6.5453478133255069E-2</v>
      </c>
    </row>
    <row r="32" spans="1:7" ht="23.1" customHeight="1" x14ac:dyDescent="0.2">
      <c r="A32" s="74">
        <v>9</v>
      </c>
      <c r="B32" s="75" t="s">
        <v>90</v>
      </c>
      <c r="C32" s="76">
        <v>101934000</v>
      </c>
      <c r="D32" s="76">
        <v>116698000</v>
      </c>
      <c r="E32" s="76">
        <f t="shared" si="2"/>
        <v>14764000</v>
      </c>
      <c r="F32" s="77">
        <f t="shared" si="3"/>
        <v>0.14483881727392234</v>
      </c>
    </row>
    <row r="33" spans="1:6" ht="23.1" customHeight="1" x14ac:dyDescent="0.25">
      <c r="A33" s="71"/>
      <c r="B33" s="78" t="s">
        <v>91</v>
      </c>
      <c r="C33" s="79">
        <f>SUM(C24:C32)</f>
        <v>373601000</v>
      </c>
      <c r="D33" s="79">
        <f>SUM(D24:D32)</f>
        <v>394491000</v>
      </c>
      <c r="E33" s="79">
        <f t="shared" si="2"/>
        <v>20890000</v>
      </c>
      <c r="F33" s="80">
        <f t="shared" si="3"/>
        <v>5.5915267892751891E-2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63886000</v>
      </c>
      <c r="D35" s="79">
        <f>+D21-D33</f>
        <v>30240000</v>
      </c>
      <c r="E35" s="79">
        <f>D35-C35</f>
        <v>-33646000</v>
      </c>
      <c r="F35" s="80">
        <f>IF(C35=0,0,E35/C35)</f>
        <v>-0.52665685752747082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23843000</v>
      </c>
      <c r="D38" s="76">
        <v>24164000</v>
      </c>
      <c r="E38" s="76">
        <f>D38-C38</f>
        <v>321000</v>
      </c>
      <c r="F38" s="77">
        <f>IF(C38=0,0,E38/C38)</f>
        <v>1.3463070922283269E-2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-619000</v>
      </c>
      <c r="D40" s="76">
        <v>-501000</v>
      </c>
      <c r="E40" s="76">
        <f>D40-C40</f>
        <v>118000</v>
      </c>
      <c r="F40" s="77">
        <f>IF(C40=0,0,E40/C40)</f>
        <v>-0.19063004846526657</v>
      </c>
    </row>
    <row r="41" spans="1:6" ht="23.1" customHeight="1" x14ac:dyDescent="0.25">
      <c r="A41" s="83"/>
      <c r="B41" s="78" t="s">
        <v>97</v>
      </c>
      <c r="C41" s="79">
        <f>SUM(C38:C40)</f>
        <v>23224000</v>
      </c>
      <c r="D41" s="79">
        <f>SUM(D38:D40)</f>
        <v>23663000</v>
      </c>
      <c r="E41" s="79">
        <f>D41-C41</f>
        <v>439000</v>
      </c>
      <c r="F41" s="80">
        <f>IF(C41=0,0,E41/C41)</f>
        <v>1.8902859111264211E-2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87110000</v>
      </c>
      <c r="D43" s="79">
        <f>D35+D41</f>
        <v>53903000</v>
      </c>
      <c r="E43" s="79">
        <f>D43-C43</f>
        <v>-33207000</v>
      </c>
      <c r="F43" s="80">
        <f>IF(C43=0,0,E43/C43)</f>
        <v>-0.38120766846515902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87110000</v>
      </c>
      <c r="D50" s="79">
        <f>D43+D48</f>
        <v>53903000</v>
      </c>
      <c r="E50" s="79">
        <f>D50-C50</f>
        <v>-33207000</v>
      </c>
      <c r="F50" s="80">
        <f>IF(C50=0,0,E50/C50)</f>
        <v>-0.38120766846515902</v>
      </c>
    </row>
    <row r="51" spans="1:6" ht="23.1" customHeight="1" x14ac:dyDescent="0.2">
      <c r="A51" s="85"/>
      <c r="B51" s="75" t="s">
        <v>104</v>
      </c>
      <c r="C51" s="76">
        <v>458802</v>
      </c>
      <c r="D51" s="76">
        <v>458802</v>
      </c>
      <c r="E51" s="76">
        <f>D51-C51</f>
        <v>0</v>
      </c>
      <c r="F51" s="77">
        <f>IF(C51=0,0,E51/C51)</f>
        <v>0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FILING&amp;RSAINT VINCENT`S MEDICAL CENTER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sqref="A1:F1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276920249</v>
      </c>
      <c r="D14" s="113">
        <v>294090981</v>
      </c>
      <c r="E14" s="113">
        <f t="shared" ref="E14:E25" si="0">D14-C14</f>
        <v>17170732</v>
      </c>
      <c r="F14" s="114">
        <f t="shared" ref="F14:F25" si="1">IF(C14=0,0,E14/C14)</f>
        <v>6.200605431349298E-2</v>
      </c>
    </row>
    <row r="15" spans="1:6" x14ac:dyDescent="0.2">
      <c r="A15" s="115">
        <v>2</v>
      </c>
      <c r="B15" s="116" t="s">
        <v>114</v>
      </c>
      <c r="C15" s="113">
        <v>126113193</v>
      </c>
      <c r="D15" s="113">
        <v>143995290</v>
      </c>
      <c r="E15" s="113">
        <f t="shared" si="0"/>
        <v>17882097</v>
      </c>
      <c r="F15" s="114">
        <f t="shared" si="1"/>
        <v>0.1417940230884488</v>
      </c>
    </row>
    <row r="16" spans="1:6" x14ac:dyDescent="0.2">
      <c r="A16" s="115">
        <v>3</v>
      </c>
      <c r="B16" s="116" t="s">
        <v>115</v>
      </c>
      <c r="C16" s="113">
        <v>123052339</v>
      </c>
      <c r="D16" s="113">
        <v>140676638</v>
      </c>
      <c r="E16" s="113">
        <f t="shared" si="0"/>
        <v>17624299</v>
      </c>
      <c r="F16" s="114">
        <f t="shared" si="1"/>
        <v>0.14322603814950643</v>
      </c>
    </row>
    <row r="17" spans="1:6" x14ac:dyDescent="0.2">
      <c r="A17" s="115">
        <v>4</v>
      </c>
      <c r="B17" s="116" t="s">
        <v>116</v>
      </c>
      <c r="C17" s="113">
        <v>7400239</v>
      </c>
      <c r="D17" s="113">
        <v>0</v>
      </c>
      <c r="E17" s="113">
        <f t="shared" si="0"/>
        <v>-7400239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414508</v>
      </c>
      <c r="D18" s="113">
        <v>593771</v>
      </c>
      <c r="E18" s="113">
        <f t="shared" si="0"/>
        <v>179263</v>
      </c>
      <c r="F18" s="114">
        <f t="shared" si="1"/>
        <v>0.43247174964053769</v>
      </c>
    </row>
    <row r="19" spans="1:6" x14ac:dyDescent="0.2">
      <c r="A19" s="115">
        <v>6</v>
      </c>
      <c r="B19" s="116" t="s">
        <v>118</v>
      </c>
      <c r="C19" s="113">
        <v>44326543</v>
      </c>
      <c r="D19" s="113">
        <v>42586139</v>
      </c>
      <c r="E19" s="113">
        <f t="shared" si="0"/>
        <v>-1740404</v>
      </c>
      <c r="F19" s="114">
        <f t="shared" si="1"/>
        <v>-3.9263246854147865E-2</v>
      </c>
    </row>
    <row r="20" spans="1:6" x14ac:dyDescent="0.2">
      <c r="A20" s="115">
        <v>7</v>
      </c>
      <c r="B20" s="116" t="s">
        <v>119</v>
      </c>
      <c r="C20" s="113">
        <v>123357974</v>
      </c>
      <c r="D20" s="113">
        <v>113045941</v>
      </c>
      <c r="E20" s="113">
        <f t="shared" si="0"/>
        <v>-10312033</v>
      </c>
      <c r="F20" s="114">
        <f t="shared" si="1"/>
        <v>-8.3594377125551692E-2</v>
      </c>
    </row>
    <row r="21" spans="1:6" x14ac:dyDescent="0.2">
      <c r="A21" s="115">
        <v>8</v>
      </c>
      <c r="B21" s="116" t="s">
        <v>120</v>
      </c>
      <c r="C21" s="113">
        <v>3863153</v>
      </c>
      <c r="D21" s="113">
        <v>4507042</v>
      </c>
      <c r="E21" s="113">
        <f t="shared" si="0"/>
        <v>643889</v>
      </c>
      <c r="F21" s="114">
        <f t="shared" si="1"/>
        <v>0.16667447548673325</v>
      </c>
    </row>
    <row r="22" spans="1:6" x14ac:dyDescent="0.2">
      <c r="A22" s="115">
        <v>9</v>
      </c>
      <c r="B22" s="116" t="s">
        <v>121</v>
      </c>
      <c r="C22" s="113">
        <v>22641056</v>
      </c>
      <c r="D22" s="113">
        <v>21755534</v>
      </c>
      <c r="E22" s="113">
        <f t="shared" si="0"/>
        <v>-885522</v>
      </c>
      <c r="F22" s="114">
        <f t="shared" si="1"/>
        <v>-3.9111338269734418E-2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1046714</v>
      </c>
      <c r="D24" s="113">
        <v>1208411</v>
      </c>
      <c r="E24" s="113">
        <f t="shared" si="0"/>
        <v>161697</v>
      </c>
      <c r="F24" s="114">
        <f t="shared" si="1"/>
        <v>0.15448059355277563</v>
      </c>
    </row>
    <row r="25" spans="1:6" ht="15.75" x14ac:dyDescent="0.25">
      <c r="A25" s="117"/>
      <c r="B25" s="118" t="s">
        <v>124</v>
      </c>
      <c r="C25" s="119">
        <f>SUM(C14:C24)</f>
        <v>729135968</v>
      </c>
      <c r="D25" s="119">
        <f>SUM(D14:D24)</f>
        <v>762459747</v>
      </c>
      <c r="E25" s="119">
        <f t="shared" si="0"/>
        <v>33323779</v>
      </c>
      <c r="F25" s="120">
        <f t="shared" si="1"/>
        <v>4.5703106776375624E-2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80488372</v>
      </c>
      <c r="D27" s="113">
        <v>90030823</v>
      </c>
      <c r="E27" s="113">
        <f t="shared" ref="E27:E38" si="2">D27-C27</f>
        <v>9542451</v>
      </c>
      <c r="F27" s="114">
        <f t="shared" ref="F27:F38" si="3">IF(C27=0,0,E27/C27)</f>
        <v>0.11855688918642807</v>
      </c>
    </row>
    <row r="28" spans="1:6" x14ac:dyDescent="0.2">
      <c r="A28" s="115">
        <v>2</v>
      </c>
      <c r="B28" s="116" t="s">
        <v>114</v>
      </c>
      <c r="C28" s="113">
        <v>40060910</v>
      </c>
      <c r="D28" s="113">
        <v>46902652</v>
      </c>
      <c r="E28" s="113">
        <f t="shared" si="2"/>
        <v>6841742</v>
      </c>
      <c r="F28" s="114">
        <f t="shared" si="3"/>
        <v>0.17078348944145302</v>
      </c>
    </row>
    <row r="29" spans="1:6" x14ac:dyDescent="0.2">
      <c r="A29" s="115">
        <v>3</v>
      </c>
      <c r="B29" s="116" t="s">
        <v>115</v>
      </c>
      <c r="C29" s="113">
        <v>78313625</v>
      </c>
      <c r="D29" s="113">
        <v>100790177</v>
      </c>
      <c r="E29" s="113">
        <f t="shared" si="2"/>
        <v>22476552</v>
      </c>
      <c r="F29" s="114">
        <f t="shared" si="3"/>
        <v>0.28700691610176388</v>
      </c>
    </row>
    <row r="30" spans="1:6" x14ac:dyDescent="0.2">
      <c r="A30" s="115">
        <v>4</v>
      </c>
      <c r="B30" s="116" t="s">
        <v>116</v>
      </c>
      <c r="C30" s="113">
        <v>8322969</v>
      </c>
      <c r="D30" s="113">
        <v>0</v>
      </c>
      <c r="E30" s="113">
        <f t="shared" si="2"/>
        <v>-8322969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527215</v>
      </c>
      <c r="D31" s="113">
        <v>438381</v>
      </c>
      <c r="E31" s="113">
        <f t="shared" si="2"/>
        <v>-88834</v>
      </c>
      <c r="F31" s="114">
        <f t="shared" si="3"/>
        <v>-0.16849672334815968</v>
      </c>
    </row>
    <row r="32" spans="1:6" x14ac:dyDescent="0.2">
      <c r="A32" s="115">
        <v>6</v>
      </c>
      <c r="B32" s="116" t="s">
        <v>118</v>
      </c>
      <c r="C32" s="113">
        <v>41267368</v>
      </c>
      <c r="D32" s="113">
        <v>44855822</v>
      </c>
      <c r="E32" s="113">
        <f t="shared" si="2"/>
        <v>3588454</v>
      </c>
      <c r="F32" s="114">
        <f t="shared" si="3"/>
        <v>8.6956211988125823E-2</v>
      </c>
    </row>
    <row r="33" spans="1:6" x14ac:dyDescent="0.2">
      <c r="A33" s="115">
        <v>7</v>
      </c>
      <c r="B33" s="116" t="s">
        <v>119</v>
      </c>
      <c r="C33" s="113">
        <v>99113491</v>
      </c>
      <c r="D33" s="113">
        <v>106301651</v>
      </c>
      <c r="E33" s="113">
        <f t="shared" si="2"/>
        <v>7188160</v>
      </c>
      <c r="F33" s="114">
        <f t="shared" si="3"/>
        <v>7.2524536543667903E-2</v>
      </c>
    </row>
    <row r="34" spans="1:6" x14ac:dyDescent="0.2">
      <c r="A34" s="115">
        <v>8</v>
      </c>
      <c r="B34" s="116" t="s">
        <v>120</v>
      </c>
      <c r="C34" s="113">
        <v>6572718</v>
      </c>
      <c r="D34" s="113">
        <v>5425937</v>
      </c>
      <c r="E34" s="113">
        <f t="shared" si="2"/>
        <v>-1146781</v>
      </c>
      <c r="F34" s="114">
        <f t="shared" si="3"/>
        <v>-0.17447591696464082</v>
      </c>
    </row>
    <row r="35" spans="1:6" x14ac:dyDescent="0.2">
      <c r="A35" s="115">
        <v>9</v>
      </c>
      <c r="B35" s="116" t="s">
        <v>121</v>
      </c>
      <c r="C35" s="113">
        <v>31706504</v>
      </c>
      <c r="D35" s="113">
        <v>34649030</v>
      </c>
      <c r="E35" s="113">
        <f t="shared" si="2"/>
        <v>2942526</v>
      </c>
      <c r="F35" s="114">
        <f t="shared" si="3"/>
        <v>9.2805122885828095E-2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676806</v>
      </c>
      <c r="D37" s="113">
        <v>831278</v>
      </c>
      <c r="E37" s="113">
        <f t="shared" si="2"/>
        <v>154472</v>
      </c>
      <c r="F37" s="114">
        <f t="shared" si="3"/>
        <v>0.22823674731015978</v>
      </c>
    </row>
    <row r="38" spans="1:6" ht="15.75" x14ac:dyDescent="0.25">
      <c r="A38" s="117"/>
      <c r="B38" s="118" t="s">
        <v>126</v>
      </c>
      <c r="C38" s="119">
        <f>SUM(C27:C37)</f>
        <v>387049978</v>
      </c>
      <c r="D38" s="119">
        <f>SUM(D27:D37)</f>
        <v>430225751</v>
      </c>
      <c r="E38" s="119">
        <f t="shared" si="2"/>
        <v>43175773</v>
      </c>
      <c r="F38" s="120">
        <f t="shared" si="3"/>
        <v>0.11155089899010406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357408621</v>
      </c>
      <c r="D41" s="119">
        <f t="shared" si="4"/>
        <v>384121804</v>
      </c>
      <c r="E41" s="123">
        <f t="shared" ref="E41:E52" si="5">D41-C41</f>
        <v>26713183</v>
      </c>
      <c r="F41" s="124">
        <f t="shared" ref="F41:F52" si="6">IF(C41=0,0,E41/C41)</f>
        <v>7.4741294502798247E-2</v>
      </c>
    </row>
    <row r="42" spans="1:6" ht="15.75" x14ac:dyDescent="0.25">
      <c r="A42" s="121">
        <v>2</v>
      </c>
      <c r="B42" s="122" t="s">
        <v>114</v>
      </c>
      <c r="C42" s="119">
        <f t="shared" si="4"/>
        <v>166174103</v>
      </c>
      <c r="D42" s="119">
        <f t="shared" si="4"/>
        <v>190897942</v>
      </c>
      <c r="E42" s="123">
        <f t="shared" si="5"/>
        <v>24723839</v>
      </c>
      <c r="F42" s="124">
        <f t="shared" si="6"/>
        <v>0.14878274384306439</v>
      </c>
    </row>
    <row r="43" spans="1:6" ht="15.75" x14ac:dyDescent="0.25">
      <c r="A43" s="121">
        <v>3</v>
      </c>
      <c r="B43" s="122" t="s">
        <v>115</v>
      </c>
      <c r="C43" s="119">
        <f t="shared" si="4"/>
        <v>201365964</v>
      </c>
      <c r="D43" s="119">
        <f t="shared" si="4"/>
        <v>241466815</v>
      </c>
      <c r="E43" s="123">
        <f t="shared" si="5"/>
        <v>40100851</v>
      </c>
      <c r="F43" s="124">
        <f t="shared" si="6"/>
        <v>0.19914413639437101</v>
      </c>
    </row>
    <row r="44" spans="1:6" ht="15.75" x14ac:dyDescent="0.25">
      <c r="A44" s="121">
        <v>4</v>
      </c>
      <c r="B44" s="122" t="s">
        <v>116</v>
      </c>
      <c r="C44" s="119">
        <f t="shared" si="4"/>
        <v>15723208</v>
      </c>
      <c r="D44" s="119">
        <f t="shared" si="4"/>
        <v>0</v>
      </c>
      <c r="E44" s="123">
        <f t="shared" si="5"/>
        <v>-15723208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941723</v>
      </c>
      <c r="D45" s="119">
        <f t="shared" si="4"/>
        <v>1032152</v>
      </c>
      <c r="E45" s="123">
        <f t="shared" si="5"/>
        <v>90429</v>
      </c>
      <c r="F45" s="124">
        <f t="shared" si="6"/>
        <v>9.6025051952644255E-2</v>
      </c>
    </row>
    <row r="46" spans="1:6" ht="15.75" x14ac:dyDescent="0.25">
      <c r="A46" s="121">
        <v>6</v>
      </c>
      <c r="B46" s="122" t="s">
        <v>118</v>
      </c>
      <c r="C46" s="119">
        <f t="shared" si="4"/>
        <v>85593911</v>
      </c>
      <c r="D46" s="119">
        <f t="shared" si="4"/>
        <v>87441961</v>
      </c>
      <c r="E46" s="123">
        <f t="shared" si="5"/>
        <v>1848050</v>
      </c>
      <c r="F46" s="124">
        <f t="shared" si="6"/>
        <v>2.1590904988556956E-2</v>
      </c>
    </row>
    <row r="47" spans="1:6" ht="15.75" x14ac:dyDescent="0.25">
      <c r="A47" s="121">
        <v>7</v>
      </c>
      <c r="B47" s="122" t="s">
        <v>119</v>
      </c>
      <c r="C47" s="119">
        <f t="shared" si="4"/>
        <v>222471465</v>
      </c>
      <c r="D47" s="119">
        <f t="shared" si="4"/>
        <v>219347592</v>
      </c>
      <c r="E47" s="123">
        <f t="shared" si="5"/>
        <v>-3123873</v>
      </c>
      <c r="F47" s="124">
        <f t="shared" si="6"/>
        <v>-1.4041679457632916E-2</v>
      </c>
    </row>
    <row r="48" spans="1:6" ht="15.75" x14ac:dyDescent="0.25">
      <c r="A48" s="121">
        <v>8</v>
      </c>
      <c r="B48" s="122" t="s">
        <v>120</v>
      </c>
      <c r="C48" s="119">
        <f t="shared" si="4"/>
        <v>10435871</v>
      </c>
      <c r="D48" s="119">
        <f t="shared" si="4"/>
        <v>9932979</v>
      </c>
      <c r="E48" s="123">
        <f t="shared" si="5"/>
        <v>-502892</v>
      </c>
      <c r="F48" s="124">
        <f t="shared" si="6"/>
        <v>-4.8188790375043922E-2</v>
      </c>
    </row>
    <row r="49" spans="1:6" ht="15.75" x14ac:dyDescent="0.25">
      <c r="A49" s="121">
        <v>9</v>
      </c>
      <c r="B49" s="122" t="s">
        <v>121</v>
      </c>
      <c r="C49" s="119">
        <f t="shared" si="4"/>
        <v>54347560</v>
      </c>
      <c r="D49" s="119">
        <f t="shared" si="4"/>
        <v>56404564</v>
      </c>
      <c r="E49" s="123">
        <f t="shared" si="5"/>
        <v>2057004</v>
      </c>
      <c r="F49" s="124">
        <f t="shared" si="6"/>
        <v>3.7849058908992421E-2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1723520</v>
      </c>
      <c r="D51" s="119">
        <f t="shared" si="4"/>
        <v>2039689</v>
      </c>
      <c r="E51" s="123">
        <f t="shared" si="5"/>
        <v>316169</v>
      </c>
      <c r="F51" s="124">
        <f t="shared" si="6"/>
        <v>0.18344376624582251</v>
      </c>
    </row>
    <row r="52" spans="1:6" ht="18.75" customHeight="1" thickBot="1" x14ac:dyDescent="0.3">
      <c r="A52" s="125"/>
      <c r="B52" s="126" t="s">
        <v>128</v>
      </c>
      <c r="C52" s="127">
        <f>SUM(C41:C51)</f>
        <v>1116185946</v>
      </c>
      <c r="D52" s="128">
        <f>SUM(D41:D51)</f>
        <v>1192685498</v>
      </c>
      <c r="E52" s="127">
        <f t="shared" si="5"/>
        <v>76499552</v>
      </c>
      <c r="F52" s="129">
        <f t="shared" si="6"/>
        <v>6.8536566218331513E-2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94006931</v>
      </c>
      <c r="D57" s="113">
        <v>85731752</v>
      </c>
      <c r="E57" s="113">
        <f t="shared" ref="E57:E68" si="7">D57-C57</f>
        <v>-8275179</v>
      </c>
      <c r="F57" s="114">
        <f t="shared" ref="F57:F68" si="8">IF(C57=0,0,E57/C57)</f>
        <v>-8.8027328538147889E-2</v>
      </c>
    </row>
    <row r="58" spans="1:6" x14ac:dyDescent="0.2">
      <c r="A58" s="115">
        <v>2</v>
      </c>
      <c r="B58" s="116" t="s">
        <v>114</v>
      </c>
      <c r="C58" s="113">
        <v>35061844</v>
      </c>
      <c r="D58" s="113">
        <v>41197548</v>
      </c>
      <c r="E58" s="113">
        <f t="shared" si="7"/>
        <v>6135704</v>
      </c>
      <c r="F58" s="114">
        <f t="shared" si="8"/>
        <v>0.17499661455341595</v>
      </c>
    </row>
    <row r="59" spans="1:6" x14ac:dyDescent="0.2">
      <c r="A59" s="115">
        <v>3</v>
      </c>
      <c r="B59" s="116" t="s">
        <v>115</v>
      </c>
      <c r="C59" s="113">
        <v>26596233</v>
      </c>
      <c r="D59" s="113">
        <v>34020629</v>
      </c>
      <c r="E59" s="113">
        <f t="shared" si="7"/>
        <v>7424396</v>
      </c>
      <c r="F59" s="114">
        <f t="shared" si="8"/>
        <v>0.27915216414294458</v>
      </c>
    </row>
    <row r="60" spans="1:6" x14ac:dyDescent="0.2">
      <c r="A60" s="115">
        <v>4</v>
      </c>
      <c r="B60" s="116" t="s">
        <v>116</v>
      </c>
      <c r="C60" s="113">
        <v>1874484</v>
      </c>
      <c r="D60" s="113">
        <v>0</v>
      </c>
      <c r="E60" s="113">
        <f t="shared" si="7"/>
        <v>-1874484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176111</v>
      </c>
      <c r="D61" s="113">
        <v>109681</v>
      </c>
      <c r="E61" s="113">
        <f t="shared" si="7"/>
        <v>-66430</v>
      </c>
      <c r="F61" s="114">
        <f t="shared" si="8"/>
        <v>-0.37720528530301911</v>
      </c>
    </row>
    <row r="62" spans="1:6" x14ac:dyDescent="0.2">
      <c r="A62" s="115">
        <v>6</v>
      </c>
      <c r="B62" s="116" t="s">
        <v>118</v>
      </c>
      <c r="C62" s="113">
        <v>22954308</v>
      </c>
      <c r="D62" s="113">
        <v>25494992</v>
      </c>
      <c r="E62" s="113">
        <f t="shared" si="7"/>
        <v>2540684</v>
      </c>
      <c r="F62" s="114">
        <f t="shared" si="8"/>
        <v>0.11068440834722615</v>
      </c>
    </row>
    <row r="63" spans="1:6" x14ac:dyDescent="0.2">
      <c r="A63" s="115">
        <v>7</v>
      </c>
      <c r="B63" s="116" t="s">
        <v>119</v>
      </c>
      <c r="C63" s="113">
        <v>69595396</v>
      </c>
      <c r="D63" s="113">
        <v>65846365</v>
      </c>
      <c r="E63" s="113">
        <f t="shared" si="7"/>
        <v>-3749031</v>
      </c>
      <c r="F63" s="114">
        <f t="shared" si="8"/>
        <v>-5.3868951331205873E-2</v>
      </c>
    </row>
    <row r="64" spans="1:6" x14ac:dyDescent="0.2">
      <c r="A64" s="115">
        <v>8</v>
      </c>
      <c r="B64" s="116" t="s">
        <v>120</v>
      </c>
      <c r="C64" s="113">
        <v>3122207</v>
      </c>
      <c r="D64" s="113">
        <v>3603966</v>
      </c>
      <c r="E64" s="113">
        <f t="shared" si="7"/>
        <v>481759</v>
      </c>
      <c r="F64" s="114">
        <f t="shared" si="8"/>
        <v>0.15430078787216864</v>
      </c>
    </row>
    <row r="65" spans="1:6" x14ac:dyDescent="0.2">
      <c r="A65" s="115">
        <v>9</v>
      </c>
      <c r="B65" s="116" t="s">
        <v>121</v>
      </c>
      <c r="C65" s="113">
        <v>580976</v>
      </c>
      <c r="D65" s="113">
        <v>167941</v>
      </c>
      <c r="E65" s="113">
        <f t="shared" si="7"/>
        <v>-413035</v>
      </c>
      <c r="F65" s="114">
        <f t="shared" si="8"/>
        <v>-0.71093298174107022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447584</v>
      </c>
      <c r="D67" s="113">
        <v>492200</v>
      </c>
      <c r="E67" s="113">
        <f t="shared" si="7"/>
        <v>44616</v>
      </c>
      <c r="F67" s="114">
        <f t="shared" si="8"/>
        <v>9.9681847429756207E-2</v>
      </c>
    </row>
    <row r="68" spans="1:6" ht="15.75" x14ac:dyDescent="0.25">
      <c r="A68" s="117"/>
      <c r="B68" s="118" t="s">
        <v>131</v>
      </c>
      <c r="C68" s="119">
        <f>SUM(C57:C67)</f>
        <v>254416074</v>
      </c>
      <c r="D68" s="119">
        <f>SUM(D57:D67)</f>
        <v>256665074</v>
      </c>
      <c r="E68" s="119">
        <f t="shared" si="7"/>
        <v>2249000</v>
      </c>
      <c r="F68" s="120">
        <f t="shared" si="8"/>
        <v>8.8398502682656751E-3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22308442</v>
      </c>
      <c r="D70" s="113">
        <v>22176205</v>
      </c>
      <c r="E70" s="113">
        <f t="shared" ref="E70:E81" si="9">D70-C70</f>
        <v>-132237</v>
      </c>
      <c r="F70" s="114">
        <f t="shared" ref="F70:F81" si="10">IF(C70=0,0,E70/C70)</f>
        <v>-5.9276663067730148E-3</v>
      </c>
    </row>
    <row r="71" spans="1:6" x14ac:dyDescent="0.2">
      <c r="A71" s="115">
        <v>2</v>
      </c>
      <c r="B71" s="116" t="s">
        <v>114</v>
      </c>
      <c r="C71" s="113">
        <v>10693375</v>
      </c>
      <c r="D71" s="113">
        <v>11576518</v>
      </c>
      <c r="E71" s="113">
        <f t="shared" si="9"/>
        <v>883143</v>
      </c>
      <c r="F71" s="114">
        <f t="shared" si="10"/>
        <v>8.2587863981203311E-2</v>
      </c>
    </row>
    <row r="72" spans="1:6" x14ac:dyDescent="0.2">
      <c r="A72" s="115">
        <v>3</v>
      </c>
      <c r="B72" s="116" t="s">
        <v>115</v>
      </c>
      <c r="C72" s="113">
        <v>20060434</v>
      </c>
      <c r="D72" s="113">
        <v>22452103</v>
      </c>
      <c r="E72" s="113">
        <f t="shared" si="9"/>
        <v>2391669</v>
      </c>
      <c r="F72" s="114">
        <f t="shared" si="10"/>
        <v>0.11922319327687526</v>
      </c>
    </row>
    <row r="73" spans="1:6" x14ac:dyDescent="0.2">
      <c r="A73" s="115">
        <v>4</v>
      </c>
      <c r="B73" s="116" t="s">
        <v>116</v>
      </c>
      <c r="C73" s="113">
        <v>1554847</v>
      </c>
      <c r="D73" s="113">
        <v>0</v>
      </c>
      <c r="E73" s="113">
        <f t="shared" si="9"/>
        <v>-1554847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167724</v>
      </c>
      <c r="D74" s="113">
        <v>42995</v>
      </c>
      <c r="E74" s="113">
        <f t="shared" si="9"/>
        <v>-124729</v>
      </c>
      <c r="F74" s="114">
        <f t="shared" si="10"/>
        <v>-0.743656244783096</v>
      </c>
    </row>
    <row r="75" spans="1:6" x14ac:dyDescent="0.2">
      <c r="A75" s="115">
        <v>6</v>
      </c>
      <c r="B75" s="116" t="s">
        <v>118</v>
      </c>
      <c r="C75" s="113">
        <v>22644602</v>
      </c>
      <c r="D75" s="113">
        <v>27268599</v>
      </c>
      <c r="E75" s="113">
        <f t="shared" si="9"/>
        <v>4623997</v>
      </c>
      <c r="F75" s="114">
        <f t="shared" si="10"/>
        <v>0.2041986430143484</v>
      </c>
    </row>
    <row r="76" spans="1:6" x14ac:dyDescent="0.2">
      <c r="A76" s="115">
        <v>7</v>
      </c>
      <c r="B76" s="116" t="s">
        <v>119</v>
      </c>
      <c r="C76" s="113">
        <v>52194732</v>
      </c>
      <c r="D76" s="113">
        <v>57421790</v>
      </c>
      <c r="E76" s="113">
        <f t="shared" si="9"/>
        <v>5227058</v>
      </c>
      <c r="F76" s="114">
        <f t="shared" si="10"/>
        <v>0.10014531734735221</v>
      </c>
    </row>
    <row r="77" spans="1:6" x14ac:dyDescent="0.2">
      <c r="A77" s="115">
        <v>8</v>
      </c>
      <c r="B77" s="116" t="s">
        <v>120</v>
      </c>
      <c r="C77" s="113">
        <v>4899166</v>
      </c>
      <c r="D77" s="113">
        <v>3988691</v>
      </c>
      <c r="E77" s="113">
        <f t="shared" si="9"/>
        <v>-910475</v>
      </c>
      <c r="F77" s="114">
        <f t="shared" si="10"/>
        <v>-0.18584285570237874</v>
      </c>
    </row>
    <row r="78" spans="1:6" x14ac:dyDescent="0.2">
      <c r="A78" s="115">
        <v>9</v>
      </c>
      <c r="B78" s="116" t="s">
        <v>121</v>
      </c>
      <c r="C78" s="113">
        <v>1876106</v>
      </c>
      <c r="D78" s="113">
        <v>3298310</v>
      </c>
      <c r="E78" s="113">
        <f t="shared" si="9"/>
        <v>1422204</v>
      </c>
      <c r="F78" s="114">
        <f t="shared" si="10"/>
        <v>0.75806164470451032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130183</v>
      </c>
      <c r="D80" s="113">
        <v>208992</v>
      </c>
      <c r="E80" s="113">
        <f t="shared" si="9"/>
        <v>78809</v>
      </c>
      <c r="F80" s="114">
        <f t="shared" si="10"/>
        <v>0.60537090096249124</v>
      </c>
    </row>
    <row r="81" spans="1:6" ht="15.75" x14ac:dyDescent="0.25">
      <c r="A81" s="117"/>
      <c r="B81" s="118" t="s">
        <v>133</v>
      </c>
      <c r="C81" s="119">
        <f>SUM(C70:C80)</f>
        <v>136529611</v>
      </c>
      <c r="D81" s="119">
        <f>SUM(D70:D80)</f>
        <v>148434203</v>
      </c>
      <c r="E81" s="119">
        <f t="shared" si="9"/>
        <v>11904592</v>
      </c>
      <c r="F81" s="120">
        <f t="shared" si="10"/>
        <v>8.7194213129340864E-2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116315373</v>
      </c>
      <c r="D84" s="119">
        <f t="shared" si="11"/>
        <v>107907957</v>
      </c>
      <c r="E84" s="119">
        <f t="shared" ref="E84:E95" si="12">D84-C84</f>
        <v>-8407416</v>
      </c>
      <c r="F84" s="120">
        <f t="shared" ref="F84:F95" si="13">IF(C84=0,0,E84/C84)</f>
        <v>-7.2281210842181629E-2</v>
      </c>
    </row>
    <row r="85" spans="1:6" ht="15.75" x14ac:dyDescent="0.25">
      <c r="A85" s="130">
        <v>2</v>
      </c>
      <c r="B85" s="122" t="s">
        <v>114</v>
      </c>
      <c r="C85" s="119">
        <f t="shared" si="11"/>
        <v>45755219</v>
      </c>
      <c r="D85" s="119">
        <f t="shared" si="11"/>
        <v>52774066</v>
      </c>
      <c r="E85" s="119">
        <f t="shared" si="12"/>
        <v>7018847</v>
      </c>
      <c r="F85" s="120">
        <f t="shared" si="13"/>
        <v>0.15339992143847023</v>
      </c>
    </row>
    <row r="86" spans="1:6" ht="15.75" x14ac:dyDescent="0.25">
      <c r="A86" s="130">
        <v>3</v>
      </c>
      <c r="B86" s="122" t="s">
        <v>115</v>
      </c>
      <c r="C86" s="119">
        <f t="shared" si="11"/>
        <v>46656667</v>
      </c>
      <c r="D86" s="119">
        <f t="shared" si="11"/>
        <v>56472732</v>
      </c>
      <c r="E86" s="119">
        <f t="shared" si="12"/>
        <v>9816065</v>
      </c>
      <c r="F86" s="120">
        <f t="shared" si="13"/>
        <v>0.21038933192548881</v>
      </c>
    </row>
    <row r="87" spans="1:6" ht="15.75" x14ac:dyDescent="0.25">
      <c r="A87" s="130">
        <v>4</v>
      </c>
      <c r="B87" s="122" t="s">
        <v>116</v>
      </c>
      <c r="C87" s="119">
        <f t="shared" si="11"/>
        <v>3429331</v>
      </c>
      <c r="D87" s="119">
        <f t="shared" si="11"/>
        <v>0</v>
      </c>
      <c r="E87" s="119">
        <f t="shared" si="12"/>
        <v>-3429331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343835</v>
      </c>
      <c r="D88" s="119">
        <f t="shared" si="11"/>
        <v>152676</v>
      </c>
      <c r="E88" s="119">
        <f t="shared" si="12"/>
        <v>-191159</v>
      </c>
      <c r="F88" s="120">
        <f t="shared" si="13"/>
        <v>-0.55596143499062045</v>
      </c>
    </row>
    <row r="89" spans="1:6" ht="15.75" x14ac:dyDescent="0.25">
      <c r="A89" s="130">
        <v>6</v>
      </c>
      <c r="B89" s="122" t="s">
        <v>118</v>
      </c>
      <c r="C89" s="119">
        <f t="shared" si="11"/>
        <v>45598910</v>
      </c>
      <c r="D89" s="119">
        <f t="shared" si="11"/>
        <v>52763591</v>
      </c>
      <c r="E89" s="119">
        <f t="shared" si="12"/>
        <v>7164681</v>
      </c>
      <c r="F89" s="120">
        <f t="shared" si="13"/>
        <v>0.15712395318221423</v>
      </c>
    </row>
    <row r="90" spans="1:6" ht="15.75" x14ac:dyDescent="0.25">
      <c r="A90" s="130">
        <v>7</v>
      </c>
      <c r="B90" s="122" t="s">
        <v>119</v>
      </c>
      <c r="C90" s="119">
        <f t="shared" si="11"/>
        <v>121790128</v>
      </c>
      <c r="D90" s="119">
        <f t="shared" si="11"/>
        <v>123268155</v>
      </c>
      <c r="E90" s="119">
        <f t="shared" si="12"/>
        <v>1478027</v>
      </c>
      <c r="F90" s="120">
        <f t="shared" si="13"/>
        <v>1.2135852258895729E-2</v>
      </c>
    </row>
    <row r="91" spans="1:6" ht="15.75" x14ac:dyDescent="0.25">
      <c r="A91" s="130">
        <v>8</v>
      </c>
      <c r="B91" s="122" t="s">
        <v>120</v>
      </c>
      <c r="C91" s="119">
        <f t="shared" si="11"/>
        <v>8021373</v>
      </c>
      <c r="D91" s="119">
        <f t="shared" si="11"/>
        <v>7592657</v>
      </c>
      <c r="E91" s="119">
        <f t="shared" si="12"/>
        <v>-428716</v>
      </c>
      <c r="F91" s="120">
        <f t="shared" si="13"/>
        <v>-5.3446710432241466E-2</v>
      </c>
    </row>
    <row r="92" spans="1:6" ht="15.75" x14ac:dyDescent="0.25">
      <c r="A92" s="130">
        <v>9</v>
      </c>
      <c r="B92" s="122" t="s">
        <v>121</v>
      </c>
      <c r="C92" s="119">
        <f t="shared" si="11"/>
        <v>2457082</v>
      </c>
      <c r="D92" s="119">
        <f t="shared" si="11"/>
        <v>3466251</v>
      </c>
      <c r="E92" s="119">
        <f t="shared" si="12"/>
        <v>1009169</v>
      </c>
      <c r="F92" s="120">
        <f t="shared" si="13"/>
        <v>0.41071848639972131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577767</v>
      </c>
      <c r="D94" s="119">
        <f t="shared" si="11"/>
        <v>701192</v>
      </c>
      <c r="E94" s="119">
        <f t="shared" si="12"/>
        <v>123425</v>
      </c>
      <c r="F94" s="120">
        <f t="shared" si="13"/>
        <v>0.21362417722022892</v>
      </c>
    </row>
    <row r="95" spans="1:6" ht="18.75" customHeight="1" thickBot="1" x14ac:dyDescent="0.3">
      <c r="A95" s="131"/>
      <c r="B95" s="132" t="s">
        <v>134</v>
      </c>
      <c r="C95" s="128">
        <f>SUM(C84:C94)</f>
        <v>390945685</v>
      </c>
      <c r="D95" s="128">
        <f>SUM(D84:D94)</f>
        <v>405099277</v>
      </c>
      <c r="E95" s="128">
        <f t="shared" si="12"/>
        <v>14153592</v>
      </c>
      <c r="F95" s="129">
        <f t="shared" si="13"/>
        <v>3.6203474147566049E-2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7000</v>
      </c>
      <c r="D100" s="133">
        <v>6375</v>
      </c>
      <c r="E100" s="133">
        <f t="shared" ref="E100:E111" si="14">D100-C100</f>
        <v>-625</v>
      </c>
      <c r="F100" s="114">
        <f t="shared" ref="F100:F111" si="15">IF(C100=0,0,E100/C100)</f>
        <v>-8.9285714285714288E-2</v>
      </c>
    </row>
    <row r="101" spans="1:6" x14ac:dyDescent="0.2">
      <c r="A101" s="115">
        <v>2</v>
      </c>
      <c r="B101" s="116" t="s">
        <v>114</v>
      </c>
      <c r="C101" s="133">
        <v>3153</v>
      </c>
      <c r="D101" s="133">
        <v>3175</v>
      </c>
      <c r="E101" s="133">
        <f t="shared" si="14"/>
        <v>22</v>
      </c>
      <c r="F101" s="114">
        <f t="shared" si="15"/>
        <v>6.9774817633999368E-3</v>
      </c>
    </row>
    <row r="102" spans="1:6" x14ac:dyDescent="0.2">
      <c r="A102" s="115">
        <v>3</v>
      </c>
      <c r="B102" s="116" t="s">
        <v>115</v>
      </c>
      <c r="C102" s="133">
        <v>4374</v>
      </c>
      <c r="D102" s="133">
        <v>4685</v>
      </c>
      <c r="E102" s="133">
        <f t="shared" si="14"/>
        <v>311</v>
      </c>
      <c r="F102" s="114">
        <f t="shared" si="15"/>
        <v>7.110196616369456E-2</v>
      </c>
    </row>
    <row r="103" spans="1:6" x14ac:dyDescent="0.2">
      <c r="A103" s="115">
        <v>4</v>
      </c>
      <c r="B103" s="116" t="s">
        <v>116</v>
      </c>
      <c r="C103" s="133">
        <v>399</v>
      </c>
      <c r="D103" s="133">
        <v>0</v>
      </c>
      <c r="E103" s="133">
        <f t="shared" si="14"/>
        <v>-399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29</v>
      </c>
      <c r="D104" s="133">
        <v>30</v>
      </c>
      <c r="E104" s="133">
        <f t="shared" si="14"/>
        <v>1</v>
      </c>
      <c r="F104" s="114">
        <f t="shared" si="15"/>
        <v>3.4482758620689655E-2</v>
      </c>
    </row>
    <row r="105" spans="1:6" x14ac:dyDescent="0.2">
      <c r="A105" s="115">
        <v>6</v>
      </c>
      <c r="B105" s="116" t="s">
        <v>118</v>
      </c>
      <c r="C105" s="133">
        <v>1660</v>
      </c>
      <c r="D105" s="133">
        <v>1492</v>
      </c>
      <c r="E105" s="133">
        <f t="shared" si="14"/>
        <v>-168</v>
      </c>
      <c r="F105" s="114">
        <f t="shared" si="15"/>
        <v>-0.10120481927710843</v>
      </c>
    </row>
    <row r="106" spans="1:6" x14ac:dyDescent="0.2">
      <c r="A106" s="115">
        <v>7</v>
      </c>
      <c r="B106" s="116" t="s">
        <v>119</v>
      </c>
      <c r="C106" s="133">
        <v>4210</v>
      </c>
      <c r="D106" s="133">
        <v>3646</v>
      </c>
      <c r="E106" s="133">
        <f t="shared" si="14"/>
        <v>-564</v>
      </c>
      <c r="F106" s="114">
        <f t="shared" si="15"/>
        <v>-0.1339667458432304</v>
      </c>
    </row>
    <row r="107" spans="1:6" x14ac:dyDescent="0.2">
      <c r="A107" s="115">
        <v>8</v>
      </c>
      <c r="B107" s="116" t="s">
        <v>120</v>
      </c>
      <c r="C107" s="133">
        <v>99</v>
      </c>
      <c r="D107" s="133">
        <v>92</v>
      </c>
      <c r="E107" s="133">
        <f t="shared" si="14"/>
        <v>-7</v>
      </c>
      <c r="F107" s="114">
        <f t="shared" si="15"/>
        <v>-7.0707070707070704E-2</v>
      </c>
    </row>
    <row r="108" spans="1:6" x14ac:dyDescent="0.2">
      <c r="A108" s="115">
        <v>9</v>
      </c>
      <c r="B108" s="116" t="s">
        <v>121</v>
      </c>
      <c r="C108" s="133">
        <v>950</v>
      </c>
      <c r="D108" s="133">
        <v>793</v>
      </c>
      <c r="E108" s="133">
        <f t="shared" si="14"/>
        <v>-157</v>
      </c>
      <c r="F108" s="114">
        <f t="shared" si="15"/>
        <v>-0.16526315789473683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38</v>
      </c>
      <c r="D110" s="133">
        <v>36</v>
      </c>
      <c r="E110" s="133">
        <f t="shared" si="14"/>
        <v>-2</v>
      </c>
      <c r="F110" s="114">
        <f t="shared" si="15"/>
        <v>-5.2631578947368418E-2</v>
      </c>
    </row>
    <row r="111" spans="1:6" ht="15.75" x14ac:dyDescent="0.25">
      <c r="A111" s="117"/>
      <c r="B111" s="118" t="s">
        <v>138</v>
      </c>
      <c r="C111" s="134">
        <f>SUM(C100:C110)</f>
        <v>21912</v>
      </c>
      <c r="D111" s="134">
        <f>SUM(D100:D110)</f>
        <v>20324</v>
      </c>
      <c r="E111" s="134">
        <f t="shared" si="14"/>
        <v>-1588</v>
      </c>
      <c r="F111" s="120">
        <f t="shared" si="15"/>
        <v>-7.2471705001825482E-2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45108</v>
      </c>
      <c r="D113" s="133">
        <v>44479</v>
      </c>
      <c r="E113" s="133">
        <f t="shared" ref="E113:E124" si="16">D113-C113</f>
        <v>-629</v>
      </c>
      <c r="F113" s="114">
        <f t="shared" ref="F113:F124" si="17">IF(C113=0,0,E113/C113)</f>
        <v>-1.394431143034495E-2</v>
      </c>
    </row>
    <row r="114" spans="1:6" x14ac:dyDescent="0.2">
      <c r="A114" s="115">
        <v>2</v>
      </c>
      <c r="B114" s="116" t="s">
        <v>114</v>
      </c>
      <c r="C114" s="133">
        <v>18472</v>
      </c>
      <c r="D114" s="133">
        <v>19742</v>
      </c>
      <c r="E114" s="133">
        <f t="shared" si="16"/>
        <v>1270</v>
      </c>
      <c r="F114" s="114">
        <f t="shared" si="17"/>
        <v>6.8752706799480298E-2</v>
      </c>
    </row>
    <row r="115" spans="1:6" x14ac:dyDescent="0.2">
      <c r="A115" s="115">
        <v>3</v>
      </c>
      <c r="B115" s="116" t="s">
        <v>115</v>
      </c>
      <c r="C115" s="133">
        <v>25194</v>
      </c>
      <c r="D115" s="133">
        <v>28549</v>
      </c>
      <c r="E115" s="133">
        <f t="shared" si="16"/>
        <v>3355</v>
      </c>
      <c r="F115" s="114">
        <f t="shared" si="17"/>
        <v>0.13316662697467652</v>
      </c>
    </row>
    <row r="116" spans="1:6" x14ac:dyDescent="0.2">
      <c r="A116" s="115">
        <v>4</v>
      </c>
      <c r="B116" s="116" t="s">
        <v>116</v>
      </c>
      <c r="C116" s="133">
        <v>2082</v>
      </c>
      <c r="D116" s="133">
        <v>0</v>
      </c>
      <c r="E116" s="133">
        <f t="shared" si="16"/>
        <v>-2082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97</v>
      </c>
      <c r="D117" s="133">
        <v>110</v>
      </c>
      <c r="E117" s="133">
        <f t="shared" si="16"/>
        <v>13</v>
      </c>
      <c r="F117" s="114">
        <f t="shared" si="17"/>
        <v>0.13402061855670103</v>
      </c>
    </row>
    <row r="118" spans="1:6" x14ac:dyDescent="0.2">
      <c r="A118" s="115">
        <v>6</v>
      </c>
      <c r="B118" s="116" t="s">
        <v>118</v>
      </c>
      <c r="C118" s="133">
        <v>7683</v>
      </c>
      <c r="D118" s="133">
        <v>6324</v>
      </c>
      <c r="E118" s="133">
        <f t="shared" si="16"/>
        <v>-1359</v>
      </c>
      <c r="F118" s="114">
        <f t="shared" si="17"/>
        <v>-0.17688402967590786</v>
      </c>
    </row>
    <row r="119" spans="1:6" x14ac:dyDescent="0.2">
      <c r="A119" s="115">
        <v>7</v>
      </c>
      <c r="B119" s="116" t="s">
        <v>119</v>
      </c>
      <c r="C119" s="133">
        <v>19097</v>
      </c>
      <c r="D119" s="133">
        <v>16566</v>
      </c>
      <c r="E119" s="133">
        <f t="shared" si="16"/>
        <v>-2531</v>
      </c>
      <c r="F119" s="114">
        <f t="shared" si="17"/>
        <v>-0.13253390584908625</v>
      </c>
    </row>
    <row r="120" spans="1:6" x14ac:dyDescent="0.2">
      <c r="A120" s="115">
        <v>8</v>
      </c>
      <c r="B120" s="116" t="s">
        <v>120</v>
      </c>
      <c r="C120" s="133">
        <v>270</v>
      </c>
      <c r="D120" s="133">
        <v>281</v>
      </c>
      <c r="E120" s="133">
        <f t="shared" si="16"/>
        <v>11</v>
      </c>
      <c r="F120" s="114">
        <f t="shared" si="17"/>
        <v>4.0740740740740744E-2</v>
      </c>
    </row>
    <row r="121" spans="1:6" x14ac:dyDescent="0.2">
      <c r="A121" s="115">
        <v>9</v>
      </c>
      <c r="B121" s="116" t="s">
        <v>121</v>
      </c>
      <c r="C121" s="133">
        <v>4631</v>
      </c>
      <c r="D121" s="133">
        <v>4263</v>
      </c>
      <c r="E121" s="133">
        <f t="shared" si="16"/>
        <v>-368</v>
      </c>
      <c r="F121" s="114">
        <f t="shared" si="17"/>
        <v>-7.9464478514359754E-2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244</v>
      </c>
      <c r="D123" s="133">
        <v>260</v>
      </c>
      <c r="E123" s="133">
        <f t="shared" si="16"/>
        <v>16</v>
      </c>
      <c r="F123" s="114">
        <f t="shared" si="17"/>
        <v>6.5573770491803282E-2</v>
      </c>
    </row>
    <row r="124" spans="1:6" ht="15.75" x14ac:dyDescent="0.25">
      <c r="A124" s="117"/>
      <c r="B124" s="118" t="s">
        <v>140</v>
      </c>
      <c r="C124" s="134">
        <f>SUM(C113:C123)</f>
        <v>122878</v>
      </c>
      <c r="D124" s="134">
        <f>SUM(D113:D123)</f>
        <v>120574</v>
      </c>
      <c r="E124" s="134">
        <f t="shared" si="16"/>
        <v>-2304</v>
      </c>
      <c r="F124" s="120">
        <f t="shared" si="17"/>
        <v>-1.8750305180748383E-2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45583</v>
      </c>
      <c r="D126" s="133">
        <v>45322</v>
      </c>
      <c r="E126" s="133">
        <f t="shared" ref="E126:E137" si="18">D126-C126</f>
        <v>-261</v>
      </c>
      <c r="F126" s="114">
        <f t="shared" ref="F126:F137" si="19">IF(C126=0,0,E126/C126)</f>
        <v>-5.7258188359695502E-3</v>
      </c>
    </row>
    <row r="127" spans="1:6" x14ac:dyDescent="0.2">
      <c r="A127" s="115">
        <v>2</v>
      </c>
      <c r="B127" s="116" t="s">
        <v>114</v>
      </c>
      <c r="C127" s="133">
        <v>18023</v>
      </c>
      <c r="D127" s="133">
        <v>19952</v>
      </c>
      <c r="E127" s="133">
        <f t="shared" si="18"/>
        <v>1929</v>
      </c>
      <c r="F127" s="114">
        <f t="shared" si="19"/>
        <v>0.10702990623092715</v>
      </c>
    </row>
    <row r="128" spans="1:6" x14ac:dyDescent="0.2">
      <c r="A128" s="115">
        <v>3</v>
      </c>
      <c r="B128" s="116" t="s">
        <v>115</v>
      </c>
      <c r="C128" s="133">
        <v>66450</v>
      </c>
      <c r="D128" s="133">
        <v>80233</v>
      </c>
      <c r="E128" s="133">
        <f t="shared" si="18"/>
        <v>13783</v>
      </c>
      <c r="F128" s="114">
        <f t="shared" si="19"/>
        <v>0.2074191121143717</v>
      </c>
    </row>
    <row r="129" spans="1:6" x14ac:dyDescent="0.2">
      <c r="A129" s="115">
        <v>4</v>
      </c>
      <c r="B129" s="116" t="s">
        <v>116</v>
      </c>
      <c r="C129" s="133">
        <v>9017</v>
      </c>
      <c r="D129" s="133">
        <v>0</v>
      </c>
      <c r="E129" s="133">
        <f t="shared" si="18"/>
        <v>-9017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356</v>
      </c>
      <c r="D130" s="133">
        <v>394</v>
      </c>
      <c r="E130" s="133">
        <f t="shared" si="18"/>
        <v>38</v>
      </c>
      <c r="F130" s="114">
        <f t="shared" si="19"/>
        <v>0.10674157303370786</v>
      </c>
    </row>
    <row r="131" spans="1:6" x14ac:dyDescent="0.2">
      <c r="A131" s="115">
        <v>6</v>
      </c>
      <c r="B131" s="116" t="s">
        <v>118</v>
      </c>
      <c r="C131" s="133">
        <v>31039</v>
      </c>
      <c r="D131" s="133">
        <v>30916</v>
      </c>
      <c r="E131" s="133">
        <f t="shared" si="18"/>
        <v>-123</v>
      </c>
      <c r="F131" s="114">
        <f t="shared" si="19"/>
        <v>-3.9627565321047713E-3</v>
      </c>
    </row>
    <row r="132" spans="1:6" x14ac:dyDescent="0.2">
      <c r="A132" s="115">
        <v>7</v>
      </c>
      <c r="B132" s="116" t="s">
        <v>119</v>
      </c>
      <c r="C132" s="133">
        <v>59938</v>
      </c>
      <c r="D132" s="133">
        <v>62414</v>
      </c>
      <c r="E132" s="133">
        <f t="shared" si="18"/>
        <v>2476</v>
      </c>
      <c r="F132" s="114">
        <f t="shared" si="19"/>
        <v>4.1309352998098035E-2</v>
      </c>
    </row>
    <row r="133" spans="1:6" x14ac:dyDescent="0.2">
      <c r="A133" s="115">
        <v>8</v>
      </c>
      <c r="B133" s="116" t="s">
        <v>120</v>
      </c>
      <c r="C133" s="133">
        <v>8325</v>
      </c>
      <c r="D133" s="133">
        <v>7543</v>
      </c>
      <c r="E133" s="133">
        <f t="shared" si="18"/>
        <v>-782</v>
      </c>
      <c r="F133" s="114">
        <f t="shared" si="19"/>
        <v>-9.3933933933933927E-2</v>
      </c>
    </row>
    <row r="134" spans="1:6" x14ac:dyDescent="0.2">
      <c r="A134" s="115">
        <v>9</v>
      </c>
      <c r="B134" s="116" t="s">
        <v>121</v>
      </c>
      <c r="C134" s="133">
        <v>32759</v>
      </c>
      <c r="D134" s="133">
        <v>31187</v>
      </c>
      <c r="E134" s="133">
        <f t="shared" si="18"/>
        <v>-1572</v>
      </c>
      <c r="F134" s="114">
        <f t="shared" si="19"/>
        <v>-4.7986812784273025E-2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417</v>
      </c>
      <c r="D136" s="133">
        <v>456</v>
      </c>
      <c r="E136" s="133">
        <f t="shared" si="18"/>
        <v>39</v>
      </c>
      <c r="F136" s="114">
        <f t="shared" si="19"/>
        <v>9.3525179856115109E-2</v>
      </c>
    </row>
    <row r="137" spans="1:6" ht="15.75" x14ac:dyDescent="0.25">
      <c r="A137" s="117"/>
      <c r="B137" s="118" t="s">
        <v>142</v>
      </c>
      <c r="C137" s="134">
        <f>SUM(C126:C136)</f>
        <v>271907</v>
      </c>
      <c r="D137" s="134">
        <f>SUM(D126:D136)</f>
        <v>278417</v>
      </c>
      <c r="E137" s="134">
        <f t="shared" si="18"/>
        <v>6510</v>
      </c>
      <c r="F137" s="120">
        <f t="shared" si="19"/>
        <v>2.3942009584159291E-2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8501159</v>
      </c>
      <c r="D142" s="113">
        <v>8913391</v>
      </c>
      <c r="E142" s="113">
        <f t="shared" ref="E142:E153" si="20">D142-C142</f>
        <v>412232</v>
      </c>
      <c r="F142" s="114">
        <f t="shared" ref="F142:F153" si="21">IF(C142=0,0,E142/C142)</f>
        <v>4.8491270425597262E-2</v>
      </c>
    </row>
    <row r="143" spans="1:6" x14ac:dyDescent="0.2">
      <c r="A143" s="115">
        <v>2</v>
      </c>
      <c r="B143" s="116" t="s">
        <v>114</v>
      </c>
      <c r="C143" s="113">
        <v>4979960</v>
      </c>
      <c r="D143" s="113">
        <v>4453428</v>
      </c>
      <c r="E143" s="113">
        <f t="shared" si="20"/>
        <v>-526532</v>
      </c>
      <c r="F143" s="114">
        <f t="shared" si="21"/>
        <v>-0.1057301665073615</v>
      </c>
    </row>
    <row r="144" spans="1:6" x14ac:dyDescent="0.2">
      <c r="A144" s="115">
        <v>3</v>
      </c>
      <c r="B144" s="116" t="s">
        <v>115</v>
      </c>
      <c r="C144" s="113">
        <v>37525968</v>
      </c>
      <c r="D144" s="113">
        <v>45495403</v>
      </c>
      <c r="E144" s="113">
        <f t="shared" si="20"/>
        <v>7969435</v>
      </c>
      <c r="F144" s="114">
        <f t="shared" si="21"/>
        <v>0.21237120385542085</v>
      </c>
    </row>
    <row r="145" spans="1:6" x14ac:dyDescent="0.2">
      <c r="A145" s="115">
        <v>4</v>
      </c>
      <c r="B145" s="116" t="s">
        <v>116</v>
      </c>
      <c r="C145" s="113">
        <v>4805602</v>
      </c>
      <c r="D145" s="113">
        <v>0</v>
      </c>
      <c r="E145" s="113">
        <f t="shared" si="20"/>
        <v>-4805602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252270</v>
      </c>
      <c r="D146" s="113">
        <v>202111</v>
      </c>
      <c r="E146" s="113">
        <f t="shared" si="20"/>
        <v>-50159</v>
      </c>
      <c r="F146" s="114">
        <f t="shared" si="21"/>
        <v>-0.19883061798866294</v>
      </c>
    </row>
    <row r="147" spans="1:6" x14ac:dyDescent="0.2">
      <c r="A147" s="115">
        <v>6</v>
      </c>
      <c r="B147" s="116" t="s">
        <v>118</v>
      </c>
      <c r="C147" s="113">
        <v>10900422</v>
      </c>
      <c r="D147" s="113">
        <v>11025648</v>
      </c>
      <c r="E147" s="113">
        <f t="shared" si="20"/>
        <v>125226</v>
      </c>
      <c r="F147" s="114">
        <f t="shared" si="21"/>
        <v>1.148817908150712E-2</v>
      </c>
    </row>
    <row r="148" spans="1:6" x14ac:dyDescent="0.2">
      <c r="A148" s="115">
        <v>7</v>
      </c>
      <c r="B148" s="116" t="s">
        <v>119</v>
      </c>
      <c r="C148" s="113">
        <v>21915698</v>
      </c>
      <c r="D148" s="113">
        <v>24494382</v>
      </c>
      <c r="E148" s="113">
        <f t="shared" si="20"/>
        <v>2578684</v>
      </c>
      <c r="F148" s="114">
        <f t="shared" si="21"/>
        <v>0.1176637860222385</v>
      </c>
    </row>
    <row r="149" spans="1:6" x14ac:dyDescent="0.2">
      <c r="A149" s="115">
        <v>8</v>
      </c>
      <c r="B149" s="116" t="s">
        <v>120</v>
      </c>
      <c r="C149" s="113">
        <v>1598391</v>
      </c>
      <c r="D149" s="113">
        <v>1841633</v>
      </c>
      <c r="E149" s="113">
        <f t="shared" si="20"/>
        <v>243242</v>
      </c>
      <c r="F149" s="114">
        <f t="shared" si="21"/>
        <v>0.15217928529377356</v>
      </c>
    </row>
    <row r="150" spans="1:6" x14ac:dyDescent="0.2">
      <c r="A150" s="115">
        <v>9</v>
      </c>
      <c r="B150" s="116" t="s">
        <v>121</v>
      </c>
      <c r="C150" s="113">
        <v>17152698</v>
      </c>
      <c r="D150" s="113">
        <v>17906431</v>
      </c>
      <c r="E150" s="113">
        <f t="shared" si="20"/>
        <v>753733</v>
      </c>
      <c r="F150" s="114">
        <f t="shared" si="21"/>
        <v>4.3942533122194538E-2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612253</v>
      </c>
      <c r="D152" s="113">
        <v>659251</v>
      </c>
      <c r="E152" s="113">
        <f t="shared" si="20"/>
        <v>46998</v>
      </c>
      <c r="F152" s="114">
        <f t="shared" si="21"/>
        <v>7.6762384177782708E-2</v>
      </c>
    </row>
    <row r="153" spans="1:6" ht="33.75" customHeight="1" x14ac:dyDescent="0.25">
      <c r="A153" s="117"/>
      <c r="B153" s="118" t="s">
        <v>146</v>
      </c>
      <c r="C153" s="119">
        <f>SUM(C142:C152)</f>
        <v>108244421</v>
      </c>
      <c r="D153" s="119">
        <f>SUM(D142:D152)</f>
        <v>114991678</v>
      </c>
      <c r="E153" s="119">
        <f t="shared" si="20"/>
        <v>6747257</v>
      </c>
      <c r="F153" s="120">
        <f t="shared" si="21"/>
        <v>6.233353125885352E-2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3399765</v>
      </c>
      <c r="D155" s="113">
        <v>3224739</v>
      </c>
      <c r="E155" s="113">
        <f t="shared" ref="E155:E166" si="22">D155-C155</f>
        <v>-175026</v>
      </c>
      <c r="F155" s="114">
        <f t="shared" ref="F155:F166" si="23">IF(C155=0,0,E155/C155)</f>
        <v>-5.1481793594557269E-2</v>
      </c>
    </row>
    <row r="156" spans="1:6" x14ac:dyDescent="0.2">
      <c r="A156" s="115">
        <v>2</v>
      </c>
      <c r="B156" s="116" t="s">
        <v>114</v>
      </c>
      <c r="C156" s="113">
        <v>1300996</v>
      </c>
      <c r="D156" s="113">
        <v>1691573</v>
      </c>
      <c r="E156" s="113">
        <f t="shared" si="22"/>
        <v>390577</v>
      </c>
      <c r="F156" s="114">
        <f t="shared" si="23"/>
        <v>0.30021383616859698</v>
      </c>
    </row>
    <row r="157" spans="1:6" x14ac:dyDescent="0.2">
      <c r="A157" s="115">
        <v>3</v>
      </c>
      <c r="B157" s="116" t="s">
        <v>115</v>
      </c>
      <c r="C157" s="113">
        <v>5272411</v>
      </c>
      <c r="D157" s="113">
        <v>7189019</v>
      </c>
      <c r="E157" s="113">
        <f t="shared" si="22"/>
        <v>1916608</v>
      </c>
      <c r="F157" s="114">
        <f t="shared" si="23"/>
        <v>0.36351642540765505</v>
      </c>
    </row>
    <row r="158" spans="1:6" x14ac:dyDescent="0.2">
      <c r="A158" s="115">
        <v>4</v>
      </c>
      <c r="B158" s="116" t="s">
        <v>116</v>
      </c>
      <c r="C158" s="113">
        <v>1604352</v>
      </c>
      <c r="D158" s="113">
        <v>0</v>
      </c>
      <c r="E158" s="113">
        <f t="shared" si="22"/>
        <v>-1604352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61552</v>
      </c>
      <c r="D159" s="113">
        <v>37803</v>
      </c>
      <c r="E159" s="113">
        <f t="shared" si="22"/>
        <v>-23749</v>
      </c>
      <c r="F159" s="114">
        <f t="shared" si="23"/>
        <v>-0.38583636599948012</v>
      </c>
    </row>
    <row r="160" spans="1:6" x14ac:dyDescent="0.2">
      <c r="A160" s="115">
        <v>6</v>
      </c>
      <c r="B160" s="116" t="s">
        <v>118</v>
      </c>
      <c r="C160" s="113">
        <v>6195884</v>
      </c>
      <c r="D160" s="113">
        <v>6584788</v>
      </c>
      <c r="E160" s="113">
        <f t="shared" si="22"/>
        <v>388904</v>
      </c>
      <c r="F160" s="114">
        <f t="shared" si="23"/>
        <v>6.2768121546497649E-2</v>
      </c>
    </row>
    <row r="161" spans="1:6" x14ac:dyDescent="0.2">
      <c r="A161" s="115">
        <v>7</v>
      </c>
      <c r="B161" s="116" t="s">
        <v>119</v>
      </c>
      <c r="C161" s="113">
        <v>13799944</v>
      </c>
      <c r="D161" s="113">
        <v>14890981</v>
      </c>
      <c r="E161" s="113">
        <f t="shared" si="22"/>
        <v>1091037</v>
      </c>
      <c r="F161" s="114">
        <f t="shared" si="23"/>
        <v>7.9060973001049861E-2</v>
      </c>
    </row>
    <row r="162" spans="1:6" x14ac:dyDescent="0.2">
      <c r="A162" s="115">
        <v>8</v>
      </c>
      <c r="B162" s="116" t="s">
        <v>120</v>
      </c>
      <c r="C162" s="113">
        <v>1278582</v>
      </c>
      <c r="D162" s="113">
        <v>1520012</v>
      </c>
      <c r="E162" s="113">
        <f t="shared" si="22"/>
        <v>241430</v>
      </c>
      <c r="F162" s="114">
        <f t="shared" si="23"/>
        <v>0.18882637171491543</v>
      </c>
    </row>
    <row r="163" spans="1:6" x14ac:dyDescent="0.2">
      <c r="A163" s="115">
        <v>9</v>
      </c>
      <c r="B163" s="116" t="s">
        <v>121</v>
      </c>
      <c r="C163" s="113">
        <v>3956636</v>
      </c>
      <c r="D163" s="113">
        <v>1502489</v>
      </c>
      <c r="E163" s="113">
        <f t="shared" si="22"/>
        <v>-2454147</v>
      </c>
      <c r="F163" s="114">
        <f t="shared" si="23"/>
        <v>-0.62026099949553104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111917</v>
      </c>
      <c r="D165" s="113">
        <v>176601</v>
      </c>
      <c r="E165" s="113">
        <f t="shared" si="22"/>
        <v>64684</v>
      </c>
      <c r="F165" s="114">
        <f t="shared" si="23"/>
        <v>0.57796402691280147</v>
      </c>
    </row>
    <row r="166" spans="1:6" ht="33.75" customHeight="1" x14ac:dyDescent="0.25">
      <c r="A166" s="117"/>
      <c r="B166" s="118" t="s">
        <v>148</v>
      </c>
      <c r="C166" s="119">
        <f>SUM(C155:C165)</f>
        <v>36982039</v>
      </c>
      <c r="D166" s="119">
        <f>SUM(D155:D165)</f>
        <v>36818005</v>
      </c>
      <c r="E166" s="119">
        <f t="shared" si="22"/>
        <v>-164034</v>
      </c>
      <c r="F166" s="120">
        <f t="shared" si="23"/>
        <v>-4.4355044890845522E-3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7531</v>
      </c>
      <c r="D168" s="133">
        <v>7755</v>
      </c>
      <c r="E168" s="133">
        <f t="shared" ref="E168:E179" si="24">D168-C168</f>
        <v>224</v>
      </c>
      <c r="F168" s="114">
        <f t="shared" ref="F168:F179" si="25">IF(C168=0,0,E168/C168)</f>
        <v>2.9743725932811049E-2</v>
      </c>
    </row>
    <row r="169" spans="1:6" x14ac:dyDescent="0.2">
      <c r="A169" s="115">
        <v>2</v>
      </c>
      <c r="B169" s="116" t="s">
        <v>114</v>
      </c>
      <c r="C169" s="133">
        <v>2917</v>
      </c>
      <c r="D169" s="133">
        <v>3386</v>
      </c>
      <c r="E169" s="133">
        <f t="shared" si="24"/>
        <v>469</v>
      </c>
      <c r="F169" s="114">
        <f t="shared" si="25"/>
        <v>0.16078162495714776</v>
      </c>
    </row>
    <row r="170" spans="1:6" x14ac:dyDescent="0.2">
      <c r="A170" s="115">
        <v>3</v>
      </c>
      <c r="B170" s="116" t="s">
        <v>115</v>
      </c>
      <c r="C170" s="133">
        <v>22902</v>
      </c>
      <c r="D170" s="133">
        <v>26072</v>
      </c>
      <c r="E170" s="133">
        <f t="shared" si="24"/>
        <v>3170</v>
      </c>
      <c r="F170" s="114">
        <f t="shared" si="25"/>
        <v>0.13841585887695398</v>
      </c>
    </row>
    <row r="171" spans="1:6" x14ac:dyDescent="0.2">
      <c r="A171" s="115">
        <v>4</v>
      </c>
      <c r="B171" s="116" t="s">
        <v>116</v>
      </c>
      <c r="C171" s="133">
        <v>3448</v>
      </c>
      <c r="D171" s="133">
        <v>0</v>
      </c>
      <c r="E171" s="133">
        <f t="shared" si="24"/>
        <v>-3448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142</v>
      </c>
      <c r="D172" s="133">
        <v>124</v>
      </c>
      <c r="E172" s="133">
        <f t="shared" si="24"/>
        <v>-18</v>
      </c>
      <c r="F172" s="114">
        <f t="shared" si="25"/>
        <v>-0.12676056338028169</v>
      </c>
    </row>
    <row r="173" spans="1:6" x14ac:dyDescent="0.2">
      <c r="A173" s="115">
        <v>6</v>
      </c>
      <c r="B173" s="116" t="s">
        <v>118</v>
      </c>
      <c r="C173" s="133">
        <v>5629</v>
      </c>
      <c r="D173" s="133">
        <v>5180</v>
      </c>
      <c r="E173" s="133">
        <f t="shared" si="24"/>
        <v>-449</v>
      </c>
      <c r="F173" s="114">
        <f t="shared" si="25"/>
        <v>-7.9765500088825728E-2</v>
      </c>
    </row>
    <row r="174" spans="1:6" x14ac:dyDescent="0.2">
      <c r="A174" s="115">
        <v>7</v>
      </c>
      <c r="B174" s="116" t="s">
        <v>119</v>
      </c>
      <c r="C174" s="133">
        <v>10998</v>
      </c>
      <c r="D174" s="133">
        <v>11226</v>
      </c>
      <c r="E174" s="133">
        <f t="shared" si="24"/>
        <v>228</v>
      </c>
      <c r="F174" s="114">
        <f t="shared" si="25"/>
        <v>2.0731042007637753E-2</v>
      </c>
    </row>
    <row r="175" spans="1:6" x14ac:dyDescent="0.2">
      <c r="A175" s="115">
        <v>8</v>
      </c>
      <c r="B175" s="116" t="s">
        <v>120</v>
      </c>
      <c r="C175" s="133">
        <v>969</v>
      </c>
      <c r="D175" s="133">
        <v>1035</v>
      </c>
      <c r="E175" s="133">
        <f t="shared" si="24"/>
        <v>66</v>
      </c>
      <c r="F175" s="114">
        <f t="shared" si="25"/>
        <v>6.8111455108359129E-2</v>
      </c>
    </row>
    <row r="176" spans="1:6" x14ac:dyDescent="0.2">
      <c r="A176" s="115">
        <v>9</v>
      </c>
      <c r="B176" s="116" t="s">
        <v>121</v>
      </c>
      <c r="C176" s="133">
        <v>9521</v>
      </c>
      <c r="D176" s="133">
        <v>9144</v>
      </c>
      <c r="E176" s="133">
        <f t="shared" si="24"/>
        <v>-377</v>
      </c>
      <c r="F176" s="114">
        <f t="shared" si="25"/>
        <v>-3.9596681020901164E-2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341</v>
      </c>
      <c r="D178" s="133">
        <v>342</v>
      </c>
      <c r="E178" s="133">
        <f t="shared" si="24"/>
        <v>1</v>
      </c>
      <c r="F178" s="114">
        <f t="shared" si="25"/>
        <v>2.9325513196480938E-3</v>
      </c>
    </row>
    <row r="179" spans="1:6" ht="33.75" customHeight="1" x14ac:dyDescent="0.25">
      <c r="A179" s="117"/>
      <c r="B179" s="118" t="s">
        <v>150</v>
      </c>
      <c r="C179" s="134">
        <f>SUM(C168:C178)</f>
        <v>64398</v>
      </c>
      <c r="D179" s="134">
        <f>SUM(D168:D178)</f>
        <v>64264</v>
      </c>
      <c r="E179" s="134">
        <f t="shared" si="24"/>
        <v>-134</v>
      </c>
      <c r="F179" s="120">
        <f t="shared" si="25"/>
        <v>-2.0808099630423306E-3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FILING&amp;RSAINT VINCENT`S MEDICAL CENTER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64980063</v>
      </c>
      <c r="D15" s="157">
        <v>69212911</v>
      </c>
      <c r="E15" s="157">
        <f>+D15-C15</f>
        <v>4232848</v>
      </c>
      <c r="F15" s="161">
        <f>IF(C15=0,0,E15/C15)</f>
        <v>6.5140718623187543E-2</v>
      </c>
    </row>
    <row r="16" spans="1:6" ht="15" customHeight="1" x14ac:dyDescent="0.2">
      <c r="A16" s="147">
        <v>2</v>
      </c>
      <c r="B16" s="160" t="s">
        <v>157</v>
      </c>
      <c r="C16" s="157">
        <v>11509155</v>
      </c>
      <c r="D16" s="157">
        <v>10079633</v>
      </c>
      <c r="E16" s="157">
        <f>+D16-C16</f>
        <v>-1429522</v>
      </c>
      <c r="F16" s="161">
        <f>IF(C16=0,0,E16/C16)</f>
        <v>-0.12420738099365244</v>
      </c>
    </row>
    <row r="17" spans="1:6" ht="15" customHeight="1" x14ac:dyDescent="0.2">
      <c r="A17" s="147">
        <v>3</v>
      </c>
      <c r="B17" s="160" t="s">
        <v>158</v>
      </c>
      <c r="C17" s="157">
        <v>76016782</v>
      </c>
      <c r="D17" s="157">
        <v>77039456</v>
      </c>
      <c r="E17" s="157">
        <f>+D17-C17</f>
        <v>1022674</v>
      </c>
      <c r="F17" s="161">
        <f>IF(C17=0,0,E17/C17)</f>
        <v>1.3453266148519678E-2</v>
      </c>
    </row>
    <row r="18" spans="1:6" ht="15.75" customHeight="1" x14ac:dyDescent="0.25">
      <c r="A18" s="147"/>
      <c r="B18" s="162" t="s">
        <v>159</v>
      </c>
      <c r="C18" s="158">
        <f>SUM(C15:C17)</f>
        <v>152506000</v>
      </c>
      <c r="D18" s="158">
        <f>SUM(D15:D17)</f>
        <v>156332000</v>
      </c>
      <c r="E18" s="158">
        <f>+D18-C18</f>
        <v>3826000</v>
      </c>
      <c r="F18" s="159">
        <f>IF(C18=0,0,E18/C18)</f>
        <v>2.5087537539506641E-2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7091846</v>
      </c>
      <c r="D21" s="157">
        <v>19798899</v>
      </c>
      <c r="E21" s="157">
        <f>+D21-C21</f>
        <v>12707053</v>
      </c>
      <c r="F21" s="161">
        <f>IF(C21=0,0,E21/C21)</f>
        <v>1.7917835497273911</v>
      </c>
    </row>
    <row r="22" spans="1:6" ht="15" customHeight="1" x14ac:dyDescent="0.2">
      <c r="A22" s="147">
        <v>2</v>
      </c>
      <c r="B22" s="160" t="s">
        <v>162</v>
      </c>
      <c r="C22" s="157">
        <v>1256095</v>
      </c>
      <c r="D22" s="157">
        <v>2883358</v>
      </c>
      <c r="E22" s="157">
        <f>+D22-C22</f>
        <v>1627263</v>
      </c>
      <c r="F22" s="161">
        <f>IF(C22=0,0,E22/C22)</f>
        <v>1.2954935733364117</v>
      </c>
    </row>
    <row r="23" spans="1:6" ht="15" customHeight="1" x14ac:dyDescent="0.2">
      <c r="A23" s="147">
        <v>3</v>
      </c>
      <c r="B23" s="160" t="s">
        <v>163</v>
      </c>
      <c r="C23" s="157">
        <v>8296059</v>
      </c>
      <c r="D23" s="157">
        <v>22037743</v>
      </c>
      <c r="E23" s="157">
        <f>+D23-C23</f>
        <v>13741684</v>
      </c>
      <c r="F23" s="161">
        <f>IF(C23=0,0,E23/C23)</f>
        <v>1.6564110742221096</v>
      </c>
    </row>
    <row r="24" spans="1:6" ht="15.75" customHeight="1" x14ac:dyDescent="0.25">
      <c r="A24" s="147"/>
      <c r="B24" s="162" t="s">
        <v>164</v>
      </c>
      <c r="C24" s="158">
        <f>SUM(C21:C23)</f>
        <v>16644000</v>
      </c>
      <c r="D24" s="158">
        <f>SUM(D21:D23)</f>
        <v>44720000</v>
      </c>
      <c r="E24" s="158">
        <f>+D24-C24</f>
        <v>28076000</v>
      </c>
      <c r="F24" s="159">
        <f>IF(C24=0,0,E24/C24)</f>
        <v>1.6868541216053834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1593211</v>
      </c>
      <c r="D27" s="157">
        <v>1422020</v>
      </c>
      <c r="E27" s="157">
        <f>+D27-C27</f>
        <v>-171191</v>
      </c>
      <c r="F27" s="161">
        <f>IF(C27=0,0,E27/C27)</f>
        <v>-0.1074503000544184</v>
      </c>
    </row>
    <row r="28" spans="1:6" ht="15" customHeight="1" x14ac:dyDescent="0.2">
      <c r="A28" s="147">
        <v>2</v>
      </c>
      <c r="B28" s="160" t="s">
        <v>167</v>
      </c>
      <c r="C28" s="157">
        <v>2868000</v>
      </c>
      <c r="D28" s="157">
        <v>3988000</v>
      </c>
      <c r="E28" s="157">
        <f>+D28-C28</f>
        <v>1120000</v>
      </c>
      <c r="F28" s="161">
        <f>IF(C28=0,0,E28/C28)</f>
        <v>0.39051603905160392</v>
      </c>
    </row>
    <row r="29" spans="1:6" ht="15" customHeight="1" x14ac:dyDescent="0.2">
      <c r="A29" s="147">
        <v>3</v>
      </c>
      <c r="B29" s="160" t="s">
        <v>168</v>
      </c>
      <c r="C29" s="157">
        <v>880439</v>
      </c>
      <c r="D29" s="157">
        <v>1862397</v>
      </c>
      <c r="E29" s="157">
        <f>+D29-C29</f>
        <v>981958</v>
      </c>
      <c r="F29" s="161">
        <f>IF(C29=0,0,E29/C29)</f>
        <v>1.1153049785391151</v>
      </c>
    </row>
    <row r="30" spans="1:6" ht="15.75" customHeight="1" x14ac:dyDescent="0.25">
      <c r="A30" s="147"/>
      <c r="B30" s="162" t="s">
        <v>169</v>
      </c>
      <c r="C30" s="158">
        <f>SUM(C27:C29)</f>
        <v>5341650</v>
      </c>
      <c r="D30" s="158">
        <f>SUM(D27:D29)</f>
        <v>7272417</v>
      </c>
      <c r="E30" s="158">
        <f>+D30-C30</f>
        <v>1930767</v>
      </c>
      <c r="F30" s="159">
        <f>IF(C30=0,0,E30/C30)</f>
        <v>0.36145516834685909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29887000</v>
      </c>
      <c r="D33" s="157">
        <v>29258000</v>
      </c>
      <c r="E33" s="157">
        <f>+D33-C33</f>
        <v>-629000</v>
      </c>
      <c r="F33" s="161">
        <f>IF(C33=0,0,E33/C33)</f>
        <v>-2.1045939706226788E-2</v>
      </c>
    </row>
    <row r="34" spans="1:6" ht="15" customHeight="1" x14ac:dyDescent="0.2">
      <c r="A34" s="147">
        <v>2</v>
      </c>
      <c r="B34" s="160" t="s">
        <v>173</v>
      </c>
      <c r="C34" s="157">
        <v>13999000</v>
      </c>
      <c r="D34" s="157">
        <v>13715000</v>
      </c>
      <c r="E34" s="157">
        <f>+D34-C34</f>
        <v>-284000</v>
      </c>
      <c r="F34" s="161">
        <f>IF(C34=0,0,E34/C34)</f>
        <v>-2.0287163368812058E-2</v>
      </c>
    </row>
    <row r="35" spans="1:6" ht="15.75" customHeight="1" x14ac:dyDescent="0.25">
      <c r="A35" s="147"/>
      <c r="B35" s="162" t="s">
        <v>174</v>
      </c>
      <c r="C35" s="158">
        <f>SUM(C33:C34)</f>
        <v>43886000</v>
      </c>
      <c r="D35" s="158">
        <f>SUM(D33:D34)</f>
        <v>42973000</v>
      </c>
      <c r="E35" s="158">
        <f>+D35-C35</f>
        <v>-913000</v>
      </c>
      <c r="F35" s="159">
        <f>IF(C35=0,0,E35/C35)</f>
        <v>-2.0803901016269426E-2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10292953</v>
      </c>
      <c r="D38" s="157">
        <v>10365973</v>
      </c>
      <c r="E38" s="157">
        <f>+D38-C38</f>
        <v>73020</v>
      </c>
      <c r="F38" s="161">
        <f>IF(C38=0,0,E38/C38)</f>
        <v>7.0941740431536022E-3</v>
      </c>
    </row>
    <row r="39" spans="1:6" ht="15" customHeight="1" x14ac:dyDescent="0.2">
      <c r="A39" s="147">
        <v>2</v>
      </c>
      <c r="B39" s="160" t="s">
        <v>178</v>
      </c>
      <c r="C39" s="157">
        <v>11064673</v>
      </c>
      <c r="D39" s="157">
        <v>10490295</v>
      </c>
      <c r="E39" s="157">
        <f>+D39-C39</f>
        <v>-574378</v>
      </c>
      <c r="F39" s="161">
        <f>IF(C39=0,0,E39/C39)</f>
        <v>-5.191097830003652E-2</v>
      </c>
    </row>
    <row r="40" spans="1:6" ht="15" customHeight="1" x14ac:dyDescent="0.2">
      <c r="A40" s="147">
        <v>3</v>
      </c>
      <c r="B40" s="160" t="s">
        <v>179</v>
      </c>
      <c r="C40" s="157">
        <v>1438374</v>
      </c>
      <c r="D40" s="157">
        <v>3785732</v>
      </c>
      <c r="E40" s="157">
        <f>+D40-C40</f>
        <v>2347358</v>
      </c>
      <c r="F40" s="161">
        <f>IF(C40=0,0,E40/C40)</f>
        <v>1.6319524685512947</v>
      </c>
    </row>
    <row r="41" spans="1:6" ht="15.75" customHeight="1" x14ac:dyDescent="0.25">
      <c r="A41" s="147"/>
      <c r="B41" s="162" t="s">
        <v>180</v>
      </c>
      <c r="C41" s="158">
        <f>SUM(C38:C40)</f>
        <v>22796000</v>
      </c>
      <c r="D41" s="158">
        <f>SUM(D38:D40)</f>
        <v>24642000</v>
      </c>
      <c r="E41" s="158">
        <f>+D41-C41</f>
        <v>1846000</v>
      </c>
      <c r="F41" s="159">
        <f>IF(C41=0,0,E41/C41)</f>
        <v>8.0979119143709422E-2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27411000</v>
      </c>
      <c r="D44" s="157">
        <v>0</v>
      </c>
      <c r="E44" s="157">
        <f>+D44-C44</f>
        <v>-27411000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2149000</v>
      </c>
      <c r="D47" s="157">
        <v>1954000</v>
      </c>
      <c r="E47" s="157">
        <f>+D47-C47</f>
        <v>-195000</v>
      </c>
      <c r="F47" s="161">
        <f>IF(C47=0,0,E47/C47)</f>
        <v>-9.0739879013494645E-2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3407000</v>
      </c>
      <c r="D50" s="157">
        <v>3184000</v>
      </c>
      <c r="E50" s="157">
        <f>+D50-C50</f>
        <v>-223000</v>
      </c>
      <c r="F50" s="161">
        <f>IF(C50=0,0,E50/C50)</f>
        <v>-6.5453478133255069E-2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442431</v>
      </c>
      <c r="D53" s="157">
        <v>424199</v>
      </c>
      <c r="E53" s="157">
        <f t="shared" ref="E53:E59" si="0">+D53-C53</f>
        <v>-18232</v>
      </c>
      <c r="F53" s="161">
        <f t="shared" ref="F53:F59" si="1">IF(C53=0,0,E53/C53)</f>
        <v>-4.1208685648157564E-2</v>
      </c>
    </row>
    <row r="54" spans="1:6" ht="15" customHeight="1" x14ac:dyDescent="0.2">
      <c r="A54" s="147">
        <v>2</v>
      </c>
      <c r="B54" s="160" t="s">
        <v>189</v>
      </c>
      <c r="C54" s="157">
        <v>1281466</v>
      </c>
      <c r="D54" s="157">
        <v>1414509</v>
      </c>
      <c r="E54" s="157">
        <f t="shared" si="0"/>
        <v>133043</v>
      </c>
      <c r="F54" s="161">
        <f t="shared" si="1"/>
        <v>0.10382093633385513</v>
      </c>
    </row>
    <row r="55" spans="1:6" ht="15" customHeight="1" x14ac:dyDescent="0.2">
      <c r="A55" s="147">
        <v>3</v>
      </c>
      <c r="B55" s="160" t="s">
        <v>190</v>
      </c>
      <c r="C55" s="157">
        <v>9666</v>
      </c>
      <c r="D55" s="157">
        <v>49974</v>
      </c>
      <c r="E55" s="157">
        <f t="shared" si="0"/>
        <v>40308</v>
      </c>
      <c r="F55" s="161">
        <f t="shared" si="1"/>
        <v>4.17008069522036</v>
      </c>
    </row>
    <row r="56" spans="1:6" ht="15" customHeight="1" x14ac:dyDescent="0.2">
      <c r="A56" s="147">
        <v>4</v>
      </c>
      <c r="B56" s="160" t="s">
        <v>191</v>
      </c>
      <c r="C56" s="157">
        <v>3425538</v>
      </c>
      <c r="D56" s="157">
        <v>3775182</v>
      </c>
      <c r="E56" s="157">
        <f t="shared" si="0"/>
        <v>349644</v>
      </c>
      <c r="F56" s="161">
        <f t="shared" si="1"/>
        <v>0.1020698062610895</v>
      </c>
    </row>
    <row r="57" spans="1:6" ht="15" customHeight="1" x14ac:dyDescent="0.2">
      <c r="A57" s="147">
        <v>5</v>
      </c>
      <c r="B57" s="160" t="s">
        <v>192</v>
      </c>
      <c r="C57" s="157">
        <v>591032</v>
      </c>
      <c r="D57" s="157">
        <v>751046</v>
      </c>
      <c r="E57" s="157">
        <f t="shared" si="0"/>
        <v>160014</v>
      </c>
      <c r="F57" s="161">
        <f t="shared" si="1"/>
        <v>0.27073660986207176</v>
      </c>
    </row>
    <row r="58" spans="1:6" ht="15" customHeight="1" x14ac:dyDescent="0.2">
      <c r="A58" s="147">
        <v>6</v>
      </c>
      <c r="B58" s="160" t="s">
        <v>193</v>
      </c>
      <c r="C58" s="157">
        <v>53381</v>
      </c>
      <c r="D58" s="157">
        <v>68500</v>
      </c>
      <c r="E58" s="157">
        <f t="shared" si="0"/>
        <v>15119</v>
      </c>
      <c r="F58" s="161">
        <f t="shared" si="1"/>
        <v>0.28322811487233285</v>
      </c>
    </row>
    <row r="59" spans="1:6" ht="15.75" customHeight="1" x14ac:dyDescent="0.25">
      <c r="A59" s="147"/>
      <c r="B59" s="162" t="s">
        <v>194</v>
      </c>
      <c r="C59" s="158">
        <f>SUM(C53:C58)</f>
        <v>5803514</v>
      </c>
      <c r="D59" s="158">
        <f>SUM(D53:D58)</f>
        <v>6483410</v>
      </c>
      <c r="E59" s="158">
        <f t="shared" si="0"/>
        <v>679896</v>
      </c>
      <c r="F59" s="159">
        <f t="shared" si="1"/>
        <v>0.11715247003798043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460388</v>
      </c>
      <c r="D62" s="157">
        <v>527000</v>
      </c>
      <c r="E62" s="157">
        <f t="shared" ref="E62:E90" si="2">+D62-C62</f>
        <v>66612</v>
      </c>
      <c r="F62" s="161">
        <f t="shared" ref="F62:F90" si="3">IF(C62=0,0,E62/C62)</f>
        <v>0.14468665560353441</v>
      </c>
    </row>
    <row r="63" spans="1:6" ht="15" customHeight="1" x14ac:dyDescent="0.2">
      <c r="A63" s="147">
        <v>2</v>
      </c>
      <c r="B63" s="160" t="s">
        <v>198</v>
      </c>
      <c r="C63" s="157">
        <v>1378129</v>
      </c>
      <c r="D63" s="157">
        <v>1229654</v>
      </c>
      <c r="E63" s="157">
        <f t="shared" si="2"/>
        <v>-148475</v>
      </c>
      <c r="F63" s="161">
        <f t="shared" si="3"/>
        <v>-0.10773664874623493</v>
      </c>
    </row>
    <row r="64" spans="1:6" ht="15" customHeight="1" x14ac:dyDescent="0.2">
      <c r="A64" s="147">
        <v>3</v>
      </c>
      <c r="B64" s="160" t="s">
        <v>199</v>
      </c>
      <c r="C64" s="157">
        <v>2420244</v>
      </c>
      <c r="D64" s="157">
        <v>3622080</v>
      </c>
      <c r="E64" s="157">
        <f t="shared" si="2"/>
        <v>1201836</v>
      </c>
      <c r="F64" s="161">
        <f t="shared" si="3"/>
        <v>0.49657637824946577</v>
      </c>
    </row>
    <row r="65" spans="1:6" ht="15" customHeight="1" x14ac:dyDescent="0.2">
      <c r="A65" s="147">
        <v>4</v>
      </c>
      <c r="B65" s="160" t="s">
        <v>200</v>
      </c>
      <c r="C65" s="157">
        <v>997670</v>
      </c>
      <c r="D65" s="157">
        <v>887128</v>
      </c>
      <c r="E65" s="157">
        <f t="shared" si="2"/>
        <v>-110542</v>
      </c>
      <c r="F65" s="161">
        <f t="shared" si="3"/>
        <v>-0.11080016438301242</v>
      </c>
    </row>
    <row r="66" spans="1:6" ht="15" customHeight="1" x14ac:dyDescent="0.2">
      <c r="A66" s="147">
        <v>5</v>
      </c>
      <c r="B66" s="160" t="s">
        <v>201</v>
      </c>
      <c r="C66" s="157">
        <v>1063171</v>
      </c>
      <c r="D66" s="157">
        <v>1270572</v>
      </c>
      <c r="E66" s="157">
        <f t="shared" si="2"/>
        <v>207401</v>
      </c>
      <c r="F66" s="161">
        <f t="shared" si="3"/>
        <v>0.19507774384365262</v>
      </c>
    </row>
    <row r="67" spans="1:6" ht="15" customHeight="1" x14ac:dyDescent="0.2">
      <c r="A67" s="147">
        <v>6</v>
      </c>
      <c r="B67" s="160" t="s">
        <v>202</v>
      </c>
      <c r="C67" s="157">
        <v>2322431</v>
      </c>
      <c r="D67" s="157">
        <v>2643549</v>
      </c>
      <c r="E67" s="157">
        <f t="shared" si="2"/>
        <v>321118</v>
      </c>
      <c r="F67" s="161">
        <f t="shared" si="3"/>
        <v>0.1382680475760098</v>
      </c>
    </row>
    <row r="68" spans="1:6" ht="15" customHeight="1" x14ac:dyDescent="0.2">
      <c r="A68" s="147">
        <v>7</v>
      </c>
      <c r="B68" s="160" t="s">
        <v>203</v>
      </c>
      <c r="C68" s="157">
        <v>2323404</v>
      </c>
      <c r="D68" s="157">
        <v>2640158</v>
      </c>
      <c r="E68" s="157">
        <f t="shared" si="2"/>
        <v>316754</v>
      </c>
      <c r="F68" s="161">
        <f t="shared" si="3"/>
        <v>0.13633186479837342</v>
      </c>
    </row>
    <row r="69" spans="1:6" ht="15" customHeight="1" x14ac:dyDescent="0.2">
      <c r="A69" s="147">
        <v>8</v>
      </c>
      <c r="B69" s="160" t="s">
        <v>204</v>
      </c>
      <c r="C69" s="157">
        <v>512560</v>
      </c>
      <c r="D69" s="157">
        <v>542031</v>
      </c>
      <c r="E69" s="157">
        <f t="shared" si="2"/>
        <v>29471</v>
      </c>
      <c r="F69" s="161">
        <f t="shared" si="3"/>
        <v>5.7497658810675825E-2</v>
      </c>
    </row>
    <row r="70" spans="1:6" ht="15" customHeight="1" x14ac:dyDescent="0.2">
      <c r="A70" s="147">
        <v>9</v>
      </c>
      <c r="B70" s="160" t="s">
        <v>205</v>
      </c>
      <c r="C70" s="157">
        <v>220485</v>
      </c>
      <c r="D70" s="157">
        <v>257428</v>
      </c>
      <c r="E70" s="157">
        <f t="shared" si="2"/>
        <v>36943</v>
      </c>
      <c r="F70" s="161">
        <f t="shared" si="3"/>
        <v>0.16755334830033788</v>
      </c>
    </row>
    <row r="71" spans="1:6" ht="15" customHeight="1" x14ac:dyDescent="0.2">
      <c r="A71" s="147">
        <v>10</v>
      </c>
      <c r="B71" s="160" t="s">
        <v>206</v>
      </c>
      <c r="C71" s="157">
        <v>565276</v>
      </c>
      <c r="D71" s="157">
        <v>846732</v>
      </c>
      <c r="E71" s="157">
        <f t="shared" si="2"/>
        <v>281456</v>
      </c>
      <c r="F71" s="161">
        <f t="shared" si="3"/>
        <v>0.49790898605283085</v>
      </c>
    </row>
    <row r="72" spans="1:6" ht="15" customHeight="1" x14ac:dyDescent="0.2">
      <c r="A72" s="147">
        <v>11</v>
      </c>
      <c r="B72" s="160" t="s">
        <v>207</v>
      </c>
      <c r="C72" s="157">
        <v>78090</v>
      </c>
      <c r="D72" s="157">
        <v>86549</v>
      </c>
      <c r="E72" s="157">
        <f t="shared" si="2"/>
        <v>8459</v>
      </c>
      <c r="F72" s="161">
        <f t="shared" si="3"/>
        <v>0.10832372903060571</v>
      </c>
    </row>
    <row r="73" spans="1:6" ht="15" customHeight="1" x14ac:dyDescent="0.2">
      <c r="A73" s="147">
        <v>12</v>
      </c>
      <c r="B73" s="160" t="s">
        <v>208</v>
      </c>
      <c r="C73" s="157">
        <v>5960841</v>
      </c>
      <c r="D73" s="157">
        <v>6198390</v>
      </c>
      <c r="E73" s="157">
        <f t="shared" si="2"/>
        <v>237549</v>
      </c>
      <c r="F73" s="161">
        <f t="shared" si="3"/>
        <v>3.985159141134615E-2</v>
      </c>
    </row>
    <row r="74" spans="1:6" ht="15" customHeight="1" x14ac:dyDescent="0.2">
      <c r="A74" s="147">
        <v>13</v>
      </c>
      <c r="B74" s="160" t="s">
        <v>209</v>
      </c>
      <c r="C74" s="157">
        <v>237408</v>
      </c>
      <c r="D74" s="157">
        <v>265181</v>
      </c>
      <c r="E74" s="157">
        <f t="shared" si="2"/>
        <v>27773</v>
      </c>
      <c r="F74" s="161">
        <f t="shared" si="3"/>
        <v>0.11698426337781372</v>
      </c>
    </row>
    <row r="75" spans="1:6" ht="15" customHeight="1" x14ac:dyDescent="0.2">
      <c r="A75" s="147">
        <v>14</v>
      </c>
      <c r="B75" s="160" t="s">
        <v>210</v>
      </c>
      <c r="C75" s="157">
        <v>233664</v>
      </c>
      <c r="D75" s="157">
        <v>237358</v>
      </c>
      <c r="E75" s="157">
        <f t="shared" si="2"/>
        <v>3694</v>
      </c>
      <c r="F75" s="161">
        <f t="shared" si="3"/>
        <v>1.5809024924678169E-2</v>
      </c>
    </row>
    <row r="76" spans="1:6" ht="15" customHeight="1" x14ac:dyDescent="0.2">
      <c r="A76" s="147">
        <v>15</v>
      </c>
      <c r="B76" s="160" t="s">
        <v>211</v>
      </c>
      <c r="C76" s="157">
        <v>2742386</v>
      </c>
      <c r="D76" s="157">
        <v>2273972</v>
      </c>
      <c r="E76" s="157">
        <f t="shared" si="2"/>
        <v>-468414</v>
      </c>
      <c r="F76" s="161">
        <f t="shared" si="3"/>
        <v>-0.17080527686474478</v>
      </c>
    </row>
    <row r="77" spans="1:6" ht="15" customHeight="1" x14ac:dyDescent="0.2">
      <c r="A77" s="147">
        <v>16</v>
      </c>
      <c r="B77" s="160" t="s">
        <v>212</v>
      </c>
      <c r="C77" s="157">
        <v>2669887</v>
      </c>
      <c r="D77" s="157">
        <v>2534761</v>
      </c>
      <c r="E77" s="157">
        <f t="shared" si="2"/>
        <v>-135126</v>
      </c>
      <c r="F77" s="161">
        <f t="shared" si="3"/>
        <v>-5.0611130733248258E-2</v>
      </c>
    </row>
    <row r="78" spans="1:6" ht="15" customHeight="1" x14ac:dyDescent="0.2">
      <c r="A78" s="147">
        <v>17</v>
      </c>
      <c r="B78" s="160" t="s">
        <v>213</v>
      </c>
      <c r="C78" s="157">
        <v>241533</v>
      </c>
      <c r="D78" s="157">
        <v>438919</v>
      </c>
      <c r="E78" s="157">
        <f t="shared" si="2"/>
        <v>197386</v>
      </c>
      <c r="F78" s="161">
        <f t="shared" si="3"/>
        <v>0.81722166329238655</v>
      </c>
    </row>
    <row r="79" spans="1:6" ht="15" customHeight="1" x14ac:dyDescent="0.2">
      <c r="A79" s="147">
        <v>18</v>
      </c>
      <c r="B79" s="160" t="s">
        <v>214</v>
      </c>
      <c r="C79" s="157">
        <v>986595</v>
      </c>
      <c r="D79" s="157">
        <v>770559</v>
      </c>
      <c r="E79" s="157">
        <f t="shared" si="2"/>
        <v>-216036</v>
      </c>
      <c r="F79" s="161">
        <f t="shared" si="3"/>
        <v>-0.21897131041612819</v>
      </c>
    </row>
    <row r="80" spans="1:6" ht="15" customHeight="1" x14ac:dyDescent="0.2">
      <c r="A80" s="147">
        <v>19</v>
      </c>
      <c r="B80" s="160" t="s">
        <v>215</v>
      </c>
      <c r="C80" s="157">
        <v>3716964</v>
      </c>
      <c r="D80" s="157">
        <v>4369116</v>
      </c>
      <c r="E80" s="157">
        <f t="shared" si="2"/>
        <v>652152</v>
      </c>
      <c r="F80" s="161">
        <f t="shared" si="3"/>
        <v>0.1754528696000284</v>
      </c>
    </row>
    <row r="81" spans="1:6" ht="15" customHeight="1" x14ac:dyDescent="0.2">
      <c r="A81" s="147">
        <v>20</v>
      </c>
      <c r="B81" s="160" t="s">
        <v>216</v>
      </c>
      <c r="C81" s="157">
        <v>5202427</v>
      </c>
      <c r="D81" s="157">
        <v>6713486</v>
      </c>
      <c r="E81" s="157">
        <f t="shared" si="2"/>
        <v>1511059</v>
      </c>
      <c r="F81" s="161">
        <f t="shared" si="3"/>
        <v>0.29045270601586531</v>
      </c>
    </row>
    <row r="82" spans="1:6" ht="15" customHeight="1" x14ac:dyDescent="0.2">
      <c r="A82" s="147">
        <v>21</v>
      </c>
      <c r="B82" s="160" t="s">
        <v>217</v>
      </c>
      <c r="C82" s="157">
        <v>3377323</v>
      </c>
      <c r="D82" s="157">
        <v>3471040</v>
      </c>
      <c r="E82" s="157">
        <f t="shared" si="2"/>
        <v>93717</v>
      </c>
      <c r="F82" s="161">
        <f t="shared" si="3"/>
        <v>2.7748900534535784E-2</v>
      </c>
    </row>
    <row r="83" spans="1:6" ht="15" customHeight="1" x14ac:dyDescent="0.2">
      <c r="A83" s="147">
        <v>22</v>
      </c>
      <c r="B83" s="160" t="s">
        <v>218</v>
      </c>
      <c r="C83" s="157">
        <v>1403028</v>
      </c>
      <c r="D83" s="157">
        <v>572403</v>
      </c>
      <c r="E83" s="157">
        <f t="shared" si="2"/>
        <v>-830625</v>
      </c>
      <c r="F83" s="161">
        <f t="shared" si="3"/>
        <v>-0.59202311001633612</v>
      </c>
    </row>
    <row r="84" spans="1:6" ht="15" customHeight="1" x14ac:dyDescent="0.2">
      <c r="A84" s="147">
        <v>23</v>
      </c>
      <c r="B84" s="160" t="s">
        <v>219</v>
      </c>
      <c r="C84" s="157">
        <v>1115781</v>
      </c>
      <c r="D84" s="157">
        <v>791143</v>
      </c>
      <c r="E84" s="157">
        <f t="shared" si="2"/>
        <v>-324638</v>
      </c>
      <c r="F84" s="161">
        <f t="shared" si="3"/>
        <v>-0.29095136052684173</v>
      </c>
    </row>
    <row r="85" spans="1:6" ht="15" customHeight="1" x14ac:dyDescent="0.2">
      <c r="A85" s="147">
        <v>24</v>
      </c>
      <c r="B85" s="160" t="s">
        <v>220</v>
      </c>
      <c r="C85" s="157">
        <v>1185754</v>
      </c>
      <c r="D85" s="157">
        <v>90075</v>
      </c>
      <c r="E85" s="157">
        <f t="shared" si="2"/>
        <v>-1095679</v>
      </c>
      <c r="F85" s="161">
        <f t="shared" si="3"/>
        <v>-0.92403567687732868</v>
      </c>
    </row>
    <row r="86" spans="1:6" ht="15" customHeight="1" x14ac:dyDescent="0.2">
      <c r="A86" s="147">
        <v>25</v>
      </c>
      <c r="B86" s="160" t="s">
        <v>221</v>
      </c>
      <c r="C86" s="157">
        <v>18381</v>
      </c>
      <c r="D86" s="157">
        <v>0</v>
      </c>
      <c r="E86" s="157">
        <f t="shared" si="2"/>
        <v>-18381</v>
      </c>
      <c r="F86" s="161">
        <f t="shared" si="3"/>
        <v>-1</v>
      </c>
    </row>
    <row r="87" spans="1:6" ht="15" customHeight="1" x14ac:dyDescent="0.2">
      <c r="A87" s="147">
        <v>26</v>
      </c>
      <c r="B87" s="160" t="s">
        <v>222</v>
      </c>
      <c r="C87" s="157">
        <v>8492734</v>
      </c>
      <c r="D87" s="157">
        <v>9751639</v>
      </c>
      <c r="E87" s="157">
        <f t="shared" si="2"/>
        <v>1258905</v>
      </c>
      <c r="F87" s="161">
        <f t="shared" si="3"/>
        <v>0.14823318380158851</v>
      </c>
    </row>
    <row r="88" spans="1:6" ht="15" customHeight="1" x14ac:dyDescent="0.2">
      <c r="A88" s="147">
        <v>27</v>
      </c>
      <c r="B88" s="160" t="s">
        <v>223</v>
      </c>
      <c r="C88" s="157">
        <v>42784398</v>
      </c>
      <c r="D88" s="157">
        <v>44296363</v>
      </c>
      <c r="E88" s="157">
        <f t="shared" si="2"/>
        <v>1511965</v>
      </c>
      <c r="F88" s="161">
        <f t="shared" si="3"/>
        <v>3.5339167329174526E-2</v>
      </c>
    </row>
    <row r="89" spans="1:6" ht="15" customHeight="1" x14ac:dyDescent="0.2">
      <c r="A89" s="147">
        <v>28</v>
      </c>
      <c r="B89" s="160" t="s">
        <v>224</v>
      </c>
      <c r="C89" s="157">
        <v>945884</v>
      </c>
      <c r="D89" s="157">
        <v>9602887</v>
      </c>
      <c r="E89" s="157">
        <f t="shared" si="2"/>
        <v>8657003</v>
      </c>
      <c r="F89" s="161">
        <f t="shared" si="3"/>
        <v>9.1522882298463664</v>
      </c>
    </row>
    <row r="90" spans="1:6" ht="15.75" customHeight="1" x14ac:dyDescent="0.25">
      <c r="A90" s="147"/>
      <c r="B90" s="162" t="s">
        <v>225</v>
      </c>
      <c r="C90" s="158">
        <f>SUM(C62:C89)</f>
        <v>93656836</v>
      </c>
      <c r="D90" s="158">
        <f>SUM(D62:D89)</f>
        <v>106930173</v>
      </c>
      <c r="E90" s="158">
        <f t="shared" si="2"/>
        <v>13273337</v>
      </c>
      <c r="F90" s="159">
        <f t="shared" si="3"/>
        <v>0.14172309856805326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373601000</v>
      </c>
      <c r="D95" s="158">
        <f>+D93+D90+D59+D50+D47+D44+D41+D35+D30+D24+D18</f>
        <v>394491000</v>
      </c>
      <c r="E95" s="158">
        <f>+D95-C95</f>
        <v>20890000</v>
      </c>
      <c r="F95" s="159">
        <f>IF(C95=0,0,E95/C95)</f>
        <v>5.5915267892751891E-2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57118652</v>
      </c>
      <c r="D103" s="157">
        <v>52668682</v>
      </c>
      <c r="E103" s="157">
        <f t="shared" ref="E103:E121" si="4">D103-C103</f>
        <v>-4449970</v>
      </c>
      <c r="F103" s="161">
        <f t="shared" ref="F103:F121" si="5">IF(C103=0,0,E103/C103)</f>
        <v>-7.7907475827685854E-2</v>
      </c>
    </row>
    <row r="104" spans="1:6" ht="15" customHeight="1" x14ac:dyDescent="0.2">
      <c r="A104" s="147">
        <v>2</v>
      </c>
      <c r="B104" s="169" t="s">
        <v>234</v>
      </c>
      <c r="C104" s="157">
        <v>2287629</v>
      </c>
      <c r="D104" s="157">
        <v>2483726</v>
      </c>
      <c r="E104" s="157">
        <f t="shared" si="4"/>
        <v>196097</v>
      </c>
      <c r="F104" s="161">
        <f t="shared" si="5"/>
        <v>8.5720630399422279E-2</v>
      </c>
    </row>
    <row r="105" spans="1:6" ht="15" customHeight="1" x14ac:dyDescent="0.2">
      <c r="A105" s="147">
        <v>3</v>
      </c>
      <c r="B105" s="169" t="s">
        <v>235</v>
      </c>
      <c r="C105" s="157">
        <v>4877772</v>
      </c>
      <c r="D105" s="157">
        <v>4775668</v>
      </c>
      <c r="E105" s="157">
        <f t="shared" si="4"/>
        <v>-102104</v>
      </c>
      <c r="F105" s="161">
        <f t="shared" si="5"/>
        <v>-2.0932507710487495E-2</v>
      </c>
    </row>
    <row r="106" spans="1:6" ht="15" customHeight="1" x14ac:dyDescent="0.2">
      <c r="A106" s="147">
        <v>4</v>
      </c>
      <c r="B106" s="169" t="s">
        <v>236</v>
      </c>
      <c r="C106" s="157">
        <v>2418865</v>
      </c>
      <c r="D106" s="157">
        <v>2494991</v>
      </c>
      <c r="E106" s="157">
        <f t="shared" si="4"/>
        <v>76126</v>
      </c>
      <c r="F106" s="161">
        <f t="shared" si="5"/>
        <v>3.1471785320801283E-2</v>
      </c>
    </row>
    <row r="107" spans="1:6" ht="15" customHeight="1" x14ac:dyDescent="0.2">
      <c r="A107" s="147">
        <v>5</v>
      </c>
      <c r="B107" s="169" t="s">
        <v>237</v>
      </c>
      <c r="C107" s="157">
        <v>16380015</v>
      </c>
      <c r="D107" s="157">
        <v>24410483</v>
      </c>
      <c r="E107" s="157">
        <f t="shared" si="4"/>
        <v>8030468</v>
      </c>
      <c r="F107" s="161">
        <f t="shared" si="5"/>
        <v>0.4902601127044145</v>
      </c>
    </row>
    <row r="108" spans="1:6" ht="15" customHeight="1" x14ac:dyDescent="0.2">
      <c r="A108" s="147">
        <v>6</v>
      </c>
      <c r="B108" s="169" t="s">
        <v>238</v>
      </c>
      <c r="C108" s="157">
        <v>1934728</v>
      </c>
      <c r="D108" s="157">
        <v>1532851</v>
      </c>
      <c r="E108" s="157">
        <f t="shared" si="4"/>
        <v>-401877</v>
      </c>
      <c r="F108" s="161">
        <f t="shared" si="5"/>
        <v>-0.20771757063525209</v>
      </c>
    </row>
    <row r="109" spans="1:6" ht="15" customHeight="1" x14ac:dyDescent="0.2">
      <c r="A109" s="147">
        <v>7</v>
      </c>
      <c r="B109" s="169" t="s">
        <v>239</v>
      </c>
      <c r="C109" s="157">
        <v>44303581</v>
      </c>
      <c r="D109" s="157">
        <v>49984491</v>
      </c>
      <c r="E109" s="157">
        <f t="shared" si="4"/>
        <v>5680910</v>
      </c>
      <c r="F109" s="161">
        <f t="shared" si="5"/>
        <v>0.12822688080225389</v>
      </c>
    </row>
    <row r="110" spans="1:6" ht="15" customHeight="1" x14ac:dyDescent="0.2">
      <c r="A110" s="147">
        <v>8</v>
      </c>
      <c r="B110" s="169" t="s">
        <v>240</v>
      </c>
      <c r="C110" s="157">
        <v>3728917</v>
      </c>
      <c r="D110" s="157">
        <v>3572930</v>
      </c>
      <c r="E110" s="157">
        <f t="shared" si="4"/>
        <v>-155987</v>
      </c>
      <c r="F110" s="161">
        <f t="shared" si="5"/>
        <v>-4.1831716822873774E-2</v>
      </c>
    </row>
    <row r="111" spans="1:6" ht="15" customHeight="1" x14ac:dyDescent="0.2">
      <c r="A111" s="147">
        <v>9</v>
      </c>
      <c r="B111" s="169" t="s">
        <v>241</v>
      </c>
      <c r="C111" s="157">
        <v>810522</v>
      </c>
      <c r="D111" s="157">
        <v>915161</v>
      </c>
      <c r="E111" s="157">
        <f t="shared" si="4"/>
        <v>104639</v>
      </c>
      <c r="F111" s="161">
        <f t="shared" si="5"/>
        <v>0.1291007523546554</v>
      </c>
    </row>
    <row r="112" spans="1:6" ht="15" customHeight="1" x14ac:dyDescent="0.2">
      <c r="A112" s="147">
        <v>10</v>
      </c>
      <c r="B112" s="169" t="s">
        <v>242</v>
      </c>
      <c r="C112" s="157">
        <v>6003281</v>
      </c>
      <c r="D112" s="157">
        <v>6499169</v>
      </c>
      <c r="E112" s="157">
        <f t="shared" si="4"/>
        <v>495888</v>
      </c>
      <c r="F112" s="161">
        <f t="shared" si="5"/>
        <v>8.2602830019117876E-2</v>
      </c>
    </row>
    <row r="113" spans="1:6" ht="15" customHeight="1" x14ac:dyDescent="0.2">
      <c r="A113" s="147">
        <v>11</v>
      </c>
      <c r="B113" s="169" t="s">
        <v>243</v>
      </c>
      <c r="C113" s="157">
        <v>4216323</v>
      </c>
      <c r="D113" s="157">
        <v>4221589</v>
      </c>
      <c r="E113" s="157">
        <f t="shared" si="4"/>
        <v>5266</v>
      </c>
      <c r="F113" s="161">
        <f t="shared" si="5"/>
        <v>1.2489555472861068E-3</v>
      </c>
    </row>
    <row r="114" spans="1:6" ht="15" customHeight="1" x14ac:dyDescent="0.2">
      <c r="A114" s="147">
        <v>12</v>
      </c>
      <c r="B114" s="169" t="s">
        <v>244</v>
      </c>
      <c r="C114" s="157">
        <v>1033595</v>
      </c>
      <c r="D114" s="157">
        <v>1061110</v>
      </c>
      <c r="E114" s="157">
        <f t="shared" si="4"/>
        <v>27515</v>
      </c>
      <c r="F114" s="161">
        <f t="shared" si="5"/>
        <v>2.6620678312104837E-2</v>
      </c>
    </row>
    <row r="115" spans="1:6" ht="15" customHeight="1" x14ac:dyDescent="0.2">
      <c r="A115" s="147">
        <v>13</v>
      </c>
      <c r="B115" s="169" t="s">
        <v>245</v>
      </c>
      <c r="C115" s="157">
        <v>6757114</v>
      </c>
      <c r="D115" s="157">
        <v>7020778</v>
      </c>
      <c r="E115" s="157">
        <f t="shared" si="4"/>
        <v>263664</v>
      </c>
      <c r="F115" s="161">
        <f t="shared" si="5"/>
        <v>3.9020208923513794E-2</v>
      </c>
    </row>
    <row r="116" spans="1:6" ht="15" customHeight="1" x14ac:dyDescent="0.2">
      <c r="A116" s="147">
        <v>14</v>
      </c>
      <c r="B116" s="169" t="s">
        <v>246</v>
      </c>
      <c r="C116" s="157">
        <v>1787229</v>
      </c>
      <c r="D116" s="157">
        <v>1969499</v>
      </c>
      <c r="E116" s="157">
        <f t="shared" si="4"/>
        <v>182270</v>
      </c>
      <c r="F116" s="161">
        <f t="shared" si="5"/>
        <v>0.10198469250443004</v>
      </c>
    </row>
    <row r="117" spans="1:6" ht="15" customHeight="1" x14ac:dyDescent="0.2">
      <c r="A117" s="147">
        <v>15</v>
      </c>
      <c r="B117" s="169" t="s">
        <v>203</v>
      </c>
      <c r="C117" s="157">
        <v>8455304</v>
      </c>
      <c r="D117" s="157">
        <v>9537286</v>
      </c>
      <c r="E117" s="157">
        <f t="shared" si="4"/>
        <v>1081982</v>
      </c>
      <c r="F117" s="161">
        <f t="shared" si="5"/>
        <v>0.12796488452691943</v>
      </c>
    </row>
    <row r="118" spans="1:6" ht="15" customHeight="1" x14ac:dyDescent="0.2">
      <c r="A118" s="147">
        <v>16</v>
      </c>
      <c r="B118" s="169" t="s">
        <v>247</v>
      </c>
      <c r="C118" s="157">
        <v>1019852</v>
      </c>
      <c r="D118" s="157">
        <v>1033457</v>
      </c>
      <c r="E118" s="157">
        <f t="shared" si="4"/>
        <v>13605</v>
      </c>
      <c r="F118" s="161">
        <f t="shared" si="5"/>
        <v>1.3340170926761923E-2</v>
      </c>
    </row>
    <row r="119" spans="1:6" ht="15" customHeight="1" x14ac:dyDescent="0.2">
      <c r="A119" s="147">
        <v>17</v>
      </c>
      <c r="B119" s="169" t="s">
        <v>248</v>
      </c>
      <c r="C119" s="157">
        <v>19141708</v>
      </c>
      <c r="D119" s="157">
        <v>20275053</v>
      </c>
      <c r="E119" s="157">
        <f t="shared" si="4"/>
        <v>1133345</v>
      </c>
      <c r="F119" s="161">
        <f t="shared" si="5"/>
        <v>5.9208143808274577E-2</v>
      </c>
    </row>
    <row r="120" spans="1:6" ht="15" customHeight="1" x14ac:dyDescent="0.2">
      <c r="A120" s="147">
        <v>18</v>
      </c>
      <c r="B120" s="169" t="s">
        <v>249</v>
      </c>
      <c r="C120" s="157">
        <v>0</v>
      </c>
      <c r="D120" s="157">
        <v>0</v>
      </c>
      <c r="E120" s="157">
        <f t="shared" si="4"/>
        <v>0</v>
      </c>
      <c r="F120" s="161">
        <f t="shared" si="5"/>
        <v>0</v>
      </c>
    </row>
    <row r="121" spans="1:6" ht="15.75" customHeight="1" x14ac:dyDescent="0.25">
      <c r="A121" s="147"/>
      <c r="B121" s="165" t="s">
        <v>250</v>
      </c>
      <c r="C121" s="158">
        <f>SUM(C103:C120)</f>
        <v>182275087</v>
      </c>
      <c r="D121" s="158">
        <f>SUM(D103:D120)</f>
        <v>194456924</v>
      </c>
      <c r="E121" s="158">
        <f t="shared" si="4"/>
        <v>12181837</v>
      </c>
      <c r="F121" s="159">
        <f t="shared" si="5"/>
        <v>6.6832155729543014E-2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29391</v>
      </c>
      <c r="D124" s="157">
        <v>419001</v>
      </c>
      <c r="E124" s="157">
        <f t="shared" ref="E124:E130" si="6">D124-C124</f>
        <v>389610</v>
      </c>
      <c r="F124" s="161">
        <f t="shared" ref="F124:F130" si="7">IF(C124=0,0,E124/C124)</f>
        <v>13.256098805756864</v>
      </c>
    </row>
    <row r="125" spans="1:6" ht="15" customHeight="1" x14ac:dyDescent="0.2">
      <c r="A125" s="147">
        <v>2</v>
      </c>
      <c r="B125" s="169" t="s">
        <v>253</v>
      </c>
      <c r="C125" s="157">
        <v>5019792</v>
      </c>
      <c r="D125" s="157">
        <v>4560477</v>
      </c>
      <c r="E125" s="157">
        <f t="shared" si="6"/>
        <v>-459315</v>
      </c>
      <c r="F125" s="161">
        <f t="shared" si="7"/>
        <v>-9.1500803220531848E-2</v>
      </c>
    </row>
    <row r="126" spans="1:6" ht="15" customHeight="1" x14ac:dyDescent="0.2">
      <c r="A126" s="147">
        <v>3</v>
      </c>
      <c r="B126" s="169" t="s">
        <v>254</v>
      </c>
      <c r="C126" s="157">
        <v>2764469</v>
      </c>
      <c r="D126" s="157">
        <v>2808416</v>
      </c>
      <c r="E126" s="157">
        <f t="shared" si="6"/>
        <v>43947</v>
      </c>
      <c r="F126" s="161">
        <f t="shared" si="7"/>
        <v>1.5897085480068684E-2</v>
      </c>
    </row>
    <row r="127" spans="1:6" ht="15" customHeight="1" x14ac:dyDescent="0.2">
      <c r="A127" s="147">
        <v>4</v>
      </c>
      <c r="B127" s="169" t="s">
        <v>255</v>
      </c>
      <c r="C127" s="157">
        <v>3309210</v>
      </c>
      <c r="D127" s="157">
        <v>3451543</v>
      </c>
      <c r="E127" s="157">
        <f t="shared" si="6"/>
        <v>142333</v>
      </c>
      <c r="F127" s="161">
        <f t="shared" si="7"/>
        <v>4.3011171850683393E-2</v>
      </c>
    </row>
    <row r="128" spans="1:6" ht="15" customHeight="1" x14ac:dyDescent="0.2">
      <c r="A128" s="147">
        <v>5</v>
      </c>
      <c r="B128" s="169" t="s">
        <v>256</v>
      </c>
      <c r="C128" s="157">
        <v>821604</v>
      </c>
      <c r="D128" s="157">
        <v>882374</v>
      </c>
      <c r="E128" s="157">
        <f t="shared" si="6"/>
        <v>60770</v>
      </c>
      <c r="F128" s="161">
        <f t="shared" si="7"/>
        <v>7.396507319828044E-2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11944466</v>
      </c>
      <c r="D130" s="158">
        <f>SUM(D124:D129)</f>
        <v>12121811</v>
      </c>
      <c r="E130" s="158">
        <f t="shared" si="6"/>
        <v>177345</v>
      </c>
      <c r="F130" s="159">
        <f t="shared" si="7"/>
        <v>1.4847461577604222E-2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21821728</v>
      </c>
      <c r="D133" s="157">
        <v>25202994</v>
      </c>
      <c r="E133" s="157">
        <f t="shared" ref="E133:E167" si="8">D133-C133</f>
        <v>3381266</v>
      </c>
      <c r="F133" s="161">
        <f t="shared" ref="F133:F167" si="9">IF(C133=0,0,E133/C133)</f>
        <v>0.15494950720676198</v>
      </c>
    </row>
    <row r="134" spans="1:6" ht="15" customHeight="1" x14ac:dyDescent="0.2">
      <c r="A134" s="147">
        <v>2</v>
      </c>
      <c r="B134" s="169" t="s">
        <v>261</v>
      </c>
      <c r="C134" s="157">
        <v>1882335</v>
      </c>
      <c r="D134" s="157">
        <v>1831704</v>
      </c>
      <c r="E134" s="157">
        <f t="shared" si="8"/>
        <v>-50631</v>
      </c>
      <c r="F134" s="161">
        <f t="shared" si="9"/>
        <v>-2.6897975121325374E-2</v>
      </c>
    </row>
    <row r="135" spans="1:6" ht="15" customHeight="1" x14ac:dyDescent="0.2">
      <c r="A135" s="147">
        <v>3</v>
      </c>
      <c r="B135" s="169" t="s">
        <v>262</v>
      </c>
      <c r="C135" s="157">
        <v>1275722</v>
      </c>
      <c r="D135" s="157">
        <v>1201723</v>
      </c>
      <c r="E135" s="157">
        <f t="shared" si="8"/>
        <v>-73999</v>
      </c>
      <c r="F135" s="161">
        <f t="shared" si="9"/>
        <v>-5.8005584288740024E-2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3877185</v>
      </c>
      <c r="D137" s="157">
        <v>3923436</v>
      </c>
      <c r="E137" s="157">
        <f t="shared" si="8"/>
        <v>46251</v>
      </c>
      <c r="F137" s="161">
        <f t="shared" si="9"/>
        <v>1.1929015509964058E-2</v>
      </c>
    </row>
    <row r="138" spans="1:6" ht="15" customHeight="1" x14ac:dyDescent="0.2">
      <c r="A138" s="147">
        <v>6</v>
      </c>
      <c r="B138" s="169" t="s">
        <v>265</v>
      </c>
      <c r="C138" s="157">
        <v>805376</v>
      </c>
      <c r="D138" s="157">
        <v>793505</v>
      </c>
      <c r="E138" s="157">
        <f t="shared" si="8"/>
        <v>-11871</v>
      </c>
      <c r="F138" s="161">
        <f t="shared" si="9"/>
        <v>-1.4739699221233311E-2</v>
      </c>
    </row>
    <row r="139" spans="1:6" ht="15" customHeight="1" x14ac:dyDescent="0.2">
      <c r="A139" s="147">
        <v>7</v>
      </c>
      <c r="B139" s="169" t="s">
        <v>266</v>
      </c>
      <c r="C139" s="157">
        <v>1694528</v>
      </c>
      <c r="D139" s="157">
        <v>1739047</v>
      </c>
      <c r="E139" s="157">
        <f t="shared" si="8"/>
        <v>44519</v>
      </c>
      <c r="F139" s="161">
        <f t="shared" si="9"/>
        <v>2.6272212675152017E-2</v>
      </c>
    </row>
    <row r="140" spans="1:6" ht="15" customHeight="1" x14ac:dyDescent="0.2">
      <c r="A140" s="147">
        <v>8</v>
      </c>
      <c r="B140" s="169" t="s">
        <v>267</v>
      </c>
      <c r="C140" s="157">
        <v>475134</v>
      </c>
      <c r="D140" s="157">
        <v>430897</v>
      </c>
      <c r="E140" s="157">
        <f t="shared" si="8"/>
        <v>-44237</v>
      </c>
      <c r="F140" s="161">
        <f t="shared" si="9"/>
        <v>-9.3104261113706871E-2</v>
      </c>
    </row>
    <row r="141" spans="1:6" ht="15" customHeight="1" x14ac:dyDescent="0.2">
      <c r="A141" s="147">
        <v>9</v>
      </c>
      <c r="B141" s="169" t="s">
        <v>268</v>
      </c>
      <c r="C141" s="157">
        <v>1403081</v>
      </c>
      <c r="D141" s="157">
        <v>1531271</v>
      </c>
      <c r="E141" s="157">
        <f t="shared" si="8"/>
        <v>128190</v>
      </c>
      <c r="F141" s="161">
        <f t="shared" si="9"/>
        <v>9.1363221367832648E-2</v>
      </c>
    </row>
    <row r="142" spans="1:6" ht="15" customHeight="1" x14ac:dyDescent="0.2">
      <c r="A142" s="147">
        <v>10</v>
      </c>
      <c r="B142" s="169" t="s">
        <v>269</v>
      </c>
      <c r="C142" s="157">
        <v>7285072</v>
      </c>
      <c r="D142" s="157">
        <v>7897215</v>
      </c>
      <c r="E142" s="157">
        <f t="shared" si="8"/>
        <v>612143</v>
      </c>
      <c r="F142" s="161">
        <f t="shared" si="9"/>
        <v>8.4027035010772716E-2</v>
      </c>
    </row>
    <row r="143" spans="1:6" ht="15" customHeight="1" x14ac:dyDescent="0.2">
      <c r="A143" s="147">
        <v>11</v>
      </c>
      <c r="B143" s="169" t="s">
        <v>270</v>
      </c>
      <c r="C143" s="157">
        <v>3835402</v>
      </c>
      <c r="D143" s="157">
        <v>3263226</v>
      </c>
      <c r="E143" s="157">
        <f t="shared" si="8"/>
        <v>-572176</v>
      </c>
      <c r="F143" s="161">
        <f t="shared" si="9"/>
        <v>-0.14918279752683031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5509447</v>
      </c>
      <c r="D145" s="157">
        <v>6006433</v>
      </c>
      <c r="E145" s="157">
        <f t="shared" si="8"/>
        <v>496986</v>
      </c>
      <c r="F145" s="161">
        <f t="shared" si="9"/>
        <v>9.0206149546406378E-2</v>
      </c>
    </row>
    <row r="146" spans="1:6" ht="15" customHeight="1" x14ac:dyDescent="0.2">
      <c r="A146" s="147">
        <v>14</v>
      </c>
      <c r="B146" s="169" t="s">
        <v>273</v>
      </c>
      <c r="C146" s="157">
        <v>58316</v>
      </c>
      <c r="D146" s="157">
        <v>42085</v>
      </c>
      <c r="E146" s="157">
        <f t="shared" si="8"/>
        <v>-16231</v>
      </c>
      <c r="F146" s="161">
        <f t="shared" si="9"/>
        <v>-0.2783284175869401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2621264</v>
      </c>
      <c r="D150" s="157">
        <v>2722786</v>
      </c>
      <c r="E150" s="157">
        <f t="shared" si="8"/>
        <v>101522</v>
      </c>
      <c r="F150" s="161">
        <f t="shared" si="9"/>
        <v>3.8730169872244841E-2</v>
      </c>
    </row>
    <row r="151" spans="1:6" ht="15" customHeight="1" x14ac:dyDescent="0.2">
      <c r="A151" s="147">
        <v>19</v>
      </c>
      <c r="B151" s="169" t="s">
        <v>278</v>
      </c>
      <c r="C151" s="157">
        <v>400229</v>
      </c>
      <c r="D151" s="157">
        <v>469098</v>
      </c>
      <c r="E151" s="157">
        <f t="shared" si="8"/>
        <v>68869</v>
      </c>
      <c r="F151" s="161">
        <f t="shared" si="9"/>
        <v>0.1720739876420749</v>
      </c>
    </row>
    <row r="152" spans="1:6" ht="15" customHeight="1" x14ac:dyDescent="0.2">
      <c r="A152" s="147">
        <v>20</v>
      </c>
      <c r="B152" s="169" t="s">
        <v>279</v>
      </c>
      <c r="C152" s="157">
        <v>272348</v>
      </c>
      <c r="D152" s="157">
        <v>206903</v>
      </c>
      <c r="E152" s="157">
        <f t="shared" si="8"/>
        <v>-65445</v>
      </c>
      <c r="F152" s="161">
        <f t="shared" si="9"/>
        <v>-0.24029917605416598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1068863</v>
      </c>
      <c r="D155" s="157">
        <v>1599825</v>
      </c>
      <c r="E155" s="157">
        <f t="shared" si="8"/>
        <v>530962</v>
      </c>
      <c r="F155" s="161">
        <f t="shared" si="9"/>
        <v>0.49675402741043523</v>
      </c>
    </row>
    <row r="156" spans="1:6" ht="15" customHeight="1" x14ac:dyDescent="0.2">
      <c r="A156" s="147">
        <v>24</v>
      </c>
      <c r="B156" s="169" t="s">
        <v>283</v>
      </c>
      <c r="C156" s="157">
        <v>19191393</v>
      </c>
      <c r="D156" s="157">
        <v>17235710</v>
      </c>
      <c r="E156" s="157">
        <f t="shared" si="8"/>
        <v>-1955683</v>
      </c>
      <c r="F156" s="161">
        <f t="shared" si="9"/>
        <v>-0.10190417131262958</v>
      </c>
    </row>
    <row r="157" spans="1:6" ht="15" customHeight="1" x14ac:dyDescent="0.2">
      <c r="A157" s="147">
        <v>25</v>
      </c>
      <c r="B157" s="169" t="s">
        <v>284</v>
      </c>
      <c r="C157" s="157">
        <v>506191</v>
      </c>
      <c r="D157" s="157">
        <v>535039</v>
      </c>
      <c r="E157" s="157">
        <f t="shared" si="8"/>
        <v>28848</v>
      </c>
      <c r="F157" s="161">
        <f t="shared" si="9"/>
        <v>5.6990345541505082E-2</v>
      </c>
    </row>
    <row r="158" spans="1:6" ht="15" customHeight="1" x14ac:dyDescent="0.2">
      <c r="A158" s="147">
        <v>26</v>
      </c>
      <c r="B158" s="169" t="s">
        <v>285</v>
      </c>
      <c r="C158" s="157">
        <v>128640</v>
      </c>
      <c r="D158" s="157">
        <v>101230</v>
      </c>
      <c r="E158" s="157">
        <f t="shared" si="8"/>
        <v>-27410</v>
      </c>
      <c r="F158" s="161">
        <f t="shared" si="9"/>
        <v>-0.21307524875621892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1181770</v>
      </c>
      <c r="D160" s="157">
        <v>1184031</v>
      </c>
      <c r="E160" s="157">
        <f t="shared" si="8"/>
        <v>2261</v>
      </c>
      <c r="F160" s="161">
        <f t="shared" si="9"/>
        <v>1.9132318471445375E-3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12727069</v>
      </c>
      <c r="D163" s="157">
        <v>13489402</v>
      </c>
      <c r="E163" s="157">
        <f t="shared" si="8"/>
        <v>762333</v>
      </c>
      <c r="F163" s="161">
        <f t="shared" si="9"/>
        <v>5.9898551661816242E-2</v>
      </c>
    </row>
    <row r="164" spans="1:6" ht="15" customHeight="1" x14ac:dyDescent="0.2">
      <c r="A164" s="147">
        <v>32</v>
      </c>
      <c r="B164" s="169" t="s">
        <v>291</v>
      </c>
      <c r="C164" s="157">
        <v>1831791</v>
      </c>
      <c r="D164" s="157">
        <v>2544660</v>
      </c>
      <c r="E164" s="157">
        <f t="shared" si="8"/>
        <v>712869</v>
      </c>
      <c r="F164" s="161">
        <f t="shared" si="9"/>
        <v>0.38916503029002764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2801443</v>
      </c>
      <c r="D166" s="157">
        <v>2814071</v>
      </c>
      <c r="E166" s="157">
        <f t="shared" si="8"/>
        <v>12628</v>
      </c>
      <c r="F166" s="161">
        <f t="shared" si="9"/>
        <v>4.5076769364930857E-3</v>
      </c>
    </row>
    <row r="167" spans="1:6" ht="15.75" customHeight="1" x14ac:dyDescent="0.25">
      <c r="A167" s="147"/>
      <c r="B167" s="165" t="s">
        <v>294</v>
      </c>
      <c r="C167" s="158">
        <f>SUM(C133:C166)</f>
        <v>92654327</v>
      </c>
      <c r="D167" s="158">
        <f>SUM(D133:D166)</f>
        <v>96766291</v>
      </c>
      <c r="E167" s="158">
        <f t="shared" si="8"/>
        <v>4111964</v>
      </c>
      <c r="F167" s="159">
        <f t="shared" si="9"/>
        <v>4.4379621903680763E-2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40627649</v>
      </c>
      <c r="D170" s="157">
        <v>39985884</v>
      </c>
      <c r="E170" s="157">
        <f t="shared" ref="E170:E183" si="10">D170-C170</f>
        <v>-641765</v>
      </c>
      <c r="F170" s="161">
        <f t="shared" ref="F170:F183" si="11">IF(C170=0,0,E170/C170)</f>
        <v>-1.5796262294182958E-2</v>
      </c>
    </row>
    <row r="171" spans="1:6" ht="15" customHeight="1" x14ac:dyDescent="0.2">
      <c r="A171" s="147">
        <v>2</v>
      </c>
      <c r="B171" s="169" t="s">
        <v>297</v>
      </c>
      <c r="C171" s="157">
        <v>9173736</v>
      </c>
      <c r="D171" s="157">
        <v>8671192</v>
      </c>
      <c r="E171" s="157">
        <f t="shared" si="10"/>
        <v>-502544</v>
      </c>
      <c r="F171" s="161">
        <f t="shared" si="11"/>
        <v>-5.4780734915415047E-2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10584292</v>
      </c>
      <c r="D173" s="157">
        <v>12928211</v>
      </c>
      <c r="E173" s="157">
        <f t="shared" si="10"/>
        <v>2343919</v>
      </c>
      <c r="F173" s="161">
        <f t="shared" si="11"/>
        <v>0.22145260164780034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4273038</v>
      </c>
      <c r="D175" s="157">
        <v>4128326</v>
      </c>
      <c r="E175" s="157">
        <f t="shared" si="10"/>
        <v>-144712</v>
      </c>
      <c r="F175" s="161">
        <f t="shared" si="11"/>
        <v>-3.3866303084596955E-2</v>
      </c>
    </row>
    <row r="176" spans="1:6" ht="15" customHeight="1" x14ac:dyDescent="0.2">
      <c r="A176" s="147">
        <v>7</v>
      </c>
      <c r="B176" s="169" t="s">
        <v>302</v>
      </c>
      <c r="C176" s="157">
        <v>1269661</v>
      </c>
      <c r="D176" s="157">
        <v>1302788</v>
      </c>
      <c r="E176" s="157">
        <f t="shared" si="10"/>
        <v>33127</v>
      </c>
      <c r="F176" s="161">
        <f t="shared" si="11"/>
        <v>2.6091216474318734E-2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2256742</v>
      </c>
      <c r="D178" s="157">
        <v>2270425</v>
      </c>
      <c r="E178" s="157">
        <f t="shared" si="10"/>
        <v>13683</v>
      </c>
      <c r="F178" s="161">
        <f t="shared" si="11"/>
        <v>6.0631653950695297E-3</v>
      </c>
    </row>
    <row r="179" spans="1:6" ht="15" customHeight="1" x14ac:dyDescent="0.2">
      <c r="A179" s="147">
        <v>10</v>
      </c>
      <c r="B179" s="169" t="s">
        <v>305</v>
      </c>
      <c r="C179" s="157">
        <v>6494009</v>
      </c>
      <c r="D179" s="157">
        <v>6122387</v>
      </c>
      <c r="E179" s="157">
        <f t="shared" si="10"/>
        <v>-371622</v>
      </c>
      <c r="F179" s="161">
        <f t="shared" si="11"/>
        <v>-5.7225359558325223E-2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11901205</v>
      </c>
      <c r="D181" s="157">
        <v>15573960</v>
      </c>
      <c r="E181" s="157">
        <f t="shared" si="10"/>
        <v>3672755</v>
      </c>
      <c r="F181" s="161">
        <f t="shared" si="11"/>
        <v>0.30860362459095531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86580332</v>
      </c>
      <c r="D183" s="158">
        <f>SUM(D170:D182)</f>
        <v>90983173</v>
      </c>
      <c r="E183" s="158">
        <f t="shared" si="10"/>
        <v>4402841</v>
      </c>
      <c r="F183" s="159">
        <f t="shared" si="11"/>
        <v>5.0852669403023312E-2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146788</v>
      </c>
      <c r="D186" s="157">
        <v>162801</v>
      </c>
      <c r="E186" s="157">
        <f>D186-C186</f>
        <v>16013</v>
      </c>
      <c r="F186" s="161">
        <f>IF(C186=0,0,E186/C186)</f>
        <v>0.10908929885276726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373601000</v>
      </c>
      <c r="D188" s="158">
        <f>+D186+D183+D167+D130+D121</f>
        <v>394491000</v>
      </c>
      <c r="E188" s="158">
        <f>D188-C188</f>
        <v>20890000</v>
      </c>
      <c r="F188" s="159">
        <f>IF(C188=0,0,E188/C188)</f>
        <v>5.5915267892751891E-2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FILING&amp;RSAINT VINCENT`S MEDICAL CENTER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389074000</v>
      </c>
      <c r="D11" s="183">
        <v>424565000</v>
      </c>
      <c r="E11" s="76">
        <v>408184000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7963000</v>
      </c>
      <c r="D12" s="185">
        <v>12922000</v>
      </c>
      <c r="E12" s="185">
        <v>16547000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397037000</v>
      </c>
      <c r="D13" s="76">
        <f>+D11+D12</f>
        <v>437487000</v>
      </c>
      <c r="E13" s="76">
        <f>+E11+E12</f>
        <v>424731000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382310000</v>
      </c>
      <c r="D14" s="185">
        <v>373601000</v>
      </c>
      <c r="E14" s="185">
        <v>394491000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14727000</v>
      </c>
      <c r="D15" s="76">
        <f>+D13-D14</f>
        <v>63886000</v>
      </c>
      <c r="E15" s="76">
        <f>+E13-E14</f>
        <v>30240000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7135000</v>
      </c>
      <c r="D16" s="185">
        <v>23224000</v>
      </c>
      <c r="E16" s="185">
        <v>23663000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21862000</v>
      </c>
      <c r="D17" s="76">
        <f>D15+D16</f>
        <v>87110000</v>
      </c>
      <c r="E17" s="76">
        <f>E15+E16</f>
        <v>53903000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3.6437457320150829E-2</v>
      </c>
      <c r="D20" s="189">
        <f>IF(+D27=0,0,+D24/+D27)</f>
        <v>0.13866827577374971</v>
      </c>
      <c r="E20" s="189">
        <f>IF(+E27=0,0,+E24/+E27)</f>
        <v>6.7440688323215744E-2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1.7653375295666202E-2</v>
      </c>
      <c r="D21" s="189">
        <f>IF(D27=0,0,+D26/D27)</f>
        <v>5.0409041676886375E-2</v>
      </c>
      <c r="E21" s="189">
        <f>IF(E27=0,0,+E26/E27)</f>
        <v>5.2772784649214755E-2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5.4090832615817028E-2</v>
      </c>
      <c r="D22" s="189">
        <f>IF(D27=0,0,+D28/D27)</f>
        <v>0.18907731745063608</v>
      </c>
      <c r="E22" s="189">
        <f>IF(E27=0,0,+E28/E27)</f>
        <v>0.1202134729724305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14727000</v>
      </c>
      <c r="D24" s="76">
        <f>+D15</f>
        <v>63886000</v>
      </c>
      <c r="E24" s="76">
        <f>+E15</f>
        <v>30240000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397037000</v>
      </c>
      <c r="D25" s="76">
        <f>+D13</f>
        <v>437487000</v>
      </c>
      <c r="E25" s="76">
        <f>+E13</f>
        <v>424731000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7135000</v>
      </c>
      <c r="D26" s="76">
        <f>+D16</f>
        <v>23224000</v>
      </c>
      <c r="E26" s="76">
        <f>+E16</f>
        <v>23663000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404172000</v>
      </c>
      <c r="D27" s="76">
        <f>+D25+D26</f>
        <v>460711000</v>
      </c>
      <c r="E27" s="76">
        <f>+E25+E26</f>
        <v>448394000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21862000</v>
      </c>
      <c r="D28" s="76">
        <f>+D17</f>
        <v>87110000</v>
      </c>
      <c r="E28" s="76">
        <f>+E17</f>
        <v>53903000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427407000</v>
      </c>
      <c r="D31" s="76">
        <v>475180000</v>
      </c>
      <c r="E31" s="76">
        <v>517788000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445927000</v>
      </c>
      <c r="D32" s="76">
        <v>495284000</v>
      </c>
      <c r="E32" s="76">
        <v>538420000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49201000</v>
      </c>
      <c r="D33" s="76">
        <f>+D32-C32</f>
        <v>49357000</v>
      </c>
      <c r="E33" s="76">
        <f>+E32-D32</f>
        <v>43136000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1.1240000000000001</v>
      </c>
      <c r="D34" s="193">
        <f>IF(C32=0,0,+D33/C32)</f>
        <v>0.11068403572782091</v>
      </c>
      <c r="E34" s="193">
        <f>IF(D32=0,0,+E33/D32)</f>
        <v>8.7093465567230119E-2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0.37779408748843835</v>
      </c>
      <c r="D38" s="195">
        <f>IF((D40+D41)=0,0,+D39/(D40+D41))</f>
        <v>0.33096422112182738</v>
      </c>
      <c r="E38" s="195">
        <f>IF((E40+E41)=0,0,+E39/(E40+E41))</f>
        <v>0.32638909914369779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382310000</v>
      </c>
      <c r="D39" s="76">
        <v>373601000</v>
      </c>
      <c r="E39" s="196">
        <v>394491000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1004233370</v>
      </c>
      <c r="D40" s="76">
        <v>1116185946</v>
      </c>
      <c r="E40" s="196">
        <v>1192685498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7720000</v>
      </c>
      <c r="D41" s="76">
        <v>12640000</v>
      </c>
      <c r="E41" s="196">
        <v>15967000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1.3679400230188901</v>
      </c>
      <c r="D43" s="197">
        <f>IF(D38=0,0,IF((D46-D47)=0,0,((+D44-D45)/(D46-D47)/D38)))</f>
        <v>1.6640377799493926</v>
      </c>
      <c r="E43" s="197">
        <f>IF(E38=0,0,IF((E46-E47)=0,0,((+E44-E45)/(E46-E47)/E38)))</f>
        <v>1.7762978516481744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155511639</v>
      </c>
      <c r="D44" s="76">
        <v>177867493</v>
      </c>
      <c r="E44" s="196">
        <v>187090654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2660291</v>
      </c>
      <c r="D45" s="76">
        <v>2457082</v>
      </c>
      <c r="E45" s="196">
        <v>3466251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340013820</v>
      </c>
      <c r="D46" s="76">
        <v>372848807</v>
      </c>
      <c r="E46" s="196">
        <v>373127096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44248629</v>
      </c>
      <c r="D47" s="76">
        <v>54347560</v>
      </c>
      <c r="E47" s="76">
        <v>56404564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0.83275294587491044</v>
      </c>
      <c r="D49" s="198">
        <f>IF(D38=0,0,IF(D51=0,0,(D50/D51)/D38))</f>
        <v>0.93527185055335471</v>
      </c>
      <c r="E49" s="198">
        <f>IF(E38=0,0,IF(E51=0,0,(E50/E51)/E38))</f>
        <v>0.85614807949022165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151557176</v>
      </c>
      <c r="D50" s="199">
        <v>162070592</v>
      </c>
      <c r="E50" s="199">
        <v>160682023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481731638</v>
      </c>
      <c r="D51" s="199">
        <v>523582724</v>
      </c>
      <c r="E51" s="199">
        <v>575019746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0.63606531755426965</v>
      </c>
      <c r="D53" s="198">
        <f>IF(D38=0,0,IF(D55=0,0,(D54/D55)/D38))</f>
        <v>0.69710327443181508</v>
      </c>
      <c r="E53" s="198">
        <f>IF(E38=0,0,IF(E55=0,0,(E54/E55)/E38))</f>
        <v>0.71654867775287867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43280559</v>
      </c>
      <c r="D54" s="199">
        <v>50085998</v>
      </c>
      <c r="E54" s="199">
        <v>56472732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180109238</v>
      </c>
      <c r="D55" s="199">
        <v>217089172</v>
      </c>
      <c r="E55" s="199">
        <v>241466815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15805393.444166306</v>
      </c>
      <c r="D57" s="88">
        <f>+D60*D38</f>
        <v>14145741.774968024</v>
      </c>
      <c r="E57" s="88">
        <f>+E60*E38</f>
        <v>13319286.35785602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9025000</v>
      </c>
      <c r="D58" s="199">
        <v>15330000</v>
      </c>
      <c r="E58" s="199">
        <v>14991000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32811000</v>
      </c>
      <c r="D59" s="199">
        <v>27411000</v>
      </c>
      <c r="E59" s="199">
        <v>25817000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41836000</v>
      </c>
      <c r="D60" s="76">
        <v>42741000</v>
      </c>
      <c r="E60" s="201">
        <v>40808000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4.1341825859031428E-2</v>
      </c>
      <c r="D62" s="202">
        <f>IF(D63=0,0,+D57/D63)</f>
        <v>3.7863233168455183E-2</v>
      </c>
      <c r="E62" s="202">
        <f>IF(E63=0,0,+E57/E63)</f>
        <v>3.3763219839884867E-2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382310000</v>
      </c>
      <c r="D63" s="199">
        <v>373601000</v>
      </c>
      <c r="E63" s="199">
        <v>394491000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1.3396846719457014</v>
      </c>
      <c r="D67" s="203">
        <f>IF(D69=0,0,D68/D69)</f>
        <v>1.2769747848498094</v>
      </c>
      <c r="E67" s="203">
        <f>IF(E69=0,0,E68/E69)</f>
        <v>1.6349820840160614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75794000</v>
      </c>
      <c r="D68" s="204">
        <v>84726000</v>
      </c>
      <c r="E68" s="204">
        <v>90802000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56576000</v>
      </c>
      <c r="D69" s="204">
        <v>66349000</v>
      </c>
      <c r="E69" s="204">
        <v>55537000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6.6792009237232728</v>
      </c>
      <c r="D71" s="203">
        <f>IF((D77/365)=0,0,+D74/(D77/365))</f>
        <v>19.735522583771612</v>
      </c>
      <c r="E71" s="203">
        <f>IF((E77/365)=0,0,+E74/(E77/365))</f>
        <v>3.5616832815554456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6480000</v>
      </c>
      <c r="D72" s="183">
        <v>4388000</v>
      </c>
      <c r="E72" s="183">
        <v>3609000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97000</v>
      </c>
      <c r="D73" s="206">
        <v>14580000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6577000</v>
      </c>
      <c r="D74" s="204">
        <f>+D72+D73</f>
        <v>18968000</v>
      </c>
      <c r="E74" s="204">
        <f>+E72+E73</f>
        <v>3609000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382310000</v>
      </c>
      <c r="D75" s="204">
        <f>+D14</f>
        <v>373601000</v>
      </c>
      <c r="E75" s="204">
        <f>+E14</f>
        <v>394491000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22895000</v>
      </c>
      <c r="D76" s="204">
        <v>22796000</v>
      </c>
      <c r="E76" s="204">
        <v>24642000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359415000</v>
      </c>
      <c r="D77" s="204">
        <f>+D75-D76</f>
        <v>350805000</v>
      </c>
      <c r="E77" s="204">
        <f>+E75-E76</f>
        <v>369849000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32.990099569747656</v>
      </c>
      <c r="D79" s="203">
        <f>IF((D84/365)=0,0,+D83/(D84/365))</f>
        <v>33.820734163202339</v>
      </c>
      <c r="E79" s="203">
        <f>IF((E84/365)=0,0,+E83/(E84/365))</f>
        <v>41.479467593046266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46049000</v>
      </c>
      <c r="D80" s="212">
        <v>51340000</v>
      </c>
      <c r="E80" s="212">
        <v>52068000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10883000</v>
      </c>
      <c r="D82" s="212">
        <v>12000000</v>
      </c>
      <c r="E82" s="212">
        <v>5681000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35166000</v>
      </c>
      <c r="D83" s="212">
        <f>+D80+D81-D82</f>
        <v>39340000</v>
      </c>
      <c r="E83" s="212">
        <f>+E80+E81-E82</f>
        <v>46387000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389074000</v>
      </c>
      <c r="D84" s="204">
        <f>+D11</f>
        <v>424565000</v>
      </c>
      <c r="E84" s="204">
        <f>+E11</f>
        <v>408184000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57.455142384152026</v>
      </c>
      <c r="D86" s="203">
        <f>IF((D90/365)=0,0,+D87/(D90/365))</f>
        <v>69.033750944256781</v>
      </c>
      <c r="E86" s="203">
        <f>IF((E90/365)=0,0,+E87/(E90/365))</f>
        <v>54.808867943403925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56576000</v>
      </c>
      <c r="D87" s="76">
        <f>+D69</f>
        <v>66349000</v>
      </c>
      <c r="E87" s="76">
        <f>+E69</f>
        <v>55537000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382310000</v>
      </c>
      <c r="D88" s="76">
        <f t="shared" si="0"/>
        <v>373601000</v>
      </c>
      <c r="E88" s="76">
        <f t="shared" si="0"/>
        <v>394491000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22895000</v>
      </c>
      <c r="D89" s="201">
        <f t="shared" si="0"/>
        <v>22796000</v>
      </c>
      <c r="E89" s="201">
        <f t="shared" si="0"/>
        <v>24642000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359415000</v>
      </c>
      <c r="D90" s="76">
        <f>+D88-D89</f>
        <v>350805000</v>
      </c>
      <c r="E90" s="76">
        <f>+E88-E89</f>
        <v>369849000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76.426460909863721</v>
      </c>
      <c r="D94" s="214">
        <f>IF(D96=0,0,(D95/D96)*100)</f>
        <v>77.552803531248387</v>
      </c>
      <c r="E94" s="214">
        <f>IF(E96=0,0,(E95/E96)*100)</f>
        <v>80.561154028581399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445927000</v>
      </c>
      <c r="D95" s="76">
        <f>+D32</f>
        <v>495284000</v>
      </c>
      <c r="E95" s="76">
        <f>+E32</f>
        <v>538420000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583472000</v>
      </c>
      <c r="D96" s="76">
        <v>638641000</v>
      </c>
      <c r="E96" s="76">
        <v>668337000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39.179761018952156</v>
      </c>
      <c r="D98" s="214">
        <f>IF(D104=0,0,(D101/D104)*100)</f>
        <v>88.938701193607116</v>
      </c>
      <c r="E98" s="214">
        <f>IF(E104=0,0,(E101/E104)*100)</f>
        <v>69.492860049900017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21862000</v>
      </c>
      <c r="D99" s="76">
        <f>+D28</f>
        <v>87110000</v>
      </c>
      <c r="E99" s="76">
        <f>+E28</f>
        <v>53903000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22895000</v>
      </c>
      <c r="D100" s="201">
        <f>+D76</f>
        <v>22796000</v>
      </c>
      <c r="E100" s="201">
        <f>+E76</f>
        <v>24642000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44757000</v>
      </c>
      <c r="D101" s="76">
        <f>+D99+D100</f>
        <v>109906000</v>
      </c>
      <c r="E101" s="76">
        <f>+E99+E100</f>
        <v>78545000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56576000</v>
      </c>
      <c r="D102" s="204">
        <f>+D69</f>
        <v>66349000</v>
      </c>
      <c r="E102" s="204">
        <f>+E69</f>
        <v>55537000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57659000</v>
      </c>
      <c r="D103" s="216">
        <v>57226000</v>
      </c>
      <c r="E103" s="216">
        <v>57489000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114235000</v>
      </c>
      <c r="D104" s="204">
        <f>+D102+D103</f>
        <v>123575000</v>
      </c>
      <c r="E104" s="204">
        <f>+E102+E103</f>
        <v>113026000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11.449682874424628</v>
      </c>
      <c r="D106" s="214">
        <f>IF(D109=0,0,(D107/D109)*100)</f>
        <v>10.357459593491521</v>
      </c>
      <c r="E106" s="214">
        <f>IF(E109=0,0,(E107/E109)*100)</f>
        <v>9.64727835961531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57659000</v>
      </c>
      <c r="D107" s="204">
        <f>+D103</f>
        <v>57226000</v>
      </c>
      <c r="E107" s="204">
        <f>+E103</f>
        <v>57489000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445927000</v>
      </c>
      <c r="D108" s="204">
        <f>+D32</f>
        <v>495284000</v>
      </c>
      <c r="E108" s="204">
        <f>+E32</f>
        <v>538420000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503586000</v>
      </c>
      <c r="D109" s="204">
        <f>+D107+D108</f>
        <v>552510000</v>
      </c>
      <c r="E109" s="204">
        <f>+E107+E108</f>
        <v>595909000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15.058571187621924</v>
      </c>
      <c r="D111" s="214">
        <f>IF((+D113+D115)=0,0,((+D112+D113+D114)/(+D113+D115)))</f>
        <v>42.969136460513489</v>
      </c>
      <c r="E111" s="214">
        <f>IF((+E113+E115)=0,0,((+E112+E113+E114)/(+E113+E115)))</f>
        <v>33.3632846789749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21862000</v>
      </c>
      <c r="D112" s="76">
        <f>+D17</f>
        <v>87110000</v>
      </c>
      <c r="E112" s="76">
        <f>+E17</f>
        <v>53903000</v>
      </c>
    </row>
    <row r="113" spans="1:8" ht="24" customHeight="1" x14ac:dyDescent="0.2">
      <c r="A113" s="85">
        <v>17</v>
      </c>
      <c r="B113" s="75" t="s">
        <v>88</v>
      </c>
      <c r="C113" s="218">
        <v>2562000</v>
      </c>
      <c r="D113" s="76">
        <v>2149000</v>
      </c>
      <c r="E113" s="76">
        <v>1954000</v>
      </c>
    </row>
    <row r="114" spans="1:8" ht="24" customHeight="1" x14ac:dyDescent="0.2">
      <c r="A114" s="85">
        <v>18</v>
      </c>
      <c r="B114" s="75" t="s">
        <v>374</v>
      </c>
      <c r="C114" s="218">
        <v>22895000</v>
      </c>
      <c r="D114" s="76">
        <v>22796000</v>
      </c>
      <c r="E114" s="76">
        <v>24642000</v>
      </c>
    </row>
    <row r="115" spans="1:8" ht="24" customHeight="1" x14ac:dyDescent="0.2">
      <c r="A115" s="85">
        <v>19</v>
      </c>
      <c r="B115" s="75" t="s">
        <v>104</v>
      </c>
      <c r="C115" s="218">
        <v>580330</v>
      </c>
      <c r="D115" s="76">
        <v>458802</v>
      </c>
      <c r="E115" s="76">
        <v>458802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8.624197423018126</v>
      </c>
      <c r="D119" s="214">
        <f>IF(+D121=0,0,(+D120)/(+D121))</f>
        <v>9.5691788032988239</v>
      </c>
      <c r="E119" s="214">
        <f>IF(+E121=0,0,(+E120)/(+E121))</f>
        <v>9.6378134891648397</v>
      </c>
    </row>
    <row r="120" spans="1:8" ht="24" customHeight="1" x14ac:dyDescent="0.2">
      <c r="A120" s="85">
        <v>21</v>
      </c>
      <c r="B120" s="75" t="s">
        <v>378</v>
      </c>
      <c r="C120" s="218">
        <v>197451000</v>
      </c>
      <c r="D120" s="218">
        <v>218139000</v>
      </c>
      <c r="E120" s="218">
        <v>237495000</v>
      </c>
    </row>
    <row r="121" spans="1:8" ht="24" customHeight="1" x14ac:dyDescent="0.2">
      <c r="A121" s="85">
        <v>22</v>
      </c>
      <c r="B121" s="75" t="s">
        <v>374</v>
      </c>
      <c r="C121" s="218">
        <v>22895000</v>
      </c>
      <c r="D121" s="218">
        <v>22796000</v>
      </c>
      <c r="E121" s="218">
        <v>24642000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122440</v>
      </c>
      <c r="D124" s="218">
        <v>122878</v>
      </c>
      <c r="E124" s="218">
        <v>120574</v>
      </c>
    </row>
    <row r="125" spans="1:8" ht="24" customHeight="1" x14ac:dyDescent="0.2">
      <c r="A125" s="85">
        <v>2</v>
      </c>
      <c r="B125" s="75" t="s">
        <v>381</v>
      </c>
      <c r="C125" s="218">
        <v>22100</v>
      </c>
      <c r="D125" s="218">
        <v>21912</v>
      </c>
      <c r="E125" s="218">
        <v>20324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5.5402714932126695</v>
      </c>
      <c r="D126" s="219">
        <f>IF(D125=0,0,D124/D125)</f>
        <v>5.607794815626141</v>
      </c>
      <c r="E126" s="219">
        <f>IF(E125=0,0,E124/E125)</f>
        <v>5.9325920094469593</v>
      </c>
    </row>
    <row r="127" spans="1:8" ht="24" customHeight="1" x14ac:dyDescent="0.2">
      <c r="A127" s="85">
        <v>4</v>
      </c>
      <c r="B127" s="75" t="s">
        <v>383</v>
      </c>
      <c r="C127" s="218">
        <v>423</v>
      </c>
      <c r="D127" s="218">
        <v>456</v>
      </c>
      <c r="E127" s="218">
        <v>424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456</v>
      </c>
      <c r="E128" s="218">
        <v>446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423</v>
      </c>
      <c r="D129" s="218">
        <v>520</v>
      </c>
      <c r="E129" s="218">
        <v>520</v>
      </c>
    </row>
    <row r="130" spans="1:7" ht="24" customHeight="1" x14ac:dyDescent="0.2">
      <c r="A130" s="85">
        <v>7</v>
      </c>
      <c r="B130" s="75" t="s">
        <v>386</v>
      </c>
      <c r="C130" s="193">
        <v>0.79300000000000004</v>
      </c>
      <c r="D130" s="193">
        <v>0.73819999999999997</v>
      </c>
      <c r="E130" s="193">
        <v>0.77910000000000001</v>
      </c>
    </row>
    <row r="131" spans="1:7" ht="24" customHeight="1" x14ac:dyDescent="0.2">
      <c r="A131" s="85">
        <v>8</v>
      </c>
      <c r="B131" s="75" t="s">
        <v>387</v>
      </c>
      <c r="C131" s="193">
        <v>0.79300000000000004</v>
      </c>
      <c r="D131" s="193">
        <v>0.73819999999999997</v>
      </c>
      <c r="E131" s="193">
        <v>0.74060000000000004</v>
      </c>
    </row>
    <row r="132" spans="1:7" ht="24" customHeight="1" x14ac:dyDescent="0.2">
      <c r="A132" s="85">
        <v>9</v>
      </c>
      <c r="B132" s="75" t="s">
        <v>388</v>
      </c>
      <c r="C132" s="219">
        <v>2047.2</v>
      </c>
      <c r="D132" s="219">
        <v>2078.1999999999998</v>
      </c>
      <c r="E132" s="219">
        <v>2263.1999999999998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0.29451838570152272</v>
      </c>
      <c r="D135" s="227">
        <f>IF(D149=0,0,D143/D149)</f>
        <v>0.28534783845056583</v>
      </c>
      <c r="E135" s="227">
        <f>IF(E149=0,0,E143/E149)</f>
        <v>0.26555410670382779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0.47970088665745092</v>
      </c>
      <c r="D136" s="227">
        <f>IF(D149=0,0,D144/D149)</f>
        <v>0.4690819893193674</v>
      </c>
      <c r="E136" s="227">
        <f>IF(E149=0,0,E144/E149)</f>
        <v>0.48212185606703839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0.17934998316178241</v>
      </c>
      <c r="D137" s="227">
        <f>IF(D149=0,0,D145/D149)</f>
        <v>0.19449194175752504</v>
      </c>
      <c r="E137" s="227">
        <f>IF(E149=0,0,E145/E149)</f>
        <v>0.20245640229961109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1.6000962007466451E-3</v>
      </c>
      <c r="D138" s="227">
        <f>IF(D149=0,0,D146/D149)</f>
        <v>1.544115481991564E-3</v>
      </c>
      <c r="E138" s="227">
        <f>IF(E149=0,0,E146/E149)</f>
        <v>1.7101650044545104E-3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4.4062097836880289E-2</v>
      </c>
      <c r="D139" s="227">
        <f>IF(D149=0,0,D147/D149)</f>
        <v>4.8690417752312393E-2</v>
      </c>
      <c r="E139" s="227">
        <f>IF(E149=0,0,E147/E149)</f>
        <v>4.7292068273307702E-2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7.6855044161697195E-4</v>
      </c>
      <c r="D140" s="227">
        <f>IF(D149=0,0,D148/D149)</f>
        <v>8.4369723823775865E-4</v>
      </c>
      <c r="E140" s="227">
        <f>IF(E149=0,0,E148/E149)</f>
        <v>8.6540165176050463E-4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295765191</v>
      </c>
      <c r="D143" s="229">
        <f>+D46-D147</f>
        <v>318501247</v>
      </c>
      <c r="E143" s="229">
        <f>+E46-E147</f>
        <v>316722532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481731638</v>
      </c>
      <c r="D144" s="229">
        <f>+D51</f>
        <v>523582724</v>
      </c>
      <c r="E144" s="229">
        <f>+E51</f>
        <v>575019746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180109238</v>
      </c>
      <c r="D145" s="229">
        <f>+D55</f>
        <v>217089172</v>
      </c>
      <c r="E145" s="229">
        <f>+E55</f>
        <v>241466815</v>
      </c>
    </row>
    <row r="146" spans="1:7" ht="20.100000000000001" customHeight="1" x14ac:dyDescent="0.2">
      <c r="A146" s="226">
        <v>11</v>
      </c>
      <c r="B146" s="224" t="s">
        <v>400</v>
      </c>
      <c r="C146" s="228">
        <v>1606870</v>
      </c>
      <c r="D146" s="229">
        <v>1723520</v>
      </c>
      <c r="E146" s="229">
        <v>2039689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44248629</v>
      </c>
      <c r="D147" s="229">
        <f>+D47</f>
        <v>54347560</v>
      </c>
      <c r="E147" s="229">
        <f>+E47</f>
        <v>56404564</v>
      </c>
    </row>
    <row r="148" spans="1:7" ht="20.100000000000001" customHeight="1" x14ac:dyDescent="0.2">
      <c r="A148" s="226">
        <v>13</v>
      </c>
      <c r="B148" s="224" t="s">
        <v>402</v>
      </c>
      <c r="C148" s="230">
        <v>771804</v>
      </c>
      <c r="D148" s="229">
        <v>941723</v>
      </c>
      <c r="E148" s="229">
        <v>1032152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1004233370</v>
      </c>
      <c r="D149" s="229">
        <f>SUM(D143:D148)</f>
        <v>1116185946</v>
      </c>
      <c r="E149" s="229">
        <f>SUM(E143:E148)</f>
        <v>1192685498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0.43506839631864624</v>
      </c>
      <c r="D152" s="227">
        <f>IF(D166=0,0,D160/D166)</f>
        <v>0.4486823048066127</v>
      </c>
      <c r="E152" s="227">
        <f>IF(E166=0,0,E160/E166)</f>
        <v>0.45328247524865367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0.43138473016870493</v>
      </c>
      <c r="D153" s="227">
        <f>IF(D166=0,0,D161/D166)</f>
        <v>0.41456038068306089</v>
      </c>
      <c r="E153" s="227">
        <f>IF(E166=0,0,E161/E166)</f>
        <v>0.39664850599079199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0.12319160833246005</v>
      </c>
      <c r="D154" s="227">
        <f>IF(D166=0,0,D162/D166)</f>
        <v>0.12811497842724623</v>
      </c>
      <c r="E154" s="227">
        <f>IF(E166=0,0,E162/E166)</f>
        <v>0.13940467240083473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2.0814786459056912E-3</v>
      </c>
      <c r="D155" s="227">
        <f>IF(D166=0,0,D163/D166)</f>
        <v>1.4778702570921072E-3</v>
      </c>
      <c r="E155" s="227">
        <f>IF(E166=0,0,E163/E166)</f>
        <v>1.7309139754401487E-3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7.5721186254172103E-3</v>
      </c>
      <c r="D156" s="227">
        <f>IF(D166=0,0,D164/D166)</f>
        <v>6.2849702510465108E-3</v>
      </c>
      <c r="E156" s="227">
        <f>IF(E166=0,0,E164/E166)</f>
        <v>8.5565469918130709E-3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7.016679088658811E-4</v>
      </c>
      <c r="D157" s="227">
        <f>IF(D166=0,0,D165/D166)</f>
        <v>8.7949557494156766E-4</v>
      </c>
      <c r="E157" s="227">
        <f>IF(E166=0,0,E165/E166)</f>
        <v>3.7688539246640029E-4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0.99999999999999989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152851348</v>
      </c>
      <c r="D160" s="229">
        <f>+D44-D164</f>
        <v>175410411</v>
      </c>
      <c r="E160" s="229">
        <f>+E44-E164</f>
        <v>183624403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151557176</v>
      </c>
      <c r="D161" s="229">
        <f>+D50</f>
        <v>162070592</v>
      </c>
      <c r="E161" s="229">
        <f>+E50</f>
        <v>160682023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43280559</v>
      </c>
      <c r="D162" s="229">
        <f>+D54</f>
        <v>50085998</v>
      </c>
      <c r="E162" s="229">
        <f>+E54</f>
        <v>56472732</v>
      </c>
    </row>
    <row r="163" spans="1:6" ht="20.100000000000001" customHeight="1" x14ac:dyDescent="0.2">
      <c r="A163" s="226">
        <v>11</v>
      </c>
      <c r="B163" s="224" t="s">
        <v>415</v>
      </c>
      <c r="C163" s="228">
        <v>731280</v>
      </c>
      <c r="D163" s="229">
        <v>577767</v>
      </c>
      <c r="E163" s="229">
        <v>701192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2660291</v>
      </c>
      <c r="D164" s="229">
        <f>+D45</f>
        <v>2457082</v>
      </c>
      <c r="E164" s="229">
        <f>+E45</f>
        <v>3466251</v>
      </c>
    </row>
    <row r="165" spans="1:6" ht="20.100000000000001" customHeight="1" x14ac:dyDescent="0.2">
      <c r="A165" s="226">
        <v>13</v>
      </c>
      <c r="B165" s="224" t="s">
        <v>417</v>
      </c>
      <c r="C165" s="230">
        <v>246515</v>
      </c>
      <c r="D165" s="229">
        <v>343835</v>
      </c>
      <c r="E165" s="229">
        <v>152676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351327169</v>
      </c>
      <c r="D166" s="229">
        <f>SUM(D160:D165)</f>
        <v>390945685</v>
      </c>
      <c r="E166" s="229">
        <f>SUM(E160:E165)</f>
        <v>405099277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7399</v>
      </c>
      <c r="D169" s="218">
        <v>6919</v>
      </c>
      <c r="E169" s="218">
        <v>6023</v>
      </c>
    </row>
    <row r="170" spans="1:6" ht="20.100000000000001" customHeight="1" x14ac:dyDescent="0.2">
      <c r="A170" s="226">
        <v>2</v>
      </c>
      <c r="B170" s="224" t="s">
        <v>420</v>
      </c>
      <c r="C170" s="218">
        <v>10164</v>
      </c>
      <c r="D170" s="218">
        <v>10153</v>
      </c>
      <c r="E170" s="218">
        <v>9550</v>
      </c>
    </row>
    <row r="171" spans="1:6" ht="20.100000000000001" customHeight="1" x14ac:dyDescent="0.2">
      <c r="A171" s="226">
        <v>3</v>
      </c>
      <c r="B171" s="224" t="s">
        <v>421</v>
      </c>
      <c r="C171" s="218">
        <v>4516</v>
      </c>
      <c r="D171" s="218">
        <v>4811</v>
      </c>
      <c r="E171" s="218">
        <v>4721</v>
      </c>
    </row>
    <row r="172" spans="1:6" ht="20.100000000000001" customHeight="1" x14ac:dyDescent="0.2">
      <c r="A172" s="226">
        <v>4</v>
      </c>
      <c r="B172" s="224" t="s">
        <v>422</v>
      </c>
      <c r="C172" s="218">
        <v>4488</v>
      </c>
      <c r="D172" s="218">
        <v>4773</v>
      </c>
      <c r="E172" s="218">
        <v>4685</v>
      </c>
    </row>
    <row r="173" spans="1:6" ht="20.100000000000001" customHeight="1" x14ac:dyDescent="0.2">
      <c r="A173" s="226">
        <v>5</v>
      </c>
      <c r="B173" s="224" t="s">
        <v>423</v>
      </c>
      <c r="C173" s="218">
        <v>28</v>
      </c>
      <c r="D173" s="218">
        <v>38</v>
      </c>
      <c r="E173" s="218">
        <v>36</v>
      </c>
    </row>
    <row r="174" spans="1:6" ht="20.100000000000001" customHeight="1" x14ac:dyDescent="0.2">
      <c r="A174" s="226">
        <v>6</v>
      </c>
      <c r="B174" s="224" t="s">
        <v>424</v>
      </c>
      <c r="C174" s="218">
        <v>21</v>
      </c>
      <c r="D174" s="218">
        <v>29</v>
      </c>
      <c r="E174" s="218">
        <v>30</v>
      </c>
    </row>
    <row r="175" spans="1:6" ht="20.100000000000001" customHeight="1" x14ac:dyDescent="0.2">
      <c r="A175" s="226">
        <v>7</v>
      </c>
      <c r="B175" s="224" t="s">
        <v>425</v>
      </c>
      <c r="C175" s="218">
        <v>991</v>
      </c>
      <c r="D175" s="218">
        <v>950</v>
      </c>
      <c r="E175" s="218">
        <v>793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22100</v>
      </c>
      <c r="D176" s="218">
        <f>+D169+D170+D171+D174</f>
        <v>21912</v>
      </c>
      <c r="E176" s="218">
        <f>+E169+E170+E171+E174</f>
        <v>20324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1.2369000000000001</v>
      </c>
      <c r="D179" s="231">
        <v>1.2403</v>
      </c>
      <c r="E179" s="231">
        <v>1.2766</v>
      </c>
    </row>
    <row r="180" spans="1:6" ht="20.100000000000001" customHeight="1" x14ac:dyDescent="0.2">
      <c r="A180" s="226">
        <v>2</v>
      </c>
      <c r="B180" s="224" t="s">
        <v>420</v>
      </c>
      <c r="C180" s="231">
        <v>1.4971000000000001</v>
      </c>
      <c r="D180" s="231">
        <v>1.4584999999999999</v>
      </c>
      <c r="E180" s="231">
        <v>1.5337000000000001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0.99570599999999998</v>
      </c>
      <c r="D181" s="231">
        <v>1.050721</v>
      </c>
      <c r="E181" s="231">
        <v>1.039231</v>
      </c>
    </row>
    <row r="182" spans="1:6" ht="20.100000000000001" customHeight="1" x14ac:dyDescent="0.2">
      <c r="A182" s="226">
        <v>4</v>
      </c>
      <c r="B182" s="224" t="s">
        <v>422</v>
      </c>
      <c r="C182" s="231">
        <v>0.99539999999999995</v>
      </c>
      <c r="D182" s="231">
        <v>1.0509999999999999</v>
      </c>
      <c r="E182" s="231">
        <v>1.04</v>
      </c>
    </row>
    <row r="183" spans="1:6" ht="20.100000000000001" customHeight="1" x14ac:dyDescent="0.2">
      <c r="A183" s="226">
        <v>5</v>
      </c>
      <c r="B183" s="224" t="s">
        <v>423</v>
      </c>
      <c r="C183" s="231">
        <v>1.0448999999999999</v>
      </c>
      <c r="D183" s="231">
        <v>1.0158</v>
      </c>
      <c r="E183" s="231">
        <v>0.93920000000000003</v>
      </c>
    </row>
    <row r="184" spans="1:6" ht="20.100000000000001" customHeight="1" x14ac:dyDescent="0.2">
      <c r="A184" s="226">
        <v>6</v>
      </c>
      <c r="B184" s="224" t="s">
        <v>424</v>
      </c>
      <c r="C184" s="231">
        <v>1.3835999999999999</v>
      </c>
      <c r="D184" s="231">
        <v>0.74760000000000004</v>
      </c>
      <c r="E184" s="231">
        <v>0.99129999999999996</v>
      </c>
    </row>
    <row r="185" spans="1:6" ht="20.100000000000001" customHeight="1" x14ac:dyDescent="0.2">
      <c r="A185" s="226">
        <v>7</v>
      </c>
      <c r="B185" s="224" t="s">
        <v>425</v>
      </c>
      <c r="C185" s="231">
        <v>1.026</v>
      </c>
      <c r="D185" s="231">
        <v>1.0567</v>
      </c>
      <c r="E185" s="231">
        <v>1.0913999999999999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1.3074209999999999</v>
      </c>
      <c r="D186" s="231">
        <v>1.2991269999999999</v>
      </c>
      <c r="E186" s="231">
        <v>1.3418490000000001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15163</v>
      </c>
      <c r="D189" s="218">
        <v>15374</v>
      </c>
      <c r="E189" s="218">
        <v>14293</v>
      </c>
    </row>
    <row r="190" spans="1:6" ht="20.100000000000001" customHeight="1" x14ac:dyDescent="0.2">
      <c r="A190" s="226">
        <v>2</v>
      </c>
      <c r="B190" s="224" t="s">
        <v>433</v>
      </c>
      <c r="C190" s="218">
        <v>60360</v>
      </c>
      <c r="D190" s="218">
        <v>64398</v>
      </c>
      <c r="E190" s="218">
        <v>64264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75523</v>
      </c>
      <c r="D191" s="218">
        <f>+D190+D189</f>
        <v>79772</v>
      </c>
      <c r="E191" s="218">
        <f>+E190+E189</f>
        <v>78557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FILING&amp;RSAINT VINCENT`S MEDICAL CENTER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sqref="A1:F1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9416762</v>
      </c>
      <c r="D14" s="258">
        <v>5128097</v>
      </c>
      <c r="E14" s="258">
        <f t="shared" ref="E14:E24" si="0">D14-C14</f>
        <v>-4288665</v>
      </c>
      <c r="F14" s="259">
        <f t="shared" ref="F14:F24" si="1">IF(C14=0,0,E14/C14)</f>
        <v>-0.4554288406142154</v>
      </c>
    </row>
    <row r="15" spans="1:7" ht="20.25" customHeight="1" x14ac:dyDescent="0.3">
      <c r="A15" s="256">
        <v>2</v>
      </c>
      <c r="B15" s="257" t="s">
        <v>442</v>
      </c>
      <c r="C15" s="258">
        <v>3957364</v>
      </c>
      <c r="D15" s="258">
        <v>1502374</v>
      </c>
      <c r="E15" s="258">
        <f t="shared" si="0"/>
        <v>-2454990</v>
      </c>
      <c r="F15" s="259">
        <f t="shared" si="1"/>
        <v>-0.62035991634835719</v>
      </c>
    </row>
    <row r="16" spans="1:7" ht="20.25" customHeight="1" x14ac:dyDescent="0.3">
      <c r="A16" s="256">
        <v>3</v>
      </c>
      <c r="B16" s="257" t="s">
        <v>443</v>
      </c>
      <c r="C16" s="258">
        <v>3497536</v>
      </c>
      <c r="D16" s="258">
        <v>1581624</v>
      </c>
      <c r="E16" s="258">
        <f t="shared" si="0"/>
        <v>-1915912</v>
      </c>
      <c r="F16" s="259">
        <f t="shared" si="1"/>
        <v>-0.54778907207817162</v>
      </c>
    </row>
    <row r="17" spans="1:6" ht="20.25" customHeight="1" x14ac:dyDescent="0.3">
      <c r="A17" s="256">
        <v>4</v>
      </c>
      <c r="B17" s="257" t="s">
        <v>444</v>
      </c>
      <c r="C17" s="258">
        <v>1484838</v>
      </c>
      <c r="D17" s="258">
        <v>844112</v>
      </c>
      <c r="E17" s="258">
        <f t="shared" si="0"/>
        <v>-640726</v>
      </c>
      <c r="F17" s="259">
        <f t="shared" si="1"/>
        <v>-0.43151239394465929</v>
      </c>
    </row>
    <row r="18" spans="1:6" ht="20.25" customHeight="1" x14ac:dyDescent="0.3">
      <c r="A18" s="256">
        <v>5</v>
      </c>
      <c r="B18" s="257" t="s">
        <v>381</v>
      </c>
      <c r="C18" s="260">
        <v>240</v>
      </c>
      <c r="D18" s="260">
        <v>109</v>
      </c>
      <c r="E18" s="260">
        <f t="shared" si="0"/>
        <v>-131</v>
      </c>
      <c r="F18" s="259">
        <f t="shared" si="1"/>
        <v>-0.54583333333333328</v>
      </c>
    </row>
    <row r="19" spans="1:6" ht="20.25" customHeight="1" x14ac:dyDescent="0.3">
      <c r="A19" s="256">
        <v>6</v>
      </c>
      <c r="B19" s="257" t="s">
        <v>380</v>
      </c>
      <c r="C19" s="260">
        <v>1355</v>
      </c>
      <c r="D19" s="260">
        <v>653</v>
      </c>
      <c r="E19" s="260">
        <f t="shared" si="0"/>
        <v>-702</v>
      </c>
      <c r="F19" s="259">
        <f t="shared" si="1"/>
        <v>-0.5180811808118081</v>
      </c>
    </row>
    <row r="20" spans="1:6" ht="20.25" customHeight="1" x14ac:dyDescent="0.3">
      <c r="A20" s="256">
        <v>7</v>
      </c>
      <c r="B20" s="257" t="s">
        <v>445</v>
      </c>
      <c r="C20" s="260">
        <v>1038</v>
      </c>
      <c r="D20" s="260">
        <v>655</v>
      </c>
      <c r="E20" s="260">
        <f t="shared" si="0"/>
        <v>-383</v>
      </c>
      <c r="F20" s="259">
        <f t="shared" si="1"/>
        <v>-0.36897880539499034</v>
      </c>
    </row>
    <row r="21" spans="1:6" ht="20.25" customHeight="1" x14ac:dyDescent="0.3">
      <c r="A21" s="256">
        <v>8</v>
      </c>
      <c r="B21" s="257" t="s">
        <v>446</v>
      </c>
      <c r="C21" s="260">
        <v>205</v>
      </c>
      <c r="D21" s="260">
        <v>100</v>
      </c>
      <c r="E21" s="260">
        <f t="shared" si="0"/>
        <v>-105</v>
      </c>
      <c r="F21" s="259">
        <f t="shared" si="1"/>
        <v>-0.51219512195121952</v>
      </c>
    </row>
    <row r="22" spans="1:6" ht="20.25" customHeight="1" x14ac:dyDescent="0.3">
      <c r="A22" s="256">
        <v>9</v>
      </c>
      <c r="B22" s="257" t="s">
        <v>447</v>
      </c>
      <c r="C22" s="260">
        <v>196</v>
      </c>
      <c r="D22" s="260">
        <v>77</v>
      </c>
      <c r="E22" s="260">
        <f t="shared" si="0"/>
        <v>-119</v>
      </c>
      <c r="F22" s="259">
        <f t="shared" si="1"/>
        <v>-0.6071428571428571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12914298</v>
      </c>
      <c r="D23" s="263">
        <f>+D14+D16</f>
        <v>6709721</v>
      </c>
      <c r="E23" s="263">
        <f t="shared" si="0"/>
        <v>-6204577</v>
      </c>
      <c r="F23" s="264">
        <f t="shared" si="1"/>
        <v>-0.48044245223395032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5442202</v>
      </c>
      <c r="D24" s="263">
        <f>+D15+D17</f>
        <v>2346486</v>
      </c>
      <c r="E24" s="263">
        <f t="shared" si="0"/>
        <v>-3095716</v>
      </c>
      <c r="F24" s="264">
        <f t="shared" si="1"/>
        <v>-0.56883518840351754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18522354</v>
      </c>
      <c r="D40" s="258">
        <v>19144184</v>
      </c>
      <c r="E40" s="258">
        <f t="shared" ref="E40:E50" si="4">D40-C40</f>
        <v>621830</v>
      </c>
      <c r="F40" s="259">
        <f t="shared" ref="F40:F50" si="5">IF(C40=0,0,E40/C40)</f>
        <v>3.3571866729250506E-2</v>
      </c>
    </row>
    <row r="41" spans="1:6" ht="20.25" customHeight="1" x14ac:dyDescent="0.3">
      <c r="A41" s="256">
        <v>2</v>
      </c>
      <c r="B41" s="257" t="s">
        <v>442</v>
      </c>
      <c r="C41" s="258">
        <v>4650348</v>
      </c>
      <c r="D41" s="258">
        <v>6014372</v>
      </c>
      <c r="E41" s="258">
        <f t="shared" si="4"/>
        <v>1364024</v>
      </c>
      <c r="F41" s="259">
        <f t="shared" si="5"/>
        <v>0.29331654319203637</v>
      </c>
    </row>
    <row r="42" spans="1:6" ht="20.25" customHeight="1" x14ac:dyDescent="0.3">
      <c r="A42" s="256">
        <v>3</v>
      </c>
      <c r="B42" s="257" t="s">
        <v>443</v>
      </c>
      <c r="C42" s="258">
        <v>6380993</v>
      </c>
      <c r="D42" s="258">
        <v>7402606</v>
      </c>
      <c r="E42" s="258">
        <f t="shared" si="4"/>
        <v>1021613</v>
      </c>
      <c r="F42" s="259">
        <f t="shared" si="5"/>
        <v>0.1601025106907342</v>
      </c>
    </row>
    <row r="43" spans="1:6" ht="20.25" customHeight="1" x14ac:dyDescent="0.3">
      <c r="A43" s="256">
        <v>4</v>
      </c>
      <c r="B43" s="257" t="s">
        <v>444</v>
      </c>
      <c r="C43" s="258">
        <v>1666174</v>
      </c>
      <c r="D43" s="258">
        <v>1593551</v>
      </c>
      <c r="E43" s="258">
        <f t="shared" si="4"/>
        <v>-72623</v>
      </c>
      <c r="F43" s="259">
        <f t="shared" si="5"/>
        <v>-4.3586684223856573E-2</v>
      </c>
    </row>
    <row r="44" spans="1:6" ht="20.25" customHeight="1" x14ac:dyDescent="0.3">
      <c r="A44" s="256">
        <v>5</v>
      </c>
      <c r="B44" s="257" t="s">
        <v>381</v>
      </c>
      <c r="C44" s="260">
        <v>469</v>
      </c>
      <c r="D44" s="260">
        <v>403</v>
      </c>
      <c r="E44" s="260">
        <f t="shared" si="4"/>
        <v>-66</v>
      </c>
      <c r="F44" s="259">
        <f t="shared" si="5"/>
        <v>-0.14072494669509594</v>
      </c>
    </row>
    <row r="45" spans="1:6" ht="20.25" customHeight="1" x14ac:dyDescent="0.3">
      <c r="A45" s="256">
        <v>6</v>
      </c>
      <c r="B45" s="257" t="s">
        <v>380</v>
      </c>
      <c r="C45" s="260">
        <v>2569</v>
      </c>
      <c r="D45" s="260">
        <v>2425</v>
      </c>
      <c r="E45" s="260">
        <f t="shared" si="4"/>
        <v>-144</v>
      </c>
      <c r="F45" s="259">
        <f t="shared" si="5"/>
        <v>-5.6052938886726356E-2</v>
      </c>
    </row>
    <row r="46" spans="1:6" ht="20.25" customHeight="1" x14ac:dyDescent="0.3">
      <c r="A46" s="256">
        <v>7</v>
      </c>
      <c r="B46" s="257" t="s">
        <v>445</v>
      </c>
      <c r="C46" s="260">
        <v>2752</v>
      </c>
      <c r="D46" s="260">
        <v>2698</v>
      </c>
      <c r="E46" s="260">
        <f t="shared" si="4"/>
        <v>-54</v>
      </c>
      <c r="F46" s="259">
        <f t="shared" si="5"/>
        <v>-1.9622093023255814E-2</v>
      </c>
    </row>
    <row r="47" spans="1:6" ht="20.25" customHeight="1" x14ac:dyDescent="0.3">
      <c r="A47" s="256">
        <v>8</v>
      </c>
      <c r="B47" s="257" t="s">
        <v>446</v>
      </c>
      <c r="C47" s="260">
        <v>392</v>
      </c>
      <c r="D47" s="260">
        <v>421</v>
      </c>
      <c r="E47" s="260">
        <f t="shared" si="4"/>
        <v>29</v>
      </c>
      <c r="F47" s="259">
        <f t="shared" si="5"/>
        <v>7.3979591836734693E-2</v>
      </c>
    </row>
    <row r="48" spans="1:6" ht="20.25" customHeight="1" x14ac:dyDescent="0.3">
      <c r="A48" s="256">
        <v>9</v>
      </c>
      <c r="B48" s="257" t="s">
        <v>447</v>
      </c>
      <c r="C48" s="260">
        <v>365</v>
      </c>
      <c r="D48" s="260">
        <v>298</v>
      </c>
      <c r="E48" s="260">
        <f t="shared" si="4"/>
        <v>-67</v>
      </c>
      <c r="F48" s="259">
        <f t="shared" si="5"/>
        <v>-0.18356164383561643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24903347</v>
      </c>
      <c r="D49" s="263">
        <f>+D40+D42</f>
        <v>26546790</v>
      </c>
      <c r="E49" s="263">
        <f t="shared" si="4"/>
        <v>1643443</v>
      </c>
      <c r="F49" s="264">
        <f t="shared" si="5"/>
        <v>6.5992856301604758E-2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6316522</v>
      </c>
      <c r="D50" s="263">
        <f>+D41+D43</f>
        <v>7607923</v>
      </c>
      <c r="E50" s="263">
        <f t="shared" si="4"/>
        <v>1291401</v>
      </c>
      <c r="F50" s="264">
        <f t="shared" si="5"/>
        <v>0.20444811242642708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11781</v>
      </c>
      <c r="D66" s="258">
        <v>0</v>
      </c>
      <c r="E66" s="258">
        <f t="shared" ref="E66:E76" si="8">D66-C66</f>
        <v>-11781</v>
      </c>
      <c r="F66" s="259">
        <f t="shared" ref="F66:F76" si="9">IF(C66=0,0,E66/C66)</f>
        <v>-1</v>
      </c>
    </row>
    <row r="67" spans="1:6" ht="20.25" customHeight="1" x14ac:dyDescent="0.3">
      <c r="A67" s="256">
        <v>2</v>
      </c>
      <c r="B67" s="257" t="s">
        <v>442</v>
      </c>
      <c r="C67" s="258">
        <v>3153</v>
      </c>
      <c r="D67" s="258">
        <v>0</v>
      </c>
      <c r="E67" s="258">
        <f t="shared" si="8"/>
        <v>-3153</v>
      </c>
      <c r="F67" s="259">
        <f t="shared" si="9"/>
        <v>-1</v>
      </c>
    </row>
    <row r="68" spans="1:6" ht="20.25" customHeight="1" x14ac:dyDescent="0.3">
      <c r="A68" s="256">
        <v>3</v>
      </c>
      <c r="B68" s="257" t="s">
        <v>443</v>
      </c>
      <c r="C68" s="258">
        <v>11672</v>
      </c>
      <c r="D68" s="258">
        <v>25998</v>
      </c>
      <c r="E68" s="258">
        <f t="shared" si="8"/>
        <v>14326</v>
      </c>
      <c r="F68" s="259">
        <f t="shared" si="9"/>
        <v>1.2273817683344757</v>
      </c>
    </row>
    <row r="69" spans="1:6" ht="20.25" customHeight="1" x14ac:dyDescent="0.3">
      <c r="A69" s="256">
        <v>4</v>
      </c>
      <c r="B69" s="257" t="s">
        <v>444</v>
      </c>
      <c r="C69" s="258">
        <v>1450</v>
      </c>
      <c r="D69" s="258">
        <v>16367</v>
      </c>
      <c r="E69" s="258">
        <f t="shared" si="8"/>
        <v>14917</v>
      </c>
      <c r="F69" s="259">
        <f t="shared" si="9"/>
        <v>10.287586206896552</v>
      </c>
    </row>
    <row r="70" spans="1:6" ht="20.25" customHeight="1" x14ac:dyDescent="0.3">
      <c r="A70" s="256">
        <v>5</v>
      </c>
      <c r="B70" s="257" t="s">
        <v>381</v>
      </c>
      <c r="C70" s="260">
        <v>1</v>
      </c>
      <c r="D70" s="260">
        <v>0</v>
      </c>
      <c r="E70" s="260">
        <f t="shared" si="8"/>
        <v>-1</v>
      </c>
      <c r="F70" s="259">
        <f t="shared" si="9"/>
        <v>-1</v>
      </c>
    </row>
    <row r="71" spans="1:6" ht="20.25" customHeight="1" x14ac:dyDescent="0.3">
      <c r="A71" s="256">
        <v>6</v>
      </c>
      <c r="B71" s="257" t="s">
        <v>380</v>
      </c>
      <c r="C71" s="260">
        <v>1</v>
      </c>
      <c r="D71" s="260">
        <v>0</v>
      </c>
      <c r="E71" s="260">
        <f t="shared" si="8"/>
        <v>-1</v>
      </c>
      <c r="F71" s="259">
        <f t="shared" si="9"/>
        <v>-1</v>
      </c>
    </row>
    <row r="72" spans="1:6" ht="20.25" customHeight="1" x14ac:dyDescent="0.3">
      <c r="A72" s="256">
        <v>7</v>
      </c>
      <c r="B72" s="257" t="s">
        <v>445</v>
      </c>
      <c r="C72" s="260">
        <v>12</v>
      </c>
      <c r="D72" s="260">
        <v>19</v>
      </c>
      <c r="E72" s="260">
        <f t="shared" si="8"/>
        <v>7</v>
      </c>
      <c r="F72" s="259">
        <f t="shared" si="9"/>
        <v>0.58333333333333337</v>
      </c>
    </row>
    <row r="73" spans="1:6" ht="20.25" customHeight="1" x14ac:dyDescent="0.3">
      <c r="A73" s="256">
        <v>8</v>
      </c>
      <c r="B73" s="257" t="s">
        <v>446</v>
      </c>
      <c r="C73" s="260">
        <v>2</v>
      </c>
      <c r="D73" s="260">
        <v>0</v>
      </c>
      <c r="E73" s="260">
        <f t="shared" si="8"/>
        <v>-2</v>
      </c>
      <c r="F73" s="259">
        <f t="shared" si="9"/>
        <v>-1</v>
      </c>
    </row>
    <row r="74" spans="1:6" ht="20.25" customHeight="1" x14ac:dyDescent="0.3">
      <c r="A74" s="256">
        <v>9</v>
      </c>
      <c r="B74" s="257" t="s">
        <v>447</v>
      </c>
      <c r="C74" s="260">
        <v>1</v>
      </c>
      <c r="D74" s="260">
        <v>0</v>
      </c>
      <c r="E74" s="260">
        <f t="shared" si="8"/>
        <v>-1</v>
      </c>
      <c r="F74" s="259">
        <f t="shared" si="9"/>
        <v>-1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23453</v>
      </c>
      <c r="D75" s="263">
        <f>+D66+D68</f>
        <v>25998</v>
      </c>
      <c r="E75" s="263">
        <f t="shared" si="8"/>
        <v>2545</v>
      </c>
      <c r="F75" s="264">
        <f t="shared" si="9"/>
        <v>0.10851490214471496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4603</v>
      </c>
      <c r="D76" s="263">
        <f>+D67+D69</f>
        <v>16367</v>
      </c>
      <c r="E76" s="263">
        <f t="shared" si="8"/>
        <v>11764</v>
      </c>
      <c r="F76" s="264">
        <f t="shared" si="9"/>
        <v>2.5557245274820768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157721</v>
      </c>
      <c r="D79" s="258">
        <v>0</v>
      </c>
      <c r="E79" s="258">
        <f t="shared" ref="E79:E89" si="10">D79-C79</f>
        <v>-157721</v>
      </c>
      <c r="F79" s="259">
        <f t="shared" ref="F79:F89" si="11">IF(C79=0,0,E79/C79)</f>
        <v>-1</v>
      </c>
    </row>
    <row r="80" spans="1:6" ht="20.25" customHeight="1" x14ac:dyDescent="0.3">
      <c r="A80" s="256">
        <v>2</v>
      </c>
      <c r="B80" s="257" t="s">
        <v>442</v>
      </c>
      <c r="C80" s="258">
        <v>120318</v>
      </c>
      <c r="D80" s="258">
        <v>0</v>
      </c>
      <c r="E80" s="258">
        <f t="shared" si="10"/>
        <v>-120318</v>
      </c>
      <c r="F80" s="259">
        <f t="shared" si="11"/>
        <v>-1</v>
      </c>
    </row>
    <row r="81" spans="1:6" ht="20.25" customHeight="1" x14ac:dyDescent="0.3">
      <c r="A81" s="256">
        <v>3</v>
      </c>
      <c r="B81" s="257" t="s">
        <v>443</v>
      </c>
      <c r="C81" s="258">
        <v>127298</v>
      </c>
      <c r="D81" s="258">
        <v>60716</v>
      </c>
      <c r="E81" s="258">
        <f t="shared" si="10"/>
        <v>-66582</v>
      </c>
      <c r="F81" s="259">
        <f t="shared" si="11"/>
        <v>-0.52304042482992663</v>
      </c>
    </row>
    <row r="82" spans="1:6" ht="20.25" customHeight="1" x14ac:dyDescent="0.3">
      <c r="A82" s="256">
        <v>4</v>
      </c>
      <c r="B82" s="257" t="s">
        <v>444</v>
      </c>
      <c r="C82" s="258">
        <v>39487</v>
      </c>
      <c r="D82" s="258">
        <v>9172</v>
      </c>
      <c r="E82" s="258">
        <f t="shared" si="10"/>
        <v>-30315</v>
      </c>
      <c r="F82" s="259">
        <f t="shared" si="11"/>
        <v>-0.76772102210854209</v>
      </c>
    </row>
    <row r="83" spans="1:6" ht="20.25" customHeight="1" x14ac:dyDescent="0.3">
      <c r="A83" s="256">
        <v>5</v>
      </c>
      <c r="B83" s="257" t="s">
        <v>381</v>
      </c>
      <c r="C83" s="260">
        <v>5</v>
      </c>
      <c r="D83" s="260">
        <v>0</v>
      </c>
      <c r="E83" s="260">
        <f t="shared" si="10"/>
        <v>-5</v>
      </c>
      <c r="F83" s="259">
        <f t="shared" si="11"/>
        <v>-1</v>
      </c>
    </row>
    <row r="84" spans="1:6" ht="20.25" customHeight="1" x14ac:dyDescent="0.3">
      <c r="A84" s="256">
        <v>6</v>
      </c>
      <c r="B84" s="257" t="s">
        <v>380</v>
      </c>
      <c r="C84" s="260">
        <v>32</v>
      </c>
      <c r="D84" s="260">
        <v>0</v>
      </c>
      <c r="E84" s="260">
        <f t="shared" si="10"/>
        <v>-32</v>
      </c>
      <c r="F84" s="259">
        <f t="shared" si="11"/>
        <v>-1</v>
      </c>
    </row>
    <row r="85" spans="1:6" ht="20.25" customHeight="1" x14ac:dyDescent="0.3">
      <c r="A85" s="256">
        <v>7</v>
      </c>
      <c r="B85" s="257" t="s">
        <v>445</v>
      </c>
      <c r="C85" s="260">
        <v>176</v>
      </c>
      <c r="D85" s="260">
        <v>52</v>
      </c>
      <c r="E85" s="260">
        <f t="shared" si="10"/>
        <v>-124</v>
      </c>
      <c r="F85" s="259">
        <f t="shared" si="11"/>
        <v>-0.70454545454545459</v>
      </c>
    </row>
    <row r="86" spans="1:6" ht="20.25" customHeight="1" x14ac:dyDescent="0.3">
      <c r="A86" s="256">
        <v>8</v>
      </c>
      <c r="B86" s="257" t="s">
        <v>446</v>
      </c>
      <c r="C86" s="260">
        <v>4</v>
      </c>
      <c r="D86" s="260">
        <v>6</v>
      </c>
      <c r="E86" s="260">
        <f t="shared" si="10"/>
        <v>2</v>
      </c>
      <c r="F86" s="259">
        <f t="shared" si="11"/>
        <v>0.5</v>
      </c>
    </row>
    <row r="87" spans="1:6" ht="20.25" customHeight="1" x14ac:dyDescent="0.3">
      <c r="A87" s="256">
        <v>9</v>
      </c>
      <c r="B87" s="257" t="s">
        <v>447</v>
      </c>
      <c r="C87" s="260">
        <v>3</v>
      </c>
      <c r="D87" s="260">
        <v>1</v>
      </c>
      <c r="E87" s="260">
        <f t="shared" si="10"/>
        <v>-2</v>
      </c>
      <c r="F87" s="259">
        <f t="shared" si="11"/>
        <v>-0.66666666666666663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285019</v>
      </c>
      <c r="D88" s="263">
        <f>+D79+D81</f>
        <v>60716</v>
      </c>
      <c r="E88" s="263">
        <f t="shared" si="10"/>
        <v>-224303</v>
      </c>
      <c r="F88" s="264">
        <f t="shared" si="11"/>
        <v>-0.78697560513509623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159805</v>
      </c>
      <c r="D89" s="263">
        <f>+D80+D82</f>
        <v>9172</v>
      </c>
      <c r="E89" s="263">
        <f t="shared" si="10"/>
        <v>-150633</v>
      </c>
      <c r="F89" s="264">
        <f t="shared" si="11"/>
        <v>-0.94260504990457117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71972538</v>
      </c>
      <c r="D92" s="258">
        <v>76546496</v>
      </c>
      <c r="E92" s="258">
        <f t="shared" ref="E92:E102" si="12">D92-C92</f>
        <v>4573958</v>
      </c>
      <c r="F92" s="259">
        <f t="shared" ref="F92:F102" si="13">IF(C92=0,0,E92/C92)</f>
        <v>6.3551434020570452E-2</v>
      </c>
    </row>
    <row r="93" spans="1:6" ht="20.25" customHeight="1" x14ac:dyDescent="0.3">
      <c r="A93" s="256">
        <v>2</v>
      </c>
      <c r="B93" s="257" t="s">
        <v>442</v>
      </c>
      <c r="C93" s="258">
        <v>19525472</v>
      </c>
      <c r="D93" s="258">
        <v>22615190</v>
      </c>
      <c r="E93" s="258">
        <f t="shared" si="12"/>
        <v>3089718</v>
      </c>
      <c r="F93" s="259">
        <f t="shared" si="13"/>
        <v>0.1582403744196299</v>
      </c>
    </row>
    <row r="94" spans="1:6" ht="20.25" customHeight="1" x14ac:dyDescent="0.3">
      <c r="A94" s="256">
        <v>3</v>
      </c>
      <c r="B94" s="257" t="s">
        <v>443</v>
      </c>
      <c r="C94" s="258">
        <v>21973589</v>
      </c>
      <c r="D94" s="258">
        <v>23417744</v>
      </c>
      <c r="E94" s="258">
        <f t="shared" si="12"/>
        <v>1444155</v>
      </c>
      <c r="F94" s="259">
        <f t="shared" si="13"/>
        <v>6.5722308722530487E-2</v>
      </c>
    </row>
    <row r="95" spans="1:6" ht="20.25" customHeight="1" x14ac:dyDescent="0.3">
      <c r="A95" s="256">
        <v>4</v>
      </c>
      <c r="B95" s="257" t="s">
        <v>444</v>
      </c>
      <c r="C95" s="258">
        <v>5692447</v>
      </c>
      <c r="D95" s="258">
        <v>5864409</v>
      </c>
      <c r="E95" s="258">
        <f t="shared" si="12"/>
        <v>171962</v>
      </c>
      <c r="F95" s="259">
        <f t="shared" si="13"/>
        <v>3.0208801241364214E-2</v>
      </c>
    </row>
    <row r="96" spans="1:6" ht="20.25" customHeight="1" x14ac:dyDescent="0.3">
      <c r="A96" s="256">
        <v>5</v>
      </c>
      <c r="B96" s="257" t="s">
        <v>381</v>
      </c>
      <c r="C96" s="260">
        <v>1771</v>
      </c>
      <c r="D96" s="260">
        <v>1746</v>
      </c>
      <c r="E96" s="260">
        <f t="shared" si="12"/>
        <v>-25</v>
      </c>
      <c r="F96" s="259">
        <f t="shared" si="13"/>
        <v>-1.4116318464144552E-2</v>
      </c>
    </row>
    <row r="97" spans="1:6" ht="20.25" customHeight="1" x14ac:dyDescent="0.3">
      <c r="A97" s="256">
        <v>6</v>
      </c>
      <c r="B97" s="257" t="s">
        <v>380</v>
      </c>
      <c r="C97" s="260">
        <v>10568</v>
      </c>
      <c r="D97" s="260">
        <v>10628</v>
      </c>
      <c r="E97" s="260">
        <f t="shared" si="12"/>
        <v>60</v>
      </c>
      <c r="F97" s="259">
        <f t="shared" si="13"/>
        <v>5.6775170325510981E-3</v>
      </c>
    </row>
    <row r="98" spans="1:6" ht="20.25" customHeight="1" x14ac:dyDescent="0.3">
      <c r="A98" s="256">
        <v>7</v>
      </c>
      <c r="B98" s="257" t="s">
        <v>445</v>
      </c>
      <c r="C98" s="260">
        <v>7950</v>
      </c>
      <c r="D98" s="260">
        <v>7985</v>
      </c>
      <c r="E98" s="260">
        <f t="shared" si="12"/>
        <v>35</v>
      </c>
      <c r="F98" s="259">
        <f t="shared" si="13"/>
        <v>4.4025157232704401E-3</v>
      </c>
    </row>
    <row r="99" spans="1:6" ht="20.25" customHeight="1" x14ac:dyDescent="0.3">
      <c r="A99" s="256">
        <v>8</v>
      </c>
      <c r="B99" s="257" t="s">
        <v>446</v>
      </c>
      <c r="C99" s="260">
        <v>1536</v>
      </c>
      <c r="D99" s="260">
        <v>1710</v>
      </c>
      <c r="E99" s="260">
        <f t="shared" si="12"/>
        <v>174</v>
      </c>
      <c r="F99" s="259">
        <f t="shared" si="13"/>
        <v>0.11328125</v>
      </c>
    </row>
    <row r="100" spans="1:6" ht="20.25" customHeight="1" x14ac:dyDescent="0.3">
      <c r="A100" s="256">
        <v>9</v>
      </c>
      <c r="B100" s="257" t="s">
        <v>447</v>
      </c>
      <c r="C100" s="260">
        <v>1466</v>
      </c>
      <c r="D100" s="260">
        <v>1461</v>
      </c>
      <c r="E100" s="260">
        <f t="shared" si="12"/>
        <v>-5</v>
      </c>
      <c r="F100" s="259">
        <f t="shared" si="13"/>
        <v>-3.4106412005457027E-3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93946127</v>
      </c>
      <c r="D101" s="263">
        <f>+D92+D94</f>
        <v>99964240</v>
      </c>
      <c r="E101" s="263">
        <f t="shared" si="12"/>
        <v>6018113</v>
      </c>
      <c r="F101" s="264">
        <f t="shared" si="13"/>
        <v>6.4059192136787083E-2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25217919</v>
      </c>
      <c r="D102" s="263">
        <f>+D93+D95</f>
        <v>28479599</v>
      </c>
      <c r="E102" s="263">
        <f t="shared" si="12"/>
        <v>3261680</v>
      </c>
      <c r="F102" s="264">
        <f t="shared" si="13"/>
        <v>0.12933977621230364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7223874</v>
      </c>
      <c r="D105" s="258">
        <v>10669449</v>
      </c>
      <c r="E105" s="258">
        <f t="shared" ref="E105:E115" si="14">D105-C105</f>
        <v>3445575</v>
      </c>
      <c r="F105" s="259">
        <f t="shared" ref="F105:F115" si="15">IF(C105=0,0,E105/C105)</f>
        <v>0.47697052855573063</v>
      </c>
    </row>
    <row r="106" spans="1:6" ht="20.25" customHeight="1" x14ac:dyDescent="0.3">
      <c r="A106" s="256">
        <v>2</v>
      </c>
      <c r="B106" s="257" t="s">
        <v>442</v>
      </c>
      <c r="C106" s="258">
        <v>2008022</v>
      </c>
      <c r="D106" s="258">
        <v>2629807</v>
      </c>
      <c r="E106" s="258">
        <f t="shared" si="14"/>
        <v>621785</v>
      </c>
      <c r="F106" s="259">
        <f t="shared" si="15"/>
        <v>0.30965049187708105</v>
      </c>
    </row>
    <row r="107" spans="1:6" ht="20.25" customHeight="1" x14ac:dyDescent="0.3">
      <c r="A107" s="256">
        <v>3</v>
      </c>
      <c r="B107" s="257" t="s">
        <v>443</v>
      </c>
      <c r="C107" s="258">
        <v>3049737</v>
      </c>
      <c r="D107" s="258">
        <v>4263098</v>
      </c>
      <c r="E107" s="258">
        <f t="shared" si="14"/>
        <v>1213361</v>
      </c>
      <c r="F107" s="259">
        <f t="shared" si="15"/>
        <v>0.39785758575247637</v>
      </c>
    </row>
    <row r="108" spans="1:6" ht="20.25" customHeight="1" x14ac:dyDescent="0.3">
      <c r="A108" s="256">
        <v>4</v>
      </c>
      <c r="B108" s="257" t="s">
        <v>444</v>
      </c>
      <c r="C108" s="258">
        <v>525873</v>
      </c>
      <c r="D108" s="258">
        <v>845549</v>
      </c>
      <c r="E108" s="258">
        <f t="shared" si="14"/>
        <v>319676</v>
      </c>
      <c r="F108" s="259">
        <f t="shared" si="15"/>
        <v>0.60789582275568432</v>
      </c>
    </row>
    <row r="109" spans="1:6" ht="20.25" customHeight="1" x14ac:dyDescent="0.3">
      <c r="A109" s="256">
        <v>5</v>
      </c>
      <c r="B109" s="257" t="s">
        <v>381</v>
      </c>
      <c r="C109" s="260">
        <v>194</v>
      </c>
      <c r="D109" s="260">
        <v>235</v>
      </c>
      <c r="E109" s="260">
        <f t="shared" si="14"/>
        <v>41</v>
      </c>
      <c r="F109" s="259">
        <f t="shared" si="15"/>
        <v>0.21134020618556701</v>
      </c>
    </row>
    <row r="110" spans="1:6" ht="20.25" customHeight="1" x14ac:dyDescent="0.3">
      <c r="A110" s="256">
        <v>6</v>
      </c>
      <c r="B110" s="257" t="s">
        <v>380</v>
      </c>
      <c r="C110" s="260">
        <v>1113</v>
      </c>
      <c r="D110" s="260">
        <v>1516</v>
      </c>
      <c r="E110" s="260">
        <f t="shared" si="14"/>
        <v>403</v>
      </c>
      <c r="F110" s="259">
        <f t="shared" si="15"/>
        <v>0.36208445642407905</v>
      </c>
    </row>
    <row r="111" spans="1:6" ht="20.25" customHeight="1" x14ac:dyDescent="0.3">
      <c r="A111" s="256">
        <v>7</v>
      </c>
      <c r="B111" s="257" t="s">
        <v>445</v>
      </c>
      <c r="C111" s="260">
        <v>1045</v>
      </c>
      <c r="D111" s="260">
        <v>1392</v>
      </c>
      <c r="E111" s="260">
        <f t="shared" si="14"/>
        <v>347</v>
      </c>
      <c r="F111" s="259">
        <f t="shared" si="15"/>
        <v>0.33205741626794261</v>
      </c>
    </row>
    <row r="112" spans="1:6" ht="20.25" customHeight="1" x14ac:dyDescent="0.3">
      <c r="A112" s="256">
        <v>8</v>
      </c>
      <c r="B112" s="257" t="s">
        <v>446</v>
      </c>
      <c r="C112" s="260">
        <v>401</v>
      </c>
      <c r="D112" s="260">
        <v>524</v>
      </c>
      <c r="E112" s="260">
        <f t="shared" si="14"/>
        <v>123</v>
      </c>
      <c r="F112" s="259">
        <f t="shared" si="15"/>
        <v>0.30673316708229426</v>
      </c>
    </row>
    <row r="113" spans="1:6" ht="20.25" customHeight="1" x14ac:dyDescent="0.3">
      <c r="A113" s="256">
        <v>9</v>
      </c>
      <c r="B113" s="257" t="s">
        <v>447</v>
      </c>
      <c r="C113" s="260">
        <v>169</v>
      </c>
      <c r="D113" s="260">
        <v>200</v>
      </c>
      <c r="E113" s="260">
        <f t="shared" si="14"/>
        <v>31</v>
      </c>
      <c r="F113" s="259">
        <f t="shared" si="15"/>
        <v>0.18343195266272189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10273611</v>
      </c>
      <c r="D114" s="263">
        <f>+D105+D107</f>
        <v>14932547</v>
      </c>
      <c r="E114" s="263">
        <f t="shared" si="14"/>
        <v>4658936</v>
      </c>
      <c r="F114" s="264">
        <f t="shared" si="15"/>
        <v>0.45348573155047434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2533895</v>
      </c>
      <c r="D115" s="263">
        <f>+D106+D108</f>
        <v>3475356</v>
      </c>
      <c r="E115" s="263">
        <f t="shared" si="14"/>
        <v>941461</v>
      </c>
      <c r="F115" s="264">
        <f t="shared" si="15"/>
        <v>0.37154696623182887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15971639</v>
      </c>
      <c r="D118" s="258">
        <v>30701978</v>
      </c>
      <c r="E118" s="258">
        <f t="shared" ref="E118:E128" si="16">D118-C118</f>
        <v>14730339</v>
      </c>
      <c r="F118" s="259">
        <f t="shared" ref="F118:F128" si="17">IF(C118=0,0,E118/C118)</f>
        <v>0.92228098819413584</v>
      </c>
    </row>
    <row r="119" spans="1:6" ht="20.25" customHeight="1" x14ac:dyDescent="0.3">
      <c r="A119" s="256">
        <v>2</v>
      </c>
      <c r="B119" s="257" t="s">
        <v>442</v>
      </c>
      <c r="C119" s="258">
        <v>3897533</v>
      </c>
      <c r="D119" s="258">
        <v>7946578</v>
      </c>
      <c r="E119" s="258">
        <f t="shared" si="16"/>
        <v>4049045</v>
      </c>
      <c r="F119" s="259">
        <f t="shared" si="17"/>
        <v>1.0388738209528952</v>
      </c>
    </row>
    <row r="120" spans="1:6" ht="20.25" customHeight="1" x14ac:dyDescent="0.3">
      <c r="A120" s="256">
        <v>3</v>
      </c>
      <c r="B120" s="257" t="s">
        <v>443</v>
      </c>
      <c r="C120" s="258">
        <v>4274397</v>
      </c>
      <c r="D120" s="258">
        <v>9564170</v>
      </c>
      <c r="E120" s="258">
        <f t="shared" si="16"/>
        <v>5289773</v>
      </c>
      <c r="F120" s="259">
        <f t="shared" si="17"/>
        <v>1.2375483606225626</v>
      </c>
    </row>
    <row r="121" spans="1:6" ht="20.25" customHeight="1" x14ac:dyDescent="0.3">
      <c r="A121" s="256">
        <v>4</v>
      </c>
      <c r="B121" s="257" t="s">
        <v>444</v>
      </c>
      <c r="C121" s="258">
        <v>1066080</v>
      </c>
      <c r="D121" s="258">
        <v>2277666</v>
      </c>
      <c r="E121" s="258">
        <f t="shared" si="16"/>
        <v>1211586</v>
      </c>
      <c r="F121" s="259">
        <f t="shared" si="17"/>
        <v>1.1364869428185502</v>
      </c>
    </row>
    <row r="122" spans="1:6" ht="20.25" customHeight="1" x14ac:dyDescent="0.3">
      <c r="A122" s="256">
        <v>5</v>
      </c>
      <c r="B122" s="257" t="s">
        <v>381</v>
      </c>
      <c r="C122" s="260">
        <v>390</v>
      </c>
      <c r="D122" s="260">
        <v>643</v>
      </c>
      <c r="E122" s="260">
        <f t="shared" si="16"/>
        <v>253</v>
      </c>
      <c r="F122" s="259">
        <f t="shared" si="17"/>
        <v>0.64871794871794874</v>
      </c>
    </row>
    <row r="123" spans="1:6" ht="20.25" customHeight="1" x14ac:dyDescent="0.3">
      <c r="A123" s="256">
        <v>6</v>
      </c>
      <c r="B123" s="257" t="s">
        <v>380</v>
      </c>
      <c r="C123" s="260">
        <v>2362</v>
      </c>
      <c r="D123" s="260">
        <v>4252</v>
      </c>
      <c r="E123" s="260">
        <f t="shared" si="16"/>
        <v>1890</v>
      </c>
      <c r="F123" s="259">
        <f t="shared" si="17"/>
        <v>0.80016934801016093</v>
      </c>
    </row>
    <row r="124" spans="1:6" ht="20.25" customHeight="1" x14ac:dyDescent="0.3">
      <c r="A124" s="256">
        <v>7</v>
      </c>
      <c r="B124" s="257" t="s">
        <v>445</v>
      </c>
      <c r="C124" s="260">
        <v>1850</v>
      </c>
      <c r="D124" s="260">
        <v>3578</v>
      </c>
      <c r="E124" s="260">
        <f t="shared" si="16"/>
        <v>1728</v>
      </c>
      <c r="F124" s="259">
        <f t="shared" si="17"/>
        <v>0.93405405405405406</v>
      </c>
    </row>
    <row r="125" spans="1:6" ht="20.25" customHeight="1" x14ac:dyDescent="0.3">
      <c r="A125" s="256">
        <v>8</v>
      </c>
      <c r="B125" s="257" t="s">
        <v>446</v>
      </c>
      <c r="C125" s="260">
        <v>301</v>
      </c>
      <c r="D125" s="260">
        <v>573</v>
      </c>
      <c r="E125" s="260">
        <f t="shared" si="16"/>
        <v>272</v>
      </c>
      <c r="F125" s="259">
        <f t="shared" si="17"/>
        <v>0.90365448504983392</v>
      </c>
    </row>
    <row r="126" spans="1:6" ht="20.25" customHeight="1" x14ac:dyDescent="0.3">
      <c r="A126" s="256">
        <v>9</v>
      </c>
      <c r="B126" s="257" t="s">
        <v>447</v>
      </c>
      <c r="C126" s="260">
        <v>322</v>
      </c>
      <c r="D126" s="260">
        <v>507</v>
      </c>
      <c r="E126" s="260">
        <f t="shared" si="16"/>
        <v>185</v>
      </c>
      <c r="F126" s="259">
        <f t="shared" si="17"/>
        <v>0.57453416149068326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20246036</v>
      </c>
      <c r="D127" s="263">
        <f>+D118+D120</f>
        <v>40266148</v>
      </c>
      <c r="E127" s="263">
        <f t="shared" si="16"/>
        <v>20020112</v>
      </c>
      <c r="F127" s="264">
        <f t="shared" si="17"/>
        <v>0.98884107486522299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4963613</v>
      </c>
      <c r="D128" s="263">
        <f>+D119+D121</f>
        <v>10224244</v>
      </c>
      <c r="E128" s="263">
        <f t="shared" si="16"/>
        <v>5260631</v>
      </c>
      <c r="F128" s="264">
        <f t="shared" si="17"/>
        <v>1.059839072868896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981963</v>
      </c>
      <c r="D131" s="258">
        <v>780887</v>
      </c>
      <c r="E131" s="258">
        <f t="shared" ref="E131:E141" si="18">D131-C131</f>
        <v>-201076</v>
      </c>
      <c r="F131" s="259">
        <f t="shared" ref="F131:F141" si="19">IF(C131=0,0,E131/C131)</f>
        <v>-0.2047694261392741</v>
      </c>
    </row>
    <row r="132" spans="1:6" ht="20.25" customHeight="1" x14ac:dyDescent="0.3">
      <c r="A132" s="256">
        <v>2</v>
      </c>
      <c r="B132" s="257" t="s">
        <v>442</v>
      </c>
      <c r="C132" s="258">
        <v>361826</v>
      </c>
      <c r="D132" s="258">
        <v>188828</v>
      </c>
      <c r="E132" s="258">
        <f t="shared" si="18"/>
        <v>-172998</v>
      </c>
      <c r="F132" s="259">
        <f t="shared" si="19"/>
        <v>-0.4781248445385351</v>
      </c>
    </row>
    <row r="133" spans="1:6" ht="20.25" customHeight="1" x14ac:dyDescent="0.3">
      <c r="A133" s="256">
        <v>3</v>
      </c>
      <c r="B133" s="257" t="s">
        <v>443</v>
      </c>
      <c r="C133" s="258">
        <v>307647</v>
      </c>
      <c r="D133" s="258">
        <v>346727</v>
      </c>
      <c r="E133" s="258">
        <f t="shared" si="18"/>
        <v>39080</v>
      </c>
      <c r="F133" s="259">
        <f t="shared" si="19"/>
        <v>0.12702870497680782</v>
      </c>
    </row>
    <row r="134" spans="1:6" ht="20.25" customHeight="1" x14ac:dyDescent="0.3">
      <c r="A134" s="256">
        <v>4</v>
      </c>
      <c r="B134" s="257" t="s">
        <v>444</v>
      </c>
      <c r="C134" s="258">
        <v>64506</v>
      </c>
      <c r="D134" s="258">
        <v>83358</v>
      </c>
      <c r="E134" s="258">
        <f t="shared" si="18"/>
        <v>18852</v>
      </c>
      <c r="F134" s="259">
        <f t="shared" si="19"/>
        <v>0.29225188354571668</v>
      </c>
    </row>
    <row r="135" spans="1:6" ht="20.25" customHeight="1" x14ac:dyDescent="0.3">
      <c r="A135" s="256">
        <v>5</v>
      </c>
      <c r="B135" s="257" t="s">
        <v>381</v>
      </c>
      <c r="C135" s="260">
        <v>29</v>
      </c>
      <c r="D135" s="260">
        <v>17</v>
      </c>
      <c r="E135" s="260">
        <f t="shared" si="18"/>
        <v>-12</v>
      </c>
      <c r="F135" s="259">
        <f t="shared" si="19"/>
        <v>-0.41379310344827586</v>
      </c>
    </row>
    <row r="136" spans="1:6" ht="20.25" customHeight="1" x14ac:dyDescent="0.3">
      <c r="A136" s="256">
        <v>6</v>
      </c>
      <c r="B136" s="257" t="s">
        <v>380</v>
      </c>
      <c r="C136" s="260">
        <v>147</v>
      </c>
      <c r="D136" s="260">
        <v>116</v>
      </c>
      <c r="E136" s="260">
        <f t="shared" si="18"/>
        <v>-31</v>
      </c>
      <c r="F136" s="259">
        <f t="shared" si="19"/>
        <v>-0.21088435374149661</v>
      </c>
    </row>
    <row r="137" spans="1:6" ht="20.25" customHeight="1" x14ac:dyDescent="0.3">
      <c r="A137" s="256">
        <v>7</v>
      </c>
      <c r="B137" s="257" t="s">
        <v>445</v>
      </c>
      <c r="C137" s="260">
        <v>106</v>
      </c>
      <c r="D137" s="260">
        <v>106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27</v>
      </c>
      <c r="D138" s="260">
        <v>35</v>
      </c>
      <c r="E138" s="260">
        <f t="shared" si="18"/>
        <v>8</v>
      </c>
      <c r="F138" s="259">
        <f t="shared" si="19"/>
        <v>0.29629629629629628</v>
      </c>
    </row>
    <row r="139" spans="1:6" ht="20.25" customHeight="1" x14ac:dyDescent="0.3">
      <c r="A139" s="256">
        <v>9</v>
      </c>
      <c r="B139" s="257" t="s">
        <v>447</v>
      </c>
      <c r="C139" s="260">
        <v>25</v>
      </c>
      <c r="D139" s="260">
        <v>17</v>
      </c>
      <c r="E139" s="260">
        <f t="shared" si="18"/>
        <v>-8</v>
      </c>
      <c r="F139" s="259">
        <f t="shared" si="19"/>
        <v>-0.32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1289610</v>
      </c>
      <c r="D140" s="263">
        <f>+D131+D133</f>
        <v>1127614</v>
      </c>
      <c r="E140" s="263">
        <f t="shared" si="18"/>
        <v>-161996</v>
      </c>
      <c r="F140" s="264">
        <f t="shared" si="19"/>
        <v>-0.12561627158598335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426332</v>
      </c>
      <c r="D141" s="263">
        <f>+D132+D134</f>
        <v>272186</v>
      </c>
      <c r="E141" s="263">
        <f t="shared" si="18"/>
        <v>-154146</v>
      </c>
      <c r="F141" s="264">
        <f t="shared" si="19"/>
        <v>-0.36156328870457766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1854561</v>
      </c>
      <c r="D183" s="258">
        <v>1024199</v>
      </c>
      <c r="E183" s="258">
        <f t="shared" ref="E183:E193" si="26">D183-C183</f>
        <v>-830362</v>
      </c>
      <c r="F183" s="259">
        <f t="shared" ref="F183:F193" si="27">IF(C183=0,0,E183/C183)</f>
        <v>-0.44774046256769123</v>
      </c>
    </row>
    <row r="184" spans="1:6" ht="20.25" customHeight="1" x14ac:dyDescent="0.3">
      <c r="A184" s="256">
        <v>2</v>
      </c>
      <c r="B184" s="257" t="s">
        <v>442</v>
      </c>
      <c r="C184" s="258">
        <v>537808</v>
      </c>
      <c r="D184" s="258">
        <v>300399</v>
      </c>
      <c r="E184" s="258">
        <f t="shared" si="26"/>
        <v>-237409</v>
      </c>
      <c r="F184" s="259">
        <f t="shared" si="27"/>
        <v>-0.44143820843126169</v>
      </c>
    </row>
    <row r="185" spans="1:6" ht="20.25" customHeight="1" x14ac:dyDescent="0.3">
      <c r="A185" s="256">
        <v>3</v>
      </c>
      <c r="B185" s="257" t="s">
        <v>443</v>
      </c>
      <c r="C185" s="258">
        <v>438041</v>
      </c>
      <c r="D185" s="258">
        <v>239969</v>
      </c>
      <c r="E185" s="258">
        <f t="shared" si="26"/>
        <v>-198072</v>
      </c>
      <c r="F185" s="259">
        <f t="shared" si="27"/>
        <v>-0.45217685102536065</v>
      </c>
    </row>
    <row r="186" spans="1:6" ht="20.25" customHeight="1" x14ac:dyDescent="0.3">
      <c r="A186" s="256">
        <v>4</v>
      </c>
      <c r="B186" s="257" t="s">
        <v>444</v>
      </c>
      <c r="C186" s="258">
        <v>152520</v>
      </c>
      <c r="D186" s="258">
        <v>42334</v>
      </c>
      <c r="E186" s="258">
        <f t="shared" si="26"/>
        <v>-110186</v>
      </c>
      <c r="F186" s="259">
        <f t="shared" si="27"/>
        <v>-0.72243640178337265</v>
      </c>
    </row>
    <row r="187" spans="1:6" ht="20.25" customHeight="1" x14ac:dyDescent="0.3">
      <c r="A187" s="256">
        <v>5</v>
      </c>
      <c r="B187" s="257" t="s">
        <v>381</v>
      </c>
      <c r="C187" s="260">
        <v>54</v>
      </c>
      <c r="D187" s="260">
        <v>22</v>
      </c>
      <c r="E187" s="260">
        <f t="shared" si="26"/>
        <v>-32</v>
      </c>
      <c r="F187" s="259">
        <f t="shared" si="27"/>
        <v>-0.59259259259259256</v>
      </c>
    </row>
    <row r="188" spans="1:6" ht="20.25" customHeight="1" x14ac:dyDescent="0.3">
      <c r="A188" s="256">
        <v>6</v>
      </c>
      <c r="B188" s="257" t="s">
        <v>380</v>
      </c>
      <c r="C188" s="260">
        <v>325</v>
      </c>
      <c r="D188" s="260">
        <v>152</v>
      </c>
      <c r="E188" s="260">
        <f t="shared" si="26"/>
        <v>-173</v>
      </c>
      <c r="F188" s="259">
        <f t="shared" si="27"/>
        <v>-0.53230769230769226</v>
      </c>
    </row>
    <row r="189" spans="1:6" ht="20.25" customHeight="1" x14ac:dyDescent="0.3">
      <c r="A189" s="256">
        <v>7</v>
      </c>
      <c r="B189" s="257" t="s">
        <v>445</v>
      </c>
      <c r="C189" s="260">
        <v>177</v>
      </c>
      <c r="D189" s="260">
        <v>81</v>
      </c>
      <c r="E189" s="260">
        <f t="shared" si="26"/>
        <v>-96</v>
      </c>
      <c r="F189" s="259">
        <f t="shared" si="27"/>
        <v>-0.5423728813559322</v>
      </c>
    </row>
    <row r="190" spans="1:6" ht="20.25" customHeight="1" x14ac:dyDescent="0.3">
      <c r="A190" s="256">
        <v>8</v>
      </c>
      <c r="B190" s="257" t="s">
        <v>446</v>
      </c>
      <c r="C190" s="260">
        <v>49</v>
      </c>
      <c r="D190" s="260">
        <v>17</v>
      </c>
      <c r="E190" s="260">
        <f t="shared" si="26"/>
        <v>-32</v>
      </c>
      <c r="F190" s="259">
        <f t="shared" si="27"/>
        <v>-0.65306122448979587</v>
      </c>
    </row>
    <row r="191" spans="1:6" ht="20.25" customHeight="1" x14ac:dyDescent="0.3">
      <c r="A191" s="256">
        <v>9</v>
      </c>
      <c r="B191" s="257" t="s">
        <v>447</v>
      </c>
      <c r="C191" s="260">
        <v>50</v>
      </c>
      <c r="D191" s="260">
        <v>20</v>
      </c>
      <c r="E191" s="260">
        <f t="shared" si="26"/>
        <v>-30</v>
      </c>
      <c r="F191" s="259">
        <f t="shared" si="27"/>
        <v>-0.6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2292602</v>
      </c>
      <c r="D192" s="263">
        <f>+D183+D185</f>
        <v>1264168</v>
      </c>
      <c r="E192" s="263">
        <f t="shared" si="26"/>
        <v>-1028434</v>
      </c>
      <c r="F192" s="264">
        <f t="shared" si="27"/>
        <v>-0.4485881108016132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690328</v>
      </c>
      <c r="D193" s="263">
        <f>+D184+D186</f>
        <v>342733</v>
      </c>
      <c r="E193" s="263">
        <f t="shared" si="26"/>
        <v>-347595</v>
      </c>
      <c r="F193" s="264">
        <f t="shared" si="27"/>
        <v>-0.50352151441054105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126113193</v>
      </c>
      <c r="D198" s="263">
        <f t="shared" si="28"/>
        <v>143995290</v>
      </c>
      <c r="E198" s="263">
        <f t="shared" ref="E198:E208" si="29">D198-C198</f>
        <v>17882097</v>
      </c>
      <c r="F198" s="273">
        <f t="shared" ref="F198:F208" si="30">IF(C198=0,0,E198/C198)</f>
        <v>0.1417940230884488</v>
      </c>
    </row>
    <row r="199" spans="1:9" ht="20.25" customHeight="1" x14ac:dyDescent="0.3">
      <c r="A199" s="271"/>
      <c r="B199" s="272" t="s">
        <v>466</v>
      </c>
      <c r="C199" s="263">
        <f t="shared" si="28"/>
        <v>35061844</v>
      </c>
      <c r="D199" s="263">
        <f t="shared" si="28"/>
        <v>41197548</v>
      </c>
      <c r="E199" s="263">
        <f t="shared" si="29"/>
        <v>6135704</v>
      </c>
      <c r="F199" s="273">
        <f t="shared" si="30"/>
        <v>0.17499661455341595</v>
      </c>
    </row>
    <row r="200" spans="1:9" ht="20.25" customHeight="1" x14ac:dyDescent="0.3">
      <c r="A200" s="271"/>
      <c r="B200" s="272" t="s">
        <v>467</v>
      </c>
      <c r="C200" s="263">
        <f t="shared" si="28"/>
        <v>40060910</v>
      </c>
      <c r="D200" s="263">
        <f t="shared" si="28"/>
        <v>46902652</v>
      </c>
      <c r="E200" s="263">
        <f t="shared" si="29"/>
        <v>6841742</v>
      </c>
      <c r="F200" s="273">
        <f t="shared" si="30"/>
        <v>0.17078348944145302</v>
      </c>
    </row>
    <row r="201" spans="1:9" ht="20.25" customHeight="1" x14ac:dyDescent="0.3">
      <c r="A201" s="271"/>
      <c r="B201" s="272" t="s">
        <v>468</v>
      </c>
      <c r="C201" s="263">
        <f t="shared" si="28"/>
        <v>10693375</v>
      </c>
      <c r="D201" s="263">
        <f t="shared" si="28"/>
        <v>11576518</v>
      </c>
      <c r="E201" s="263">
        <f t="shared" si="29"/>
        <v>883143</v>
      </c>
      <c r="F201" s="273">
        <f t="shared" si="30"/>
        <v>8.2587863981203311E-2</v>
      </c>
    </row>
    <row r="202" spans="1:9" ht="20.25" customHeight="1" x14ac:dyDescent="0.3">
      <c r="A202" s="271"/>
      <c r="B202" s="272" t="s">
        <v>138</v>
      </c>
      <c r="C202" s="274">
        <f t="shared" si="28"/>
        <v>3153</v>
      </c>
      <c r="D202" s="274">
        <f t="shared" si="28"/>
        <v>3175</v>
      </c>
      <c r="E202" s="274">
        <f t="shared" si="29"/>
        <v>22</v>
      </c>
      <c r="F202" s="273">
        <f t="shared" si="30"/>
        <v>6.9774817633999368E-3</v>
      </c>
    </row>
    <row r="203" spans="1:9" ht="20.25" customHeight="1" x14ac:dyDescent="0.3">
      <c r="A203" s="271"/>
      <c r="B203" s="272" t="s">
        <v>140</v>
      </c>
      <c r="C203" s="274">
        <f t="shared" si="28"/>
        <v>18472</v>
      </c>
      <c r="D203" s="274">
        <f t="shared" si="28"/>
        <v>19742</v>
      </c>
      <c r="E203" s="274">
        <f t="shared" si="29"/>
        <v>1270</v>
      </c>
      <c r="F203" s="273">
        <f t="shared" si="30"/>
        <v>6.8752706799480298E-2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15106</v>
      </c>
      <c r="D204" s="274">
        <f t="shared" si="28"/>
        <v>16566</v>
      </c>
      <c r="E204" s="274">
        <f t="shared" si="29"/>
        <v>1460</v>
      </c>
      <c r="F204" s="273">
        <f t="shared" si="30"/>
        <v>9.6650337614193033E-2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2917</v>
      </c>
      <c r="D205" s="274">
        <f t="shared" si="28"/>
        <v>3386</v>
      </c>
      <c r="E205" s="274">
        <f t="shared" si="29"/>
        <v>469</v>
      </c>
      <c r="F205" s="273">
        <f t="shared" si="30"/>
        <v>0.16078162495714776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2597</v>
      </c>
      <c r="D206" s="274">
        <f t="shared" si="28"/>
        <v>2581</v>
      </c>
      <c r="E206" s="274">
        <f t="shared" si="29"/>
        <v>-16</v>
      </c>
      <c r="F206" s="273">
        <f t="shared" si="30"/>
        <v>-6.1609549480169425E-3</v>
      </c>
    </row>
    <row r="207" spans="1:9" ht="20.25" customHeight="1" x14ac:dyDescent="0.3">
      <c r="A207" s="271"/>
      <c r="B207" s="262" t="s">
        <v>471</v>
      </c>
      <c r="C207" s="263">
        <f>+C198+C200</f>
        <v>166174103</v>
      </c>
      <c r="D207" s="263">
        <f>+D198+D200</f>
        <v>190897942</v>
      </c>
      <c r="E207" s="263">
        <f t="shared" si="29"/>
        <v>24723839</v>
      </c>
      <c r="F207" s="273">
        <f t="shared" si="30"/>
        <v>0.14878274384306439</v>
      </c>
    </row>
    <row r="208" spans="1:9" ht="20.25" customHeight="1" x14ac:dyDescent="0.3">
      <c r="A208" s="271"/>
      <c r="B208" s="262" t="s">
        <v>472</v>
      </c>
      <c r="C208" s="263">
        <f>+C199+C201</f>
        <v>45755219</v>
      </c>
      <c r="D208" s="263">
        <f>+D199+D201</f>
        <v>52774066</v>
      </c>
      <c r="E208" s="263">
        <f t="shared" si="29"/>
        <v>7018847</v>
      </c>
      <c r="F208" s="273">
        <f t="shared" si="30"/>
        <v>0.15339992143847023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FILING&amp;RSAINT VINCENT`S MEDICAL CENTER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sqref="A1:F1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2037538</v>
      </c>
      <c r="D26" s="258">
        <v>0</v>
      </c>
      <c r="E26" s="258">
        <f t="shared" ref="E26:E36" si="2">D26-C26</f>
        <v>-2037538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378850</v>
      </c>
      <c r="D27" s="258">
        <v>0</v>
      </c>
      <c r="E27" s="258">
        <f t="shared" si="2"/>
        <v>-378850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4719796</v>
      </c>
      <c r="D28" s="258">
        <v>0</v>
      </c>
      <c r="E28" s="258">
        <f t="shared" si="2"/>
        <v>-4719796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857973</v>
      </c>
      <c r="D29" s="258">
        <v>0</v>
      </c>
      <c r="E29" s="258">
        <f t="shared" si="2"/>
        <v>-857973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148</v>
      </c>
      <c r="D30" s="260">
        <v>0</v>
      </c>
      <c r="E30" s="260">
        <f t="shared" si="2"/>
        <v>-148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422</v>
      </c>
      <c r="D31" s="260">
        <v>0</v>
      </c>
      <c r="E31" s="260">
        <f t="shared" si="2"/>
        <v>-422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3116</v>
      </c>
      <c r="D32" s="260">
        <v>0</v>
      </c>
      <c r="E32" s="260">
        <f t="shared" si="2"/>
        <v>-3116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2010</v>
      </c>
      <c r="D33" s="260">
        <v>0</v>
      </c>
      <c r="E33" s="260">
        <f t="shared" si="2"/>
        <v>-2010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56</v>
      </c>
      <c r="D34" s="260">
        <v>0</v>
      </c>
      <c r="E34" s="260">
        <f t="shared" si="2"/>
        <v>-56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6757334</v>
      </c>
      <c r="D35" s="263">
        <f>+D26+D28</f>
        <v>0</v>
      </c>
      <c r="E35" s="263">
        <f t="shared" si="2"/>
        <v>-6757334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1236823</v>
      </c>
      <c r="D36" s="263">
        <f>+D27+D29</f>
        <v>0</v>
      </c>
      <c r="E36" s="263">
        <f t="shared" si="2"/>
        <v>-1236823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4107984</v>
      </c>
      <c r="D50" s="258">
        <v>0</v>
      </c>
      <c r="E50" s="258">
        <f t="shared" ref="E50:E60" si="6">D50-C50</f>
        <v>-4107984</v>
      </c>
      <c r="F50" s="259">
        <f t="shared" ref="F50:F60" si="7">IF(C50=0,0,E50/C50)</f>
        <v>-1</v>
      </c>
    </row>
    <row r="51" spans="1:6" ht="20.25" customHeight="1" x14ac:dyDescent="0.3">
      <c r="A51" s="256">
        <v>2</v>
      </c>
      <c r="B51" s="257" t="s">
        <v>442</v>
      </c>
      <c r="C51" s="258">
        <v>1254250</v>
      </c>
      <c r="D51" s="258">
        <v>0</v>
      </c>
      <c r="E51" s="258">
        <f t="shared" si="6"/>
        <v>-1254250</v>
      </c>
      <c r="F51" s="259">
        <f t="shared" si="7"/>
        <v>-1</v>
      </c>
    </row>
    <row r="52" spans="1:6" ht="20.25" customHeight="1" x14ac:dyDescent="0.3">
      <c r="A52" s="256">
        <v>3</v>
      </c>
      <c r="B52" s="257" t="s">
        <v>443</v>
      </c>
      <c r="C52" s="258">
        <v>242688</v>
      </c>
      <c r="D52" s="258">
        <v>0</v>
      </c>
      <c r="E52" s="258">
        <f t="shared" si="6"/>
        <v>-242688</v>
      </c>
      <c r="F52" s="259">
        <f t="shared" si="7"/>
        <v>-1</v>
      </c>
    </row>
    <row r="53" spans="1:6" ht="20.25" customHeight="1" x14ac:dyDescent="0.3">
      <c r="A53" s="256">
        <v>4</v>
      </c>
      <c r="B53" s="257" t="s">
        <v>444</v>
      </c>
      <c r="C53" s="258">
        <v>155337</v>
      </c>
      <c r="D53" s="258">
        <v>0</v>
      </c>
      <c r="E53" s="258">
        <f t="shared" si="6"/>
        <v>-155337</v>
      </c>
      <c r="F53" s="259">
        <f t="shared" si="7"/>
        <v>-1</v>
      </c>
    </row>
    <row r="54" spans="1:6" ht="20.25" customHeight="1" x14ac:dyDescent="0.3">
      <c r="A54" s="256">
        <v>5</v>
      </c>
      <c r="B54" s="257" t="s">
        <v>381</v>
      </c>
      <c r="C54" s="260">
        <v>126</v>
      </c>
      <c r="D54" s="260">
        <v>0</v>
      </c>
      <c r="E54" s="260">
        <f t="shared" si="6"/>
        <v>-126</v>
      </c>
      <c r="F54" s="259">
        <f t="shared" si="7"/>
        <v>-1</v>
      </c>
    </row>
    <row r="55" spans="1:6" ht="20.25" customHeight="1" x14ac:dyDescent="0.3">
      <c r="A55" s="256">
        <v>6</v>
      </c>
      <c r="B55" s="257" t="s">
        <v>380</v>
      </c>
      <c r="C55" s="260">
        <v>1328</v>
      </c>
      <c r="D55" s="260">
        <v>0</v>
      </c>
      <c r="E55" s="260">
        <f t="shared" si="6"/>
        <v>-1328</v>
      </c>
      <c r="F55" s="259">
        <f t="shared" si="7"/>
        <v>-1</v>
      </c>
    </row>
    <row r="56" spans="1:6" ht="20.25" customHeight="1" x14ac:dyDescent="0.3">
      <c r="A56" s="256">
        <v>7</v>
      </c>
      <c r="B56" s="257" t="s">
        <v>445</v>
      </c>
      <c r="C56" s="260">
        <v>390</v>
      </c>
      <c r="D56" s="260">
        <v>0</v>
      </c>
      <c r="E56" s="260">
        <f t="shared" si="6"/>
        <v>-390</v>
      </c>
      <c r="F56" s="259">
        <f t="shared" si="7"/>
        <v>-1</v>
      </c>
    </row>
    <row r="57" spans="1:6" ht="20.25" customHeight="1" x14ac:dyDescent="0.3">
      <c r="A57" s="256">
        <v>8</v>
      </c>
      <c r="B57" s="257" t="s">
        <v>446</v>
      </c>
      <c r="C57" s="260">
        <v>7</v>
      </c>
      <c r="D57" s="260">
        <v>0</v>
      </c>
      <c r="E57" s="260">
        <f t="shared" si="6"/>
        <v>-7</v>
      </c>
      <c r="F57" s="259">
        <f t="shared" si="7"/>
        <v>-1</v>
      </c>
    </row>
    <row r="58" spans="1:6" ht="20.25" customHeight="1" x14ac:dyDescent="0.3">
      <c r="A58" s="256">
        <v>9</v>
      </c>
      <c r="B58" s="257" t="s">
        <v>447</v>
      </c>
      <c r="C58" s="260">
        <v>57</v>
      </c>
      <c r="D58" s="260">
        <v>0</v>
      </c>
      <c r="E58" s="260">
        <f t="shared" si="6"/>
        <v>-57</v>
      </c>
      <c r="F58" s="259">
        <f t="shared" si="7"/>
        <v>-1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4350672</v>
      </c>
      <c r="D59" s="263">
        <f>+D50+D52</f>
        <v>0</v>
      </c>
      <c r="E59" s="263">
        <f t="shared" si="6"/>
        <v>-4350672</v>
      </c>
      <c r="F59" s="264">
        <f t="shared" si="7"/>
        <v>-1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1409587</v>
      </c>
      <c r="D60" s="263">
        <f>+D51+D53</f>
        <v>0</v>
      </c>
      <c r="E60" s="263">
        <f t="shared" si="6"/>
        <v>-1409587</v>
      </c>
      <c r="F60" s="264">
        <f t="shared" si="7"/>
        <v>-1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511485</v>
      </c>
      <c r="D86" s="258">
        <v>0</v>
      </c>
      <c r="E86" s="258">
        <f t="shared" ref="E86:E96" si="12">D86-C86</f>
        <v>-511485</v>
      </c>
      <c r="F86" s="259">
        <f t="shared" ref="F86:F96" si="13">IF(C86=0,0,E86/C86)</f>
        <v>-1</v>
      </c>
    </row>
    <row r="87" spans="1:6" ht="20.25" customHeight="1" x14ac:dyDescent="0.3">
      <c r="A87" s="256">
        <v>2</v>
      </c>
      <c r="B87" s="257" t="s">
        <v>442</v>
      </c>
      <c r="C87" s="258">
        <v>92063</v>
      </c>
      <c r="D87" s="258">
        <v>0</v>
      </c>
      <c r="E87" s="258">
        <f t="shared" si="12"/>
        <v>-92063</v>
      </c>
      <c r="F87" s="259">
        <f t="shared" si="13"/>
        <v>-1</v>
      </c>
    </row>
    <row r="88" spans="1:6" ht="20.25" customHeight="1" x14ac:dyDescent="0.3">
      <c r="A88" s="256">
        <v>3</v>
      </c>
      <c r="B88" s="257" t="s">
        <v>443</v>
      </c>
      <c r="C88" s="258">
        <v>1347926</v>
      </c>
      <c r="D88" s="258">
        <v>0</v>
      </c>
      <c r="E88" s="258">
        <f t="shared" si="12"/>
        <v>-1347926</v>
      </c>
      <c r="F88" s="259">
        <f t="shared" si="13"/>
        <v>-1</v>
      </c>
    </row>
    <row r="89" spans="1:6" ht="20.25" customHeight="1" x14ac:dyDescent="0.3">
      <c r="A89" s="256">
        <v>4</v>
      </c>
      <c r="B89" s="257" t="s">
        <v>444</v>
      </c>
      <c r="C89" s="258">
        <v>199977</v>
      </c>
      <c r="D89" s="258">
        <v>0</v>
      </c>
      <c r="E89" s="258">
        <f t="shared" si="12"/>
        <v>-199977</v>
      </c>
      <c r="F89" s="259">
        <f t="shared" si="13"/>
        <v>-1</v>
      </c>
    </row>
    <row r="90" spans="1:6" ht="20.25" customHeight="1" x14ac:dyDescent="0.3">
      <c r="A90" s="256">
        <v>5</v>
      </c>
      <c r="B90" s="257" t="s">
        <v>381</v>
      </c>
      <c r="C90" s="260">
        <v>52</v>
      </c>
      <c r="D90" s="260">
        <v>0</v>
      </c>
      <c r="E90" s="260">
        <f t="shared" si="12"/>
        <v>-52</v>
      </c>
      <c r="F90" s="259">
        <f t="shared" si="13"/>
        <v>-1</v>
      </c>
    </row>
    <row r="91" spans="1:6" ht="20.25" customHeight="1" x14ac:dyDescent="0.3">
      <c r="A91" s="256">
        <v>6</v>
      </c>
      <c r="B91" s="257" t="s">
        <v>380</v>
      </c>
      <c r="C91" s="260">
        <v>123</v>
      </c>
      <c r="D91" s="260">
        <v>0</v>
      </c>
      <c r="E91" s="260">
        <f t="shared" si="12"/>
        <v>-123</v>
      </c>
      <c r="F91" s="259">
        <f t="shared" si="13"/>
        <v>-1</v>
      </c>
    </row>
    <row r="92" spans="1:6" ht="20.25" customHeight="1" x14ac:dyDescent="0.3">
      <c r="A92" s="256">
        <v>7</v>
      </c>
      <c r="B92" s="257" t="s">
        <v>445</v>
      </c>
      <c r="C92" s="260">
        <v>823</v>
      </c>
      <c r="D92" s="260">
        <v>0</v>
      </c>
      <c r="E92" s="260">
        <f t="shared" si="12"/>
        <v>-823</v>
      </c>
      <c r="F92" s="259">
        <f t="shared" si="13"/>
        <v>-1</v>
      </c>
    </row>
    <row r="93" spans="1:6" ht="20.25" customHeight="1" x14ac:dyDescent="0.3">
      <c r="A93" s="256">
        <v>8</v>
      </c>
      <c r="B93" s="257" t="s">
        <v>446</v>
      </c>
      <c r="C93" s="260">
        <v>623</v>
      </c>
      <c r="D93" s="260">
        <v>0</v>
      </c>
      <c r="E93" s="260">
        <f t="shared" si="12"/>
        <v>-623</v>
      </c>
      <c r="F93" s="259">
        <f t="shared" si="13"/>
        <v>-1</v>
      </c>
    </row>
    <row r="94" spans="1:6" ht="20.25" customHeight="1" x14ac:dyDescent="0.3">
      <c r="A94" s="256">
        <v>9</v>
      </c>
      <c r="B94" s="257" t="s">
        <v>447</v>
      </c>
      <c r="C94" s="260">
        <v>11</v>
      </c>
      <c r="D94" s="260">
        <v>0</v>
      </c>
      <c r="E94" s="260">
        <f t="shared" si="12"/>
        <v>-11</v>
      </c>
      <c r="F94" s="259">
        <f t="shared" si="13"/>
        <v>-1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1859411</v>
      </c>
      <c r="D95" s="263">
        <f>+D86+D88</f>
        <v>0</v>
      </c>
      <c r="E95" s="263">
        <f t="shared" si="12"/>
        <v>-1859411</v>
      </c>
      <c r="F95" s="264">
        <f t="shared" si="13"/>
        <v>-1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292040</v>
      </c>
      <c r="D96" s="263">
        <f>+D87+D89</f>
        <v>0</v>
      </c>
      <c r="E96" s="263">
        <f t="shared" si="12"/>
        <v>-292040</v>
      </c>
      <c r="F96" s="264">
        <f t="shared" si="13"/>
        <v>-1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743232</v>
      </c>
      <c r="D98" s="258">
        <v>0</v>
      </c>
      <c r="E98" s="258">
        <f t="shared" ref="E98:E108" si="14">D98-C98</f>
        <v>-743232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149321</v>
      </c>
      <c r="D99" s="258">
        <v>0</v>
      </c>
      <c r="E99" s="258">
        <f t="shared" si="14"/>
        <v>-149321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2012559</v>
      </c>
      <c r="D100" s="258">
        <v>0</v>
      </c>
      <c r="E100" s="258">
        <f t="shared" si="14"/>
        <v>-2012559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341560</v>
      </c>
      <c r="D101" s="258">
        <v>0</v>
      </c>
      <c r="E101" s="258">
        <f t="shared" si="14"/>
        <v>-341560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73</v>
      </c>
      <c r="D102" s="260">
        <v>0</v>
      </c>
      <c r="E102" s="260">
        <f t="shared" si="14"/>
        <v>-73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209</v>
      </c>
      <c r="D103" s="260">
        <v>0</v>
      </c>
      <c r="E103" s="260">
        <f t="shared" si="14"/>
        <v>-209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1240</v>
      </c>
      <c r="D104" s="260">
        <v>0</v>
      </c>
      <c r="E104" s="260">
        <f t="shared" si="14"/>
        <v>-1240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808</v>
      </c>
      <c r="D105" s="260">
        <v>0</v>
      </c>
      <c r="E105" s="260">
        <f t="shared" si="14"/>
        <v>-808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24</v>
      </c>
      <c r="D106" s="260">
        <v>0</v>
      </c>
      <c r="E106" s="260">
        <f t="shared" si="14"/>
        <v>-24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2755791</v>
      </c>
      <c r="D107" s="263">
        <f>+D98+D100</f>
        <v>0</v>
      </c>
      <c r="E107" s="263">
        <f t="shared" si="14"/>
        <v>-2755791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490881</v>
      </c>
      <c r="D108" s="263">
        <f>+D99+D101</f>
        <v>0</v>
      </c>
      <c r="E108" s="263">
        <f t="shared" si="14"/>
        <v>-490881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7400239</v>
      </c>
      <c r="D112" s="263">
        <f t="shared" si="16"/>
        <v>0</v>
      </c>
      <c r="E112" s="263">
        <f t="shared" ref="E112:E122" si="17">D112-C112</f>
        <v>-7400239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1874484</v>
      </c>
      <c r="D113" s="263">
        <f t="shared" si="16"/>
        <v>0</v>
      </c>
      <c r="E113" s="263">
        <f t="shared" si="17"/>
        <v>-1874484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8322969</v>
      </c>
      <c r="D114" s="263">
        <f t="shared" si="16"/>
        <v>0</v>
      </c>
      <c r="E114" s="263">
        <f t="shared" si="17"/>
        <v>-8322969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1554847</v>
      </c>
      <c r="D115" s="263">
        <f t="shared" si="16"/>
        <v>0</v>
      </c>
      <c r="E115" s="263">
        <f t="shared" si="17"/>
        <v>-1554847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399</v>
      </c>
      <c r="D116" s="287">
        <f t="shared" si="16"/>
        <v>0</v>
      </c>
      <c r="E116" s="287">
        <f t="shared" si="17"/>
        <v>-399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2082</v>
      </c>
      <c r="D117" s="287">
        <f t="shared" si="16"/>
        <v>0</v>
      </c>
      <c r="E117" s="287">
        <f t="shared" si="17"/>
        <v>-2082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5569</v>
      </c>
      <c r="D118" s="287">
        <f t="shared" si="16"/>
        <v>0</v>
      </c>
      <c r="E118" s="287">
        <f t="shared" si="17"/>
        <v>-5569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3448</v>
      </c>
      <c r="D119" s="287">
        <f t="shared" si="16"/>
        <v>0</v>
      </c>
      <c r="E119" s="287">
        <f t="shared" si="17"/>
        <v>-3448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148</v>
      </c>
      <c r="D120" s="287">
        <f t="shared" si="16"/>
        <v>0</v>
      </c>
      <c r="E120" s="287">
        <f t="shared" si="17"/>
        <v>-148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15723208</v>
      </c>
      <c r="D121" s="263">
        <f>+D112+D114</f>
        <v>0</v>
      </c>
      <c r="E121" s="263">
        <f t="shared" si="17"/>
        <v>-15723208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3429331</v>
      </c>
      <c r="D122" s="263">
        <f>+D113+D115</f>
        <v>0</v>
      </c>
      <c r="E122" s="263">
        <f t="shared" si="17"/>
        <v>-3429331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FILING&amp;RSAINT VINCENT`S MEDICAL CENTER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7416000</v>
      </c>
      <c r="D13" s="22">
        <v>5001000</v>
      </c>
      <c r="E13" s="22">
        <f t="shared" ref="E13:E22" si="0">D13-C13</f>
        <v>-2415000</v>
      </c>
      <c r="F13" s="306">
        <f t="shared" ref="F13:F22" si="1">IF(C13=0,0,E13/C13)</f>
        <v>-0.32564724919093851</v>
      </c>
    </row>
    <row r="14" spans="1:8" ht="24" customHeight="1" x14ac:dyDescent="0.2">
      <c r="A14" s="304">
        <v>2</v>
      </c>
      <c r="B14" s="305" t="s">
        <v>17</v>
      </c>
      <c r="C14" s="22">
        <v>20274000</v>
      </c>
      <c r="D14" s="22">
        <v>0</v>
      </c>
      <c r="E14" s="22">
        <f t="shared" si="0"/>
        <v>-20274000</v>
      </c>
      <c r="F14" s="306">
        <f t="shared" si="1"/>
        <v>-1</v>
      </c>
    </row>
    <row r="15" spans="1:8" ht="35.1" customHeight="1" x14ac:dyDescent="0.2">
      <c r="A15" s="304">
        <v>3</v>
      </c>
      <c r="B15" s="305" t="s">
        <v>18</v>
      </c>
      <c r="C15" s="22">
        <v>54446000</v>
      </c>
      <c r="D15" s="22">
        <v>56043000</v>
      </c>
      <c r="E15" s="22">
        <f t="shared" si="0"/>
        <v>1597000</v>
      </c>
      <c r="F15" s="306">
        <f t="shared" si="1"/>
        <v>2.9331815009367081E-2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4075000</v>
      </c>
      <c r="D19" s="22">
        <v>4877000</v>
      </c>
      <c r="E19" s="22">
        <f t="shared" si="0"/>
        <v>802000</v>
      </c>
      <c r="F19" s="306">
        <f t="shared" si="1"/>
        <v>0.19680981595092026</v>
      </c>
    </row>
    <row r="20" spans="1:11" ht="24" customHeight="1" x14ac:dyDescent="0.2">
      <c r="A20" s="304">
        <v>8</v>
      </c>
      <c r="B20" s="305" t="s">
        <v>23</v>
      </c>
      <c r="C20" s="22">
        <v>3302000</v>
      </c>
      <c r="D20" s="22">
        <v>3244000</v>
      </c>
      <c r="E20" s="22">
        <f t="shared" si="0"/>
        <v>-58000</v>
      </c>
      <c r="F20" s="306">
        <f t="shared" si="1"/>
        <v>-1.7565112053301031E-2</v>
      </c>
    </row>
    <row r="21" spans="1:11" ht="24" customHeight="1" x14ac:dyDescent="0.2">
      <c r="A21" s="304">
        <v>9</v>
      </c>
      <c r="B21" s="305" t="s">
        <v>24</v>
      </c>
      <c r="C21" s="22">
        <v>5650000</v>
      </c>
      <c r="D21" s="22">
        <v>11601000</v>
      </c>
      <c r="E21" s="22">
        <f t="shared" si="0"/>
        <v>5951000</v>
      </c>
      <c r="F21" s="306">
        <f t="shared" si="1"/>
        <v>1.0532743362831858</v>
      </c>
    </row>
    <row r="22" spans="1:11" ht="24" customHeight="1" x14ac:dyDescent="0.25">
      <c r="A22" s="307"/>
      <c r="B22" s="308" t="s">
        <v>25</v>
      </c>
      <c r="C22" s="309">
        <f>SUM(C13:C21)</f>
        <v>95163000</v>
      </c>
      <c r="D22" s="309">
        <f>SUM(D13:D21)</f>
        <v>80766000</v>
      </c>
      <c r="E22" s="309">
        <f t="shared" si="0"/>
        <v>-14397000</v>
      </c>
      <c r="F22" s="310">
        <f t="shared" si="1"/>
        <v>-0.15128779042274834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0</v>
      </c>
      <c r="D25" s="22">
        <v>0</v>
      </c>
      <c r="E25" s="22">
        <f>D25-C25</f>
        <v>0</v>
      </c>
      <c r="F25" s="306">
        <f>IF(C25=0,0,E25/C25)</f>
        <v>0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39566000</v>
      </c>
      <c r="D28" s="22">
        <v>41679000</v>
      </c>
      <c r="E28" s="22">
        <f>D28-C28</f>
        <v>2113000</v>
      </c>
      <c r="F28" s="306">
        <f>IF(C28=0,0,E28/C28)</f>
        <v>5.3404438153970578E-2</v>
      </c>
    </row>
    <row r="29" spans="1:11" ht="35.1" customHeight="1" x14ac:dyDescent="0.25">
      <c r="A29" s="307"/>
      <c r="B29" s="308" t="s">
        <v>32</v>
      </c>
      <c r="C29" s="309">
        <f>SUM(C25:C28)</f>
        <v>39566000</v>
      </c>
      <c r="D29" s="309">
        <f>SUM(D25:D28)</f>
        <v>41679000</v>
      </c>
      <c r="E29" s="309">
        <f>D29-C29</f>
        <v>2113000</v>
      </c>
      <c r="F29" s="310">
        <f>IF(C29=0,0,E29/C29)</f>
        <v>5.3404438153970578E-2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341371000</v>
      </c>
      <c r="D32" s="22">
        <v>375348000</v>
      </c>
      <c r="E32" s="22">
        <f>D32-C32</f>
        <v>33977000</v>
      </c>
      <c r="F32" s="306">
        <f>IF(C32=0,0,E32/C32)</f>
        <v>9.9531008785163355E-2</v>
      </c>
    </row>
    <row r="33" spans="1:8" ht="24" customHeight="1" x14ac:dyDescent="0.2">
      <c r="A33" s="304">
        <v>7</v>
      </c>
      <c r="B33" s="305" t="s">
        <v>35</v>
      </c>
      <c r="C33" s="22">
        <v>19727000</v>
      </c>
      <c r="D33" s="22">
        <v>24235000</v>
      </c>
      <c r="E33" s="22">
        <f>D33-C33</f>
        <v>4508000</v>
      </c>
      <c r="F33" s="306">
        <f>IF(C33=0,0,E33/C33)</f>
        <v>0.22851928828509149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464333000</v>
      </c>
      <c r="D36" s="22">
        <v>470677000</v>
      </c>
      <c r="E36" s="22">
        <f>D36-C36</f>
        <v>6344000</v>
      </c>
      <c r="F36" s="306">
        <f>IF(C36=0,0,E36/C36)</f>
        <v>1.3662608515871153E-2</v>
      </c>
    </row>
    <row r="37" spans="1:8" ht="24" customHeight="1" x14ac:dyDescent="0.2">
      <c r="A37" s="304">
        <v>2</v>
      </c>
      <c r="B37" s="305" t="s">
        <v>39</v>
      </c>
      <c r="C37" s="22">
        <v>234011000</v>
      </c>
      <c r="D37" s="22">
        <v>253094000</v>
      </c>
      <c r="E37" s="22">
        <f>D37-C37</f>
        <v>19083000</v>
      </c>
      <c r="F37" s="22">
        <f>IF(C37=0,0,E37/C37)</f>
        <v>8.154744862420997E-2</v>
      </c>
    </row>
    <row r="38" spans="1:8" ht="24" customHeight="1" x14ac:dyDescent="0.25">
      <c r="A38" s="307"/>
      <c r="B38" s="308" t="s">
        <v>40</v>
      </c>
      <c r="C38" s="309">
        <f>C36-C37</f>
        <v>230322000</v>
      </c>
      <c r="D38" s="309">
        <f>D36-D37</f>
        <v>217583000</v>
      </c>
      <c r="E38" s="309">
        <f>D38-C38</f>
        <v>-12739000</v>
      </c>
      <c r="F38" s="310">
        <f>IF(C38=0,0,E38/C38)</f>
        <v>-5.5309523189274144E-2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388000</v>
      </c>
      <c r="D40" s="22">
        <v>3172000</v>
      </c>
      <c r="E40" s="22">
        <f>D40-C40</f>
        <v>2784000</v>
      </c>
      <c r="F40" s="306">
        <f>IF(C40=0,0,E40/C40)</f>
        <v>7.1752577319587632</v>
      </c>
    </row>
    <row r="41" spans="1:8" ht="24" customHeight="1" x14ac:dyDescent="0.25">
      <c r="A41" s="307"/>
      <c r="B41" s="308" t="s">
        <v>42</v>
      </c>
      <c r="C41" s="309">
        <f>+C38+C40</f>
        <v>230710000</v>
      </c>
      <c r="D41" s="309">
        <f>+D38+D40</f>
        <v>220755000</v>
      </c>
      <c r="E41" s="309">
        <f>D41-C41</f>
        <v>-9955000</v>
      </c>
      <c r="F41" s="310">
        <f>IF(C41=0,0,E41/C41)</f>
        <v>-4.3149408348142688E-2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726537000</v>
      </c>
      <c r="D43" s="309">
        <f>D22+D29+D31+D32+D33+D41</f>
        <v>742783000</v>
      </c>
      <c r="E43" s="309">
        <f>D43-C43</f>
        <v>16246000</v>
      </c>
      <c r="F43" s="310">
        <f>IF(C43=0,0,E43/C43)</f>
        <v>2.2360870815939175E-2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34319000</v>
      </c>
      <c r="D49" s="22">
        <v>33261000</v>
      </c>
      <c r="E49" s="22">
        <f t="shared" ref="E49:E56" si="2">D49-C49</f>
        <v>-1058000</v>
      </c>
      <c r="F49" s="306">
        <f t="shared" ref="F49:F56" si="3">IF(C49=0,0,E49/C49)</f>
        <v>-3.0828404091028293E-2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30300000</v>
      </c>
      <c r="D50" s="22">
        <v>27155000</v>
      </c>
      <c r="E50" s="22">
        <f t="shared" si="2"/>
        <v>-3145000</v>
      </c>
      <c r="F50" s="306">
        <f t="shared" si="3"/>
        <v>-0.1037953795379538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12000000</v>
      </c>
      <c r="D51" s="22">
        <v>5681000</v>
      </c>
      <c r="E51" s="22">
        <f t="shared" si="2"/>
        <v>-6319000</v>
      </c>
      <c r="F51" s="306">
        <f t="shared" si="3"/>
        <v>-0.52658333333333329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1436000</v>
      </c>
      <c r="D53" s="22">
        <v>737000</v>
      </c>
      <c r="E53" s="22">
        <f t="shared" si="2"/>
        <v>-699000</v>
      </c>
      <c r="F53" s="306">
        <f t="shared" si="3"/>
        <v>-0.48676880222841223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1075000</v>
      </c>
      <c r="D54" s="22">
        <v>1075000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461000</v>
      </c>
      <c r="D55" s="22">
        <v>340000</v>
      </c>
      <c r="E55" s="22">
        <f t="shared" si="2"/>
        <v>-121000</v>
      </c>
      <c r="F55" s="306">
        <f t="shared" si="3"/>
        <v>-0.26247288503253796</v>
      </c>
    </row>
    <row r="56" spans="1:6" ht="24" customHeight="1" x14ac:dyDescent="0.25">
      <c r="A56" s="307"/>
      <c r="B56" s="308" t="s">
        <v>54</v>
      </c>
      <c r="C56" s="309">
        <f>SUM(C49:C55)</f>
        <v>79591000</v>
      </c>
      <c r="D56" s="309">
        <f>SUM(D49:D55)</f>
        <v>68249000</v>
      </c>
      <c r="E56" s="309">
        <f t="shared" si="2"/>
        <v>-11342000</v>
      </c>
      <c r="F56" s="310">
        <f t="shared" si="3"/>
        <v>-0.14250354939628854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57226000</v>
      </c>
      <c r="D59" s="22">
        <v>57489000</v>
      </c>
      <c r="E59" s="22">
        <f>D59-C59</f>
        <v>263000</v>
      </c>
      <c r="F59" s="306">
        <f>IF(C59=0,0,E59/C59)</f>
        <v>4.5958130919512112E-3</v>
      </c>
    </row>
    <row r="60" spans="1:6" ht="24" customHeight="1" x14ac:dyDescent="0.2">
      <c r="A60" s="304">
        <v>2</v>
      </c>
      <c r="B60" s="305" t="s">
        <v>57</v>
      </c>
      <c r="C60" s="22">
        <v>1075000</v>
      </c>
      <c r="D60" s="22">
        <v>0</v>
      </c>
      <c r="E60" s="22">
        <f>D60-C60</f>
        <v>-1075000</v>
      </c>
      <c r="F60" s="306">
        <f>IF(C60=0,0,E60/C60)</f>
        <v>-1</v>
      </c>
    </row>
    <row r="61" spans="1:6" ht="24" customHeight="1" x14ac:dyDescent="0.25">
      <c r="A61" s="307"/>
      <c r="B61" s="308" t="s">
        <v>58</v>
      </c>
      <c r="C61" s="309">
        <f>SUM(C59:C60)</f>
        <v>58301000</v>
      </c>
      <c r="D61" s="309">
        <f>SUM(D59:D60)</f>
        <v>57489000</v>
      </c>
      <c r="E61" s="309">
        <f>D61-C61</f>
        <v>-812000</v>
      </c>
      <c r="F61" s="310">
        <f>IF(C61=0,0,E61/C61)</f>
        <v>-1.3927719936193204E-2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13433000</v>
      </c>
      <c r="D63" s="22">
        <v>8531000</v>
      </c>
      <c r="E63" s="22">
        <f>D63-C63</f>
        <v>-4902000</v>
      </c>
      <c r="F63" s="306">
        <f>IF(C63=0,0,E63/C63)</f>
        <v>-0.36492220650636492</v>
      </c>
    </row>
    <row r="64" spans="1:6" ht="24" customHeight="1" x14ac:dyDescent="0.2">
      <c r="A64" s="304">
        <v>4</v>
      </c>
      <c r="B64" s="305" t="s">
        <v>60</v>
      </c>
      <c r="C64" s="22">
        <v>10886000</v>
      </c>
      <c r="D64" s="22">
        <v>12391000</v>
      </c>
      <c r="E64" s="22">
        <f>D64-C64</f>
        <v>1505000</v>
      </c>
      <c r="F64" s="306">
        <f>IF(C64=0,0,E64/C64)</f>
        <v>0.13825096454161309</v>
      </c>
    </row>
    <row r="65" spans="1:6" ht="24" customHeight="1" x14ac:dyDescent="0.25">
      <c r="A65" s="307"/>
      <c r="B65" s="308" t="s">
        <v>61</v>
      </c>
      <c r="C65" s="309">
        <f>SUM(C61:C64)</f>
        <v>82620000</v>
      </c>
      <c r="D65" s="309">
        <f>SUM(D61:D64)</f>
        <v>78411000</v>
      </c>
      <c r="E65" s="309">
        <f>D65-C65</f>
        <v>-4209000</v>
      </c>
      <c r="F65" s="310">
        <f>IF(C65=0,0,E65/C65)</f>
        <v>-5.0944081336238199E-2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537187000</v>
      </c>
      <c r="D70" s="22">
        <v>569055000</v>
      </c>
      <c r="E70" s="22">
        <f>D70-C70</f>
        <v>31868000</v>
      </c>
      <c r="F70" s="306">
        <f>IF(C70=0,0,E70/C70)</f>
        <v>5.9323848119928441E-2</v>
      </c>
    </row>
    <row r="71" spans="1:6" ht="24" customHeight="1" x14ac:dyDescent="0.2">
      <c r="A71" s="304">
        <v>2</v>
      </c>
      <c r="B71" s="305" t="s">
        <v>65</v>
      </c>
      <c r="C71" s="22">
        <v>15159000</v>
      </c>
      <c r="D71" s="22">
        <v>14844000</v>
      </c>
      <c r="E71" s="22">
        <f>D71-C71</f>
        <v>-315000</v>
      </c>
      <c r="F71" s="306">
        <f>IF(C71=0,0,E71/C71)</f>
        <v>-2.0779734811003363E-2</v>
      </c>
    </row>
    <row r="72" spans="1:6" ht="24" customHeight="1" x14ac:dyDescent="0.2">
      <c r="A72" s="304">
        <v>3</v>
      </c>
      <c r="B72" s="305" t="s">
        <v>66</v>
      </c>
      <c r="C72" s="22">
        <v>11980000</v>
      </c>
      <c r="D72" s="22">
        <v>12224000</v>
      </c>
      <c r="E72" s="22">
        <f>D72-C72</f>
        <v>244000</v>
      </c>
      <c r="F72" s="306">
        <f>IF(C72=0,0,E72/C72)</f>
        <v>2.0367278797996661E-2</v>
      </c>
    </row>
    <row r="73" spans="1:6" ht="24" customHeight="1" x14ac:dyDescent="0.25">
      <c r="A73" s="304"/>
      <c r="B73" s="308" t="s">
        <v>67</v>
      </c>
      <c r="C73" s="309">
        <f>SUM(C70:C72)</f>
        <v>564326000</v>
      </c>
      <c r="D73" s="309">
        <f>SUM(D70:D72)</f>
        <v>596123000</v>
      </c>
      <c r="E73" s="309">
        <f>D73-C73</f>
        <v>31797000</v>
      </c>
      <c r="F73" s="310">
        <f>IF(C73=0,0,E73/C73)</f>
        <v>5.6345091312468322E-2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726537000</v>
      </c>
      <c r="D75" s="309">
        <f>D56+D65+D67+D73</f>
        <v>742783000</v>
      </c>
      <c r="E75" s="309">
        <f>D75-C75</f>
        <v>16246000</v>
      </c>
      <c r="F75" s="310">
        <f>IF(C75=0,0,E75/C75)</f>
        <v>2.2360870815939175E-2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FILING&amp;RSAINT VINCENT`S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1178334000</v>
      </c>
      <c r="D11" s="76">
        <v>1280211000</v>
      </c>
      <c r="E11" s="76">
        <f t="shared" ref="E11:E20" si="0">D11-C11</f>
        <v>101877000</v>
      </c>
      <c r="F11" s="77">
        <f t="shared" ref="F11:F20" si="1">IF(C11=0,0,E11/C11)</f>
        <v>8.6458508368594977E-2</v>
      </c>
    </row>
    <row r="12" spans="1:7" ht="23.1" customHeight="1" x14ac:dyDescent="0.2">
      <c r="A12" s="74">
        <v>2</v>
      </c>
      <c r="B12" s="75" t="s">
        <v>72</v>
      </c>
      <c r="C12" s="76">
        <v>720908000</v>
      </c>
      <c r="D12" s="76">
        <v>804184000</v>
      </c>
      <c r="E12" s="76">
        <f t="shared" si="0"/>
        <v>83276000</v>
      </c>
      <c r="F12" s="77">
        <f t="shared" si="1"/>
        <v>0.11551543331465319</v>
      </c>
    </row>
    <row r="13" spans="1:7" ht="23.1" customHeight="1" x14ac:dyDescent="0.2">
      <c r="A13" s="74">
        <v>3</v>
      </c>
      <c r="B13" s="75" t="s">
        <v>73</v>
      </c>
      <c r="C13" s="76">
        <v>15330000</v>
      </c>
      <c r="D13" s="76">
        <v>14991000</v>
      </c>
      <c r="E13" s="76">
        <f t="shared" si="0"/>
        <v>-339000</v>
      </c>
      <c r="F13" s="77">
        <f t="shared" si="1"/>
        <v>-2.2113502935420744E-2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442096000</v>
      </c>
      <c r="D15" s="79">
        <f>D11-D12-D13-D14</f>
        <v>461036000</v>
      </c>
      <c r="E15" s="79">
        <f t="shared" si="0"/>
        <v>18940000</v>
      </c>
      <c r="F15" s="80">
        <f t="shared" si="1"/>
        <v>4.2841373819260974E-2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27679000</v>
      </c>
      <c r="E16" s="76">
        <f t="shared" si="0"/>
        <v>27679000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442096000</v>
      </c>
      <c r="D17" s="79">
        <f>D15-D16</f>
        <v>433357000</v>
      </c>
      <c r="E17" s="79">
        <f t="shared" si="0"/>
        <v>-8739000</v>
      </c>
      <c r="F17" s="80">
        <f t="shared" si="1"/>
        <v>-1.9767199884188048E-2</v>
      </c>
    </row>
    <row r="18" spans="1:7" ht="23.1" customHeight="1" x14ac:dyDescent="0.2">
      <c r="A18" s="74">
        <v>6</v>
      </c>
      <c r="B18" s="75" t="s">
        <v>78</v>
      </c>
      <c r="C18" s="76">
        <v>42644000</v>
      </c>
      <c r="D18" s="76">
        <v>39575000</v>
      </c>
      <c r="E18" s="76">
        <f t="shared" si="0"/>
        <v>-3069000</v>
      </c>
      <c r="F18" s="77">
        <f t="shared" si="1"/>
        <v>-7.1967920457743181E-2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1378000</v>
      </c>
      <c r="D19" s="76">
        <v>1685000</v>
      </c>
      <c r="E19" s="76">
        <f t="shared" si="0"/>
        <v>307000</v>
      </c>
      <c r="F19" s="77">
        <f t="shared" si="1"/>
        <v>0.22278664731494921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486118000</v>
      </c>
      <c r="D20" s="79">
        <f>SUM(D17:D19)</f>
        <v>474617000</v>
      </c>
      <c r="E20" s="79">
        <f t="shared" si="0"/>
        <v>-11501000</v>
      </c>
      <c r="F20" s="80">
        <f t="shared" si="1"/>
        <v>-2.3658864720088539E-2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199782000</v>
      </c>
      <c r="D23" s="76">
        <v>207998000</v>
      </c>
      <c r="E23" s="76">
        <f t="shared" ref="E23:E32" si="2">D23-C23</f>
        <v>8216000</v>
      </c>
      <c r="F23" s="77">
        <f t="shared" ref="F23:F32" si="3">IF(C23=0,0,E23/C23)</f>
        <v>4.1124826060405843E-2</v>
      </c>
    </row>
    <row r="24" spans="1:7" ht="23.1" customHeight="1" x14ac:dyDescent="0.2">
      <c r="A24" s="74">
        <v>2</v>
      </c>
      <c r="B24" s="75" t="s">
        <v>83</v>
      </c>
      <c r="C24" s="76">
        <v>25038000</v>
      </c>
      <c r="D24" s="76">
        <v>55142000</v>
      </c>
      <c r="E24" s="76">
        <f t="shared" si="2"/>
        <v>30104000</v>
      </c>
      <c r="F24" s="77">
        <f t="shared" si="3"/>
        <v>1.2023324546689034</v>
      </c>
    </row>
    <row r="25" spans="1:7" ht="23.1" customHeight="1" x14ac:dyDescent="0.2">
      <c r="A25" s="74">
        <v>3</v>
      </c>
      <c r="B25" s="75" t="s">
        <v>84</v>
      </c>
      <c r="C25" s="76">
        <v>5114000</v>
      </c>
      <c r="D25" s="76">
        <v>13282000</v>
      </c>
      <c r="E25" s="76">
        <f t="shared" si="2"/>
        <v>8168000</v>
      </c>
      <c r="F25" s="77">
        <f t="shared" si="3"/>
        <v>1.5971842002346499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44049000</v>
      </c>
      <c r="D26" s="76">
        <v>43043000</v>
      </c>
      <c r="E26" s="76">
        <f t="shared" si="2"/>
        <v>-1006000</v>
      </c>
      <c r="F26" s="77">
        <f t="shared" si="3"/>
        <v>-2.283820291039524E-2</v>
      </c>
    </row>
    <row r="27" spans="1:7" ht="23.1" customHeight="1" x14ac:dyDescent="0.2">
      <c r="A27" s="74">
        <v>5</v>
      </c>
      <c r="B27" s="75" t="s">
        <v>86</v>
      </c>
      <c r="C27" s="76">
        <v>24176000</v>
      </c>
      <c r="D27" s="76">
        <v>26417000</v>
      </c>
      <c r="E27" s="76">
        <f t="shared" si="2"/>
        <v>2241000</v>
      </c>
      <c r="F27" s="77">
        <f t="shared" si="3"/>
        <v>9.2695234943745861E-2</v>
      </c>
    </row>
    <row r="28" spans="1:7" ht="23.1" customHeight="1" x14ac:dyDescent="0.2">
      <c r="A28" s="74">
        <v>6</v>
      </c>
      <c r="B28" s="75" t="s">
        <v>87</v>
      </c>
      <c r="C28" s="76">
        <v>29355000</v>
      </c>
      <c r="D28" s="76">
        <v>0</v>
      </c>
      <c r="E28" s="76">
        <f t="shared" si="2"/>
        <v>-29355000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2149000</v>
      </c>
      <c r="D29" s="76">
        <v>1954000</v>
      </c>
      <c r="E29" s="76">
        <f t="shared" si="2"/>
        <v>-195000</v>
      </c>
      <c r="F29" s="77">
        <f t="shared" si="3"/>
        <v>-9.0739879013494645E-2</v>
      </c>
    </row>
    <row r="30" spans="1:7" ht="23.1" customHeight="1" x14ac:dyDescent="0.2">
      <c r="A30" s="74">
        <v>8</v>
      </c>
      <c r="B30" s="75" t="s">
        <v>89</v>
      </c>
      <c r="C30" s="76">
        <v>5465000</v>
      </c>
      <c r="D30" s="76">
        <v>4634000</v>
      </c>
      <c r="E30" s="76">
        <f t="shared" si="2"/>
        <v>-831000</v>
      </c>
      <c r="F30" s="77">
        <f t="shared" si="3"/>
        <v>-0.15205855443732846</v>
      </c>
    </row>
    <row r="31" spans="1:7" ht="23.1" customHeight="1" x14ac:dyDescent="0.2">
      <c r="A31" s="74">
        <v>9</v>
      </c>
      <c r="B31" s="75" t="s">
        <v>90</v>
      </c>
      <c r="C31" s="76">
        <v>89675000</v>
      </c>
      <c r="D31" s="76">
        <v>104231000</v>
      </c>
      <c r="E31" s="76">
        <f t="shared" si="2"/>
        <v>14556000</v>
      </c>
      <c r="F31" s="77">
        <f t="shared" si="3"/>
        <v>0.16231948703652077</v>
      </c>
    </row>
    <row r="32" spans="1:7" ht="23.1" customHeight="1" x14ac:dyDescent="0.25">
      <c r="A32" s="71"/>
      <c r="B32" s="78" t="s">
        <v>91</v>
      </c>
      <c r="C32" s="79">
        <f>SUM(C23:C31)</f>
        <v>424803000</v>
      </c>
      <c r="D32" s="79">
        <f>SUM(D23:D31)</f>
        <v>456701000</v>
      </c>
      <c r="E32" s="79">
        <f t="shared" si="2"/>
        <v>31898000</v>
      </c>
      <c r="F32" s="80">
        <f t="shared" si="3"/>
        <v>7.5088923571632021E-2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61315000</v>
      </c>
      <c r="D34" s="79">
        <f>+D20-D32</f>
        <v>17916000</v>
      </c>
      <c r="E34" s="79">
        <f>D34-C34</f>
        <v>-43399000</v>
      </c>
      <c r="F34" s="80">
        <f>IF(C34=0,0,E34/C34)</f>
        <v>-0.70780396314115634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26921000</v>
      </c>
      <c r="D37" s="76">
        <v>28742000</v>
      </c>
      <c r="E37" s="76">
        <f>D37-C37</f>
        <v>1821000</v>
      </c>
      <c r="F37" s="77">
        <f>IF(C37=0,0,E37/C37)</f>
        <v>6.7642360982132901E-2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-1356000</v>
      </c>
      <c r="D39" s="76">
        <v>-1563000</v>
      </c>
      <c r="E39" s="76">
        <f>D39-C39</f>
        <v>-207000</v>
      </c>
      <c r="F39" s="77">
        <f>IF(C39=0,0,E39/C39)</f>
        <v>0.15265486725663716</v>
      </c>
    </row>
    <row r="40" spans="1:6" ht="23.1" customHeight="1" x14ac:dyDescent="0.25">
      <c r="A40" s="83"/>
      <c r="B40" s="78" t="s">
        <v>97</v>
      </c>
      <c r="C40" s="79">
        <f>SUM(C37:C39)</f>
        <v>25565000</v>
      </c>
      <c r="D40" s="79">
        <f>SUM(D37:D39)</f>
        <v>27179000</v>
      </c>
      <c r="E40" s="79">
        <f>D40-C40</f>
        <v>1614000</v>
      </c>
      <c r="F40" s="80">
        <f>IF(C40=0,0,E40/C40)</f>
        <v>6.3133189908077453E-2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86880000</v>
      </c>
      <c r="D42" s="79">
        <f>D34+D40</f>
        <v>45095000</v>
      </c>
      <c r="E42" s="79">
        <f>D42-C42</f>
        <v>-41785000</v>
      </c>
      <c r="F42" s="80">
        <f>IF(C42=0,0,E42/C42)</f>
        <v>-0.48095073664825044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86880000</v>
      </c>
      <c r="D49" s="79">
        <f>D42+D47</f>
        <v>45095000</v>
      </c>
      <c r="E49" s="79">
        <f>D49-C49</f>
        <v>-41785000</v>
      </c>
      <c r="F49" s="80">
        <f>IF(C49=0,0,E49/C49)</f>
        <v>-0.48095073664825044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FILING&amp;RSAINT VINCENT`S MEDICAL CENTER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2014-10-07T13:43:23Z</cp:lastPrinted>
  <dcterms:created xsi:type="dcterms:W3CDTF">2014-10-06T19:02:43Z</dcterms:created>
  <dcterms:modified xsi:type="dcterms:W3CDTF">2014-10-09T18:59:50Z</dcterms:modified>
</cp:coreProperties>
</file>