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9" i="14" s="1"/>
  <c r="D230" i="14"/>
  <c r="D229" i="14"/>
  <c r="D226" i="14"/>
  <c r="D227" i="14" s="1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61" i="14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6" i="14"/>
  <c r="D144" i="14"/>
  <c r="D136" i="14"/>
  <c r="D137" i="14" s="1"/>
  <c r="D135" i="14"/>
  <c r="D130" i="14"/>
  <c r="D129" i="14"/>
  <c r="D123" i="14"/>
  <c r="D192" i="14" s="1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8" i="14"/>
  <c r="D66" i="14"/>
  <c r="D59" i="14"/>
  <c r="D60" i="14" s="1"/>
  <c r="D61" i="14" s="1"/>
  <c r="D58" i="14"/>
  <c r="D53" i="14"/>
  <c r="D52" i="14"/>
  <c r="D48" i="14"/>
  <c r="D47" i="14"/>
  <c r="D44" i="14"/>
  <c r="D36" i="14"/>
  <c r="D35" i="14"/>
  <c r="D30" i="14"/>
  <c r="D31" i="14"/>
  <c r="D32" i="14" s="1"/>
  <c r="D29" i="14"/>
  <c r="D24" i="14"/>
  <c r="D23" i="14"/>
  <c r="D20" i="14"/>
  <c r="D21" i="14" s="1"/>
  <c r="D17" i="14"/>
  <c r="E97" i="19"/>
  <c r="D97" i="19"/>
  <c r="C97" i="19"/>
  <c r="E96" i="19"/>
  <c r="E98" i="19"/>
  <c r="D96" i="19"/>
  <c r="D98" i="19" s="1"/>
  <c r="C96" i="19"/>
  <c r="C98" i="19" s="1"/>
  <c r="E92" i="19"/>
  <c r="D92" i="19"/>
  <c r="C92" i="19"/>
  <c r="E91" i="19"/>
  <c r="E93" i="19" s="1"/>
  <c r="D91" i="19"/>
  <c r="C91" i="19"/>
  <c r="C93" i="19" s="1"/>
  <c r="E87" i="19"/>
  <c r="D87" i="19"/>
  <c r="C87" i="19"/>
  <c r="E86" i="19"/>
  <c r="E88" i="19" s="1"/>
  <c r="D86" i="19"/>
  <c r="D88" i="19"/>
  <c r="C86" i="19"/>
  <c r="C88" i="19"/>
  <c r="E83" i="19"/>
  <c r="D83" i="19"/>
  <c r="C83" i="19"/>
  <c r="E76" i="19"/>
  <c r="E102" i="19" s="1"/>
  <c r="D76" i="19"/>
  <c r="C76" i="19"/>
  <c r="E75" i="19"/>
  <c r="E101" i="19" s="1"/>
  <c r="D75" i="19"/>
  <c r="D101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34" i="19" s="1"/>
  <c r="C33" i="19"/>
  <c r="D21" i="18"/>
  <c r="C21" i="18"/>
  <c r="E21" i="18" s="1"/>
  <c r="F21" i="18" s="1"/>
  <c r="D19" i="18"/>
  <c r="C19" i="18"/>
  <c r="E19" i="18" s="1"/>
  <c r="F19" i="18" s="1"/>
  <c r="E17" i="18"/>
  <c r="F17" i="18"/>
  <c r="E15" i="18"/>
  <c r="F15" i="18" s="1"/>
  <c r="D45" i="17"/>
  <c r="C45" i="17"/>
  <c r="D44" i="17"/>
  <c r="C44" i="17"/>
  <c r="D43" i="17"/>
  <c r="D46" i="17" s="1"/>
  <c r="C43" i="17"/>
  <c r="C46" i="17" s="1"/>
  <c r="D36" i="17"/>
  <c r="D40" i="17" s="1"/>
  <c r="C36" i="17"/>
  <c r="C40" i="17" s="1"/>
  <c r="E35" i="17"/>
  <c r="F35" i="17" s="1"/>
  <c r="E34" i="17"/>
  <c r="F34" i="17" s="1"/>
  <c r="E33" i="17"/>
  <c r="E36" i="17"/>
  <c r="F36" i="17" s="1"/>
  <c r="E30" i="17"/>
  <c r="F30" i="17" s="1"/>
  <c r="E29" i="17"/>
  <c r="F29" i="17" s="1"/>
  <c r="F28" i="17"/>
  <c r="E28" i="17"/>
  <c r="E27" i="17"/>
  <c r="F27" i="17" s="1"/>
  <c r="D25" i="17"/>
  <c r="D39" i="17" s="1"/>
  <c r="C25" i="17"/>
  <c r="C39" i="17" s="1"/>
  <c r="E24" i="17"/>
  <c r="F24" i="17" s="1"/>
  <c r="E23" i="17"/>
  <c r="F23" i="17"/>
  <c r="E22" i="17"/>
  <c r="F22" i="17" s="1"/>
  <c r="D19" i="17"/>
  <c r="D20" i="17" s="1"/>
  <c r="C19" i="17"/>
  <c r="C20" i="17" s="1"/>
  <c r="E18" i="17"/>
  <c r="F18" i="17" s="1"/>
  <c r="D16" i="17"/>
  <c r="E16" i="17" s="1"/>
  <c r="F16" i="17" s="1"/>
  <c r="C16" i="17"/>
  <c r="F15" i="17"/>
  <c r="E15" i="17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/>
  <c r="C36" i="16"/>
  <c r="C32" i="16"/>
  <c r="C33" i="16" s="1"/>
  <c r="C21" i="16"/>
  <c r="C37" i="16" s="1"/>
  <c r="C38" i="16" s="1"/>
  <c r="C127" i="16" s="1"/>
  <c r="C129" i="16" s="1"/>
  <c r="C133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E293" i="15" s="1"/>
  <c r="C293" i="15"/>
  <c r="D292" i="15"/>
  <c r="E292" i="15" s="1"/>
  <c r="C292" i="15"/>
  <c r="D291" i="15"/>
  <c r="E291" i="15" s="1"/>
  <c r="C291" i="15"/>
  <c r="D290" i="15"/>
  <c r="C290" i="15"/>
  <c r="D288" i="15"/>
  <c r="E288" i="15"/>
  <c r="C288" i="15"/>
  <c r="D287" i="15"/>
  <c r="E287" i="15" s="1"/>
  <c r="C287" i="15"/>
  <c r="D282" i="15"/>
  <c r="E282" i="15" s="1"/>
  <c r="C282" i="15"/>
  <c r="D281" i="15"/>
  <c r="C281" i="15"/>
  <c r="D280" i="15"/>
  <c r="E280" i="15"/>
  <c r="C280" i="15"/>
  <c r="D279" i="15"/>
  <c r="C279" i="15"/>
  <c r="D278" i="15"/>
  <c r="E278" i="15" s="1"/>
  <c r="C278" i="15"/>
  <c r="D277" i="15"/>
  <c r="C277" i="15"/>
  <c r="D276" i="15"/>
  <c r="E276" i="15"/>
  <c r="C276" i="15"/>
  <c r="E270" i="15"/>
  <c r="D265" i="15"/>
  <c r="C265" i="15"/>
  <c r="C302" i="15" s="1"/>
  <c r="D262" i="15"/>
  <c r="E262" i="15" s="1"/>
  <c r="C262" i="15"/>
  <c r="D251" i="15"/>
  <c r="C251" i="15"/>
  <c r="D233" i="15"/>
  <c r="E233" i="15" s="1"/>
  <c r="C233" i="15"/>
  <c r="D232" i="15"/>
  <c r="C232" i="15"/>
  <c r="D231" i="15"/>
  <c r="C231" i="15"/>
  <c r="D230" i="15"/>
  <c r="E230" i="15" s="1"/>
  <c r="C230" i="15"/>
  <c r="D228" i="15"/>
  <c r="C228" i="15"/>
  <c r="D227" i="15"/>
  <c r="E227" i="15" s="1"/>
  <c r="C227" i="15"/>
  <c r="D221" i="15"/>
  <c r="D245" i="15" s="1"/>
  <c r="E245" i="15" s="1"/>
  <c r="C221" i="15"/>
  <c r="C245" i="15" s="1"/>
  <c r="D220" i="15"/>
  <c r="E220" i="15" s="1"/>
  <c r="C220" i="15"/>
  <c r="C244" i="15" s="1"/>
  <c r="D219" i="15"/>
  <c r="C219" i="15"/>
  <c r="C243" i="15" s="1"/>
  <c r="D218" i="15"/>
  <c r="D242" i="15" s="1"/>
  <c r="E218" i="15"/>
  <c r="C218" i="15"/>
  <c r="D216" i="15"/>
  <c r="C216" i="15"/>
  <c r="C240" i="15" s="1"/>
  <c r="D215" i="15"/>
  <c r="C215" i="15"/>
  <c r="E209" i="15"/>
  <c r="E208" i="15"/>
  <c r="E207" i="15"/>
  <c r="E206" i="15"/>
  <c r="D205" i="15"/>
  <c r="E205" i="15" s="1"/>
  <c r="C205" i="15"/>
  <c r="C229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C188" i="15"/>
  <c r="C189" i="15" s="1"/>
  <c r="E186" i="15"/>
  <c r="E185" i="15"/>
  <c r="D179" i="15"/>
  <c r="C179" i="15"/>
  <c r="E179" i="15" s="1"/>
  <c r="D178" i="15"/>
  <c r="E178" i="15"/>
  <c r="C178" i="15"/>
  <c r="D177" i="15"/>
  <c r="E177" i="15" s="1"/>
  <c r="C177" i="15"/>
  <c r="D176" i="15"/>
  <c r="E176" i="15" s="1"/>
  <c r="C176" i="15"/>
  <c r="D174" i="15"/>
  <c r="C174" i="15"/>
  <c r="D173" i="15"/>
  <c r="E173" i="15"/>
  <c r="C173" i="15"/>
  <c r="D167" i="15"/>
  <c r="E167" i="15" s="1"/>
  <c r="C167" i="15"/>
  <c r="D166" i="15"/>
  <c r="E166" i="15" s="1"/>
  <c r="C166" i="15"/>
  <c r="D165" i="15"/>
  <c r="C165" i="15"/>
  <c r="D164" i="15"/>
  <c r="C164" i="15"/>
  <c r="D162" i="15"/>
  <c r="C162" i="15"/>
  <c r="D161" i="15"/>
  <c r="E161" i="15"/>
  <c r="C161" i="15"/>
  <c r="E155" i="15"/>
  <c r="E154" i="15"/>
  <c r="E153" i="15"/>
  <c r="E152" i="15"/>
  <c r="D151" i="15"/>
  <c r="C151" i="15"/>
  <c r="C156" i="15" s="1"/>
  <c r="C157" i="15" s="1"/>
  <c r="E150" i="15"/>
  <c r="E149" i="15"/>
  <c r="E143" i="15"/>
  <c r="E142" i="15"/>
  <c r="E141" i="15"/>
  <c r="E140" i="15"/>
  <c r="D139" i="15"/>
  <c r="D175" i="15" s="1"/>
  <c r="C139" i="15"/>
  <c r="C144" i="15" s="1"/>
  <c r="E138" i="15"/>
  <c r="E137" i="15"/>
  <c r="D75" i="15"/>
  <c r="C75" i="15"/>
  <c r="D74" i="15"/>
  <c r="C74" i="15"/>
  <c r="D73" i="15"/>
  <c r="C73" i="15"/>
  <c r="E73" i="15" s="1"/>
  <c r="D72" i="15"/>
  <c r="C72" i="15"/>
  <c r="D70" i="15"/>
  <c r="C70" i="15"/>
  <c r="D69" i="15"/>
  <c r="C69" i="15"/>
  <c r="E69" i="15" s="1"/>
  <c r="E64" i="15"/>
  <c r="E63" i="15"/>
  <c r="E62" i="15"/>
  <c r="E61" i="15"/>
  <c r="D60" i="15"/>
  <c r="D71" i="15" s="1"/>
  <c r="C60" i="15"/>
  <c r="C71" i="15" s="1"/>
  <c r="E59" i="15"/>
  <c r="E58" i="15"/>
  <c r="D54" i="15"/>
  <c r="D55" i="15" s="1"/>
  <c r="E54" i="15"/>
  <c r="C54" i="15"/>
  <c r="C55" i="15" s="1"/>
  <c r="E53" i="15"/>
  <c r="E52" i="15"/>
  <c r="E51" i="15"/>
  <c r="E50" i="15"/>
  <c r="E49" i="15"/>
  <c r="E48" i="15"/>
  <c r="E47" i="15"/>
  <c r="D42" i="15"/>
  <c r="C42" i="15"/>
  <c r="D41" i="15"/>
  <c r="E41" i="15" s="1"/>
  <c r="C41" i="15"/>
  <c r="D40" i="15"/>
  <c r="C40" i="15"/>
  <c r="D39" i="15"/>
  <c r="C39" i="15"/>
  <c r="D38" i="15"/>
  <c r="C38" i="15"/>
  <c r="D37" i="15"/>
  <c r="C37" i="15"/>
  <c r="C43" i="15" s="1"/>
  <c r="D36" i="15"/>
  <c r="C36" i="15"/>
  <c r="D32" i="15"/>
  <c r="D33" i="15" s="1"/>
  <c r="C32" i="15"/>
  <c r="C33" i="15" s="1"/>
  <c r="E31" i="15"/>
  <c r="E30" i="15"/>
  <c r="E29" i="15"/>
  <c r="E28" i="15"/>
  <c r="E27" i="15"/>
  <c r="E26" i="15"/>
  <c r="E25" i="15"/>
  <c r="D21" i="15"/>
  <c r="C21" i="15"/>
  <c r="E20" i="15"/>
  <c r="E19" i="15"/>
  <c r="E18" i="15"/>
  <c r="E17" i="15"/>
  <c r="E16" i="15"/>
  <c r="E15" i="15"/>
  <c r="E14" i="15"/>
  <c r="F335" i="14"/>
  <c r="E335" i="14"/>
  <c r="E334" i="14"/>
  <c r="F334" i="14" s="1"/>
  <c r="E333" i="14"/>
  <c r="F333" i="14" s="1"/>
  <c r="F332" i="14"/>
  <c r="E332" i="14"/>
  <c r="E331" i="14"/>
  <c r="F331" i="14" s="1"/>
  <c r="E330" i="14"/>
  <c r="F330" i="14" s="1"/>
  <c r="F329" i="14"/>
  <c r="E329" i="14"/>
  <c r="F316" i="14"/>
  <c r="E316" i="14"/>
  <c r="C311" i="14"/>
  <c r="E311" i="14" s="1"/>
  <c r="F311" i="14" s="1"/>
  <c r="E308" i="14"/>
  <c r="F308" i="14"/>
  <c r="C307" i="14"/>
  <c r="E307" i="14" s="1"/>
  <c r="F307" i="14" s="1"/>
  <c r="C299" i="14"/>
  <c r="C298" i="14"/>
  <c r="E298" i="14"/>
  <c r="F298" i="14" s="1"/>
  <c r="C297" i="14"/>
  <c r="C296" i="14"/>
  <c r="E296" i="14" s="1"/>
  <c r="C295" i="14"/>
  <c r="C294" i="14"/>
  <c r="E294" i="14"/>
  <c r="F294" i="14" s="1"/>
  <c r="C250" i="14"/>
  <c r="C306" i="14" s="1"/>
  <c r="E249" i="14"/>
  <c r="F249" i="14" s="1"/>
  <c r="E248" i="14"/>
  <c r="F248" i="14"/>
  <c r="E245" i="14"/>
  <c r="F245" i="14" s="1"/>
  <c r="E244" i="14"/>
  <c r="F244" i="14" s="1"/>
  <c r="E243" i="14"/>
  <c r="F243" i="14" s="1"/>
  <c r="C238" i="14"/>
  <c r="C237" i="14"/>
  <c r="C239" i="14" s="1"/>
  <c r="F234" i="14"/>
  <c r="E234" i="14"/>
  <c r="E233" i="14"/>
  <c r="F233" i="14" s="1"/>
  <c r="C230" i="14"/>
  <c r="C229" i="14"/>
  <c r="E229" i="14" s="1"/>
  <c r="E228" i="14"/>
  <c r="F228" i="14"/>
  <c r="C226" i="14"/>
  <c r="E225" i="14"/>
  <c r="F225" i="14" s="1"/>
  <c r="E224" i="14"/>
  <c r="F224" i="14" s="1"/>
  <c r="C223" i="14"/>
  <c r="E222" i="14"/>
  <c r="F222" i="14" s="1"/>
  <c r="E221" i="14"/>
  <c r="F221" i="14" s="1"/>
  <c r="C204" i="14"/>
  <c r="C203" i="14"/>
  <c r="C267" i="14" s="1"/>
  <c r="C198" i="14"/>
  <c r="C290" i="14" s="1"/>
  <c r="C191" i="14"/>
  <c r="C189" i="14"/>
  <c r="C188" i="14"/>
  <c r="C277" i="14" s="1"/>
  <c r="C206" i="14"/>
  <c r="C180" i="14"/>
  <c r="C179" i="14"/>
  <c r="C181" i="14" s="1"/>
  <c r="E171" i="14"/>
  <c r="C171" i="14"/>
  <c r="C170" i="14"/>
  <c r="E169" i="14"/>
  <c r="F169" i="14" s="1"/>
  <c r="E168" i="14"/>
  <c r="F168" i="14" s="1"/>
  <c r="C165" i="14"/>
  <c r="E165" i="14" s="1"/>
  <c r="F165" i="14" s="1"/>
  <c r="C164" i="14"/>
  <c r="E163" i="14"/>
  <c r="F163" i="14"/>
  <c r="C158" i="14"/>
  <c r="C159" i="14" s="1"/>
  <c r="E158" i="14"/>
  <c r="F158" i="14" s="1"/>
  <c r="E157" i="14"/>
  <c r="F157" i="14" s="1"/>
  <c r="E156" i="14"/>
  <c r="F156" i="14" s="1"/>
  <c r="C155" i="14"/>
  <c r="E155" i="14" s="1"/>
  <c r="F155" i="14" s="1"/>
  <c r="E154" i="14"/>
  <c r="F154" i="14" s="1"/>
  <c r="E153" i="14"/>
  <c r="F153" i="14" s="1"/>
  <c r="C145" i="14"/>
  <c r="E145" i="14" s="1"/>
  <c r="C144" i="14"/>
  <c r="C136" i="14"/>
  <c r="E136" i="14" s="1"/>
  <c r="C135" i="14"/>
  <c r="E135" i="14" s="1"/>
  <c r="F135" i="14" s="1"/>
  <c r="E134" i="14"/>
  <c r="F134" i="14" s="1"/>
  <c r="E133" i="14"/>
  <c r="F133" i="14"/>
  <c r="C130" i="14"/>
  <c r="E130" i="14" s="1"/>
  <c r="F130" i="14" s="1"/>
  <c r="C129" i="14"/>
  <c r="E129" i="14" s="1"/>
  <c r="E128" i="14"/>
  <c r="F128" i="14" s="1"/>
  <c r="C124" i="14"/>
  <c r="C123" i="14"/>
  <c r="E123" i="14" s="1"/>
  <c r="F123" i="14" s="1"/>
  <c r="C192" i="14"/>
  <c r="E122" i="14"/>
  <c r="F122" i="14" s="1"/>
  <c r="E121" i="14"/>
  <c r="F121" i="14" s="1"/>
  <c r="C120" i="14"/>
  <c r="E120" i="14"/>
  <c r="E119" i="14"/>
  <c r="F119" i="14"/>
  <c r="E118" i="14"/>
  <c r="F118" i="14" s="1"/>
  <c r="E110" i="14"/>
  <c r="C110" i="14"/>
  <c r="E109" i="14"/>
  <c r="C109" i="14"/>
  <c r="C111" i="14"/>
  <c r="C101" i="14"/>
  <c r="E101" i="14"/>
  <c r="C100" i="14"/>
  <c r="E100" i="14" s="1"/>
  <c r="F100" i="14" s="1"/>
  <c r="E99" i="14"/>
  <c r="F99" i="14" s="1"/>
  <c r="E98" i="14"/>
  <c r="F98" i="14" s="1"/>
  <c r="C95" i="14"/>
  <c r="E95" i="14" s="1"/>
  <c r="C94" i="14"/>
  <c r="E93" i="14"/>
  <c r="F93" i="14" s="1"/>
  <c r="C88" i="14"/>
  <c r="E88" i="14"/>
  <c r="E87" i="14"/>
  <c r="F87" i="14"/>
  <c r="E86" i="14"/>
  <c r="F86" i="14"/>
  <c r="C85" i="14"/>
  <c r="E85" i="14" s="1"/>
  <c r="E84" i="14"/>
  <c r="F84" i="14" s="1"/>
  <c r="E83" i="14"/>
  <c r="F83" i="14" s="1"/>
  <c r="C76" i="14"/>
  <c r="E76" i="14" s="1"/>
  <c r="E74" i="14"/>
  <c r="F74" i="14" s="1"/>
  <c r="E73" i="14"/>
  <c r="F73" i="14" s="1"/>
  <c r="C67" i="14"/>
  <c r="C66" i="14"/>
  <c r="E66" i="14" s="1"/>
  <c r="C59" i="14"/>
  <c r="C60" i="14" s="1"/>
  <c r="E60" i="14" s="1"/>
  <c r="C58" i="14"/>
  <c r="E58" i="14"/>
  <c r="E57" i="14"/>
  <c r="F57" i="14"/>
  <c r="E56" i="14"/>
  <c r="F56" i="14"/>
  <c r="C53" i="14"/>
  <c r="E53" i="14" s="1"/>
  <c r="F53" i="14" s="1"/>
  <c r="C52" i="14"/>
  <c r="E52" i="14" s="1"/>
  <c r="E51" i="14"/>
  <c r="F51" i="14" s="1"/>
  <c r="C47" i="14"/>
  <c r="C48" i="14" s="1"/>
  <c r="E46" i="14"/>
  <c r="F46" i="14" s="1"/>
  <c r="E45" i="14"/>
  <c r="F45" i="14" s="1"/>
  <c r="C44" i="14"/>
  <c r="E43" i="14"/>
  <c r="F43" i="14" s="1"/>
  <c r="E42" i="14"/>
  <c r="F42" i="14" s="1"/>
  <c r="C36" i="14"/>
  <c r="E36" i="14" s="1"/>
  <c r="C35" i="14"/>
  <c r="E30" i="14"/>
  <c r="C30" i="14"/>
  <c r="C31" i="14" s="1"/>
  <c r="C29" i="14"/>
  <c r="E29" i="14" s="1"/>
  <c r="E28" i="14"/>
  <c r="F28" i="14" s="1"/>
  <c r="E27" i="14"/>
  <c r="F27" i="14" s="1"/>
  <c r="C24" i="14"/>
  <c r="C23" i="14"/>
  <c r="E23" i="14" s="1"/>
  <c r="F23" i="14" s="1"/>
  <c r="E22" i="14"/>
  <c r="F22" i="14" s="1"/>
  <c r="C20" i="14"/>
  <c r="E19" i="14"/>
  <c r="F19" i="14" s="1"/>
  <c r="E18" i="14"/>
  <c r="F18" i="14" s="1"/>
  <c r="C17" i="14"/>
  <c r="E17" i="14" s="1"/>
  <c r="E16" i="14"/>
  <c r="F16" i="14" s="1"/>
  <c r="E15" i="14"/>
  <c r="F15" i="14" s="1"/>
  <c r="D21" i="13"/>
  <c r="C21" i="13"/>
  <c r="E20" i="13"/>
  <c r="F20" i="13" s="1"/>
  <c r="D17" i="13"/>
  <c r="C17" i="13"/>
  <c r="E16" i="13"/>
  <c r="F16" i="13" s="1"/>
  <c r="D13" i="13"/>
  <c r="C13" i="13"/>
  <c r="E12" i="13"/>
  <c r="F12" i="13" s="1"/>
  <c r="D99" i="12"/>
  <c r="C99" i="12"/>
  <c r="E98" i="12"/>
  <c r="F98" i="12" s="1"/>
  <c r="E97" i="12"/>
  <c r="F97" i="12" s="1"/>
  <c r="E96" i="12"/>
  <c r="F96" i="12" s="1"/>
  <c r="D92" i="12"/>
  <c r="C92" i="12"/>
  <c r="E91" i="12"/>
  <c r="F91" i="12" s="1"/>
  <c r="E90" i="12"/>
  <c r="F90" i="12" s="1"/>
  <c r="E89" i="12"/>
  <c r="F89" i="12" s="1"/>
  <c r="E88" i="12"/>
  <c r="F88" i="12" s="1"/>
  <c r="E87" i="12"/>
  <c r="F87" i="12" s="1"/>
  <c r="D84" i="12"/>
  <c r="C84" i="12"/>
  <c r="E83" i="12"/>
  <c r="F83" i="12" s="1"/>
  <c r="E82" i="12"/>
  <c r="F82" i="12" s="1"/>
  <c r="E81" i="12"/>
  <c r="F81" i="12" s="1"/>
  <c r="F80" i="12"/>
  <c r="E80" i="12"/>
  <c r="F79" i="12"/>
  <c r="E79" i="12"/>
  <c r="D75" i="12"/>
  <c r="C75" i="12"/>
  <c r="E74" i="12"/>
  <c r="F74" i="12" s="1"/>
  <c r="E73" i="12"/>
  <c r="F73" i="12" s="1"/>
  <c r="D70" i="12"/>
  <c r="C70" i="12"/>
  <c r="E69" i="12"/>
  <c r="F69" i="12" s="1"/>
  <c r="E68" i="12"/>
  <c r="F68" i="12" s="1"/>
  <c r="D65" i="12"/>
  <c r="C65" i="12"/>
  <c r="E64" i="12"/>
  <c r="F64" i="12" s="1"/>
  <c r="E63" i="12"/>
  <c r="F63" i="12" s="1"/>
  <c r="D60" i="12"/>
  <c r="C60" i="12"/>
  <c r="E59" i="12"/>
  <c r="F59" i="12" s="1"/>
  <c r="E58" i="12"/>
  <c r="F58" i="12" s="1"/>
  <c r="D55" i="12"/>
  <c r="C55" i="12"/>
  <c r="E54" i="12"/>
  <c r="F54" i="12" s="1"/>
  <c r="E53" i="12"/>
  <c r="F53" i="12" s="1"/>
  <c r="D50" i="12"/>
  <c r="C50" i="12"/>
  <c r="E49" i="12"/>
  <c r="F49" i="12" s="1"/>
  <c r="E48" i="12"/>
  <c r="F48" i="12" s="1"/>
  <c r="D45" i="12"/>
  <c r="C45" i="12"/>
  <c r="E44" i="12"/>
  <c r="F44" i="12" s="1"/>
  <c r="E43" i="12"/>
  <c r="F43" i="12" s="1"/>
  <c r="D37" i="12"/>
  <c r="C37" i="12"/>
  <c r="F36" i="12"/>
  <c r="E36" i="12"/>
  <c r="F35" i="12"/>
  <c r="E35" i="12"/>
  <c r="E34" i="12"/>
  <c r="F34" i="12" s="1"/>
  <c r="E33" i="12"/>
  <c r="F33" i="12" s="1"/>
  <c r="D30" i="12"/>
  <c r="E30" i="12" s="1"/>
  <c r="C30" i="12"/>
  <c r="F30" i="12" s="1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 s="1"/>
  <c r="E20" i="12"/>
  <c r="F20" i="12" s="1"/>
  <c r="E19" i="12"/>
  <c r="F19" i="12" s="1"/>
  <c r="D16" i="12"/>
  <c r="C16" i="12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 s="1"/>
  <c r="F17" i="11"/>
  <c r="F33" i="11" s="1"/>
  <c r="E17" i="11"/>
  <c r="E33" i="11" s="1"/>
  <c r="E36" i="11" s="1"/>
  <c r="E38" i="11" s="1"/>
  <c r="D17" i="11"/>
  <c r="D31" i="11"/>
  <c r="C17" i="11"/>
  <c r="C31" i="11" s="1"/>
  <c r="C33" i="1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C80" i="10" s="1"/>
  <c r="C77" i="10" s="1"/>
  <c r="E73" i="10"/>
  <c r="E75" i="10" s="1"/>
  <c r="D73" i="10"/>
  <c r="D75" i="10"/>
  <c r="C73" i="10"/>
  <c r="C75" i="10" s="1"/>
  <c r="E71" i="10"/>
  <c r="D71" i="10"/>
  <c r="C71" i="10"/>
  <c r="E66" i="10"/>
  <c r="E65" i="10"/>
  <c r="D66" i="10"/>
  <c r="C66" i="10"/>
  <c r="C65" i="10" s="1"/>
  <c r="D65" i="10"/>
  <c r="E60" i="10"/>
  <c r="D60" i="10"/>
  <c r="C60" i="10"/>
  <c r="E58" i="10"/>
  <c r="D58" i="10"/>
  <c r="C58" i="10"/>
  <c r="E55" i="10"/>
  <c r="E50" i="10" s="1"/>
  <c r="D55" i="10"/>
  <c r="C55" i="10"/>
  <c r="E54" i="10"/>
  <c r="D54" i="10"/>
  <c r="C54" i="10"/>
  <c r="D50" i="10"/>
  <c r="E46" i="10"/>
  <c r="E59" i="10" s="1"/>
  <c r="E61" i="10" s="1"/>
  <c r="E57" i="10" s="1"/>
  <c r="D46" i="10"/>
  <c r="D59" i="10" s="1"/>
  <c r="D61" i="10" s="1"/>
  <c r="D57" i="10" s="1"/>
  <c r="C46" i="10"/>
  <c r="C59" i="10" s="1"/>
  <c r="C61" i="10" s="1"/>
  <c r="C57" i="10" s="1"/>
  <c r="E45" i="10"/>
  <c r="D45" i="10"/>
  <c r="C45" i="10"/>
  <c r="E38" i="10"/>
  <c r="D38" i="10"/>
  <c r="C38" i="10"/>
  <c r="E33" i="10"/>
  <c r="E34" i="10" s="1"/>
  <c r="D33" i="10"/>
  <c r="D34" i="10"/>
  <c r="E26" i="10"/>
  <c r="D26" i="10"/>
  <c r="C26" i="10"/>
  <c r="C25" i="10"/>
  <c r="C27" i="10" s="1"/>
  <c r="E13" i="10"/>
  <c r="E25" i="10" s="1"/>
  <c r="E27" i="10" s="1"/>
  <c r="D13" i="10"/>
  <c r="D15" i="10"/>
  <c r="C13" i="10"/>
  <c r="C15" i="10" s="1"/>
  <c r="C24" i="10" s="1"/>
  <c r="F46" i="9"/>
  <c r="D46" i="9"/>
  <c r="E46" i="9"/>
  <c r="C46" i="9"/>
  <c r="F45" i="9"/>
  <c r="E45" i="9"/>
  <c r="F44" i="9"/>
  <c r="E44" i="9"/>
  <c r="D39" i="9"/>
  <c r="E39" i="9" s="1"/>
  <c r="F39" i="9" s="1"/>
  <c r="C39" i="9"/>
  <c r="F38" i="9"/>
  <c r="E38" i="9"/>
  <c r="F37" i="9"/>
  <c r="E37" i="9"/>
  <c r="F36" i="9"/>
  <c r="E36" i="9"/>
  <c r="D31" i="9"/>
  <c r="E31" i="9" s="1"/>
  <c r="F31" i="9" s="1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D19" i="9" s="1"/>
  <c r="C16" i="9"/>
  <c r="C19" i="9" s="1"/>
  <c r="F15" i="9"/>
  <c r="E15" i="9"/>
  <c r="F14" i="9"/>
  <c r="E14" i="9"/>
  <c r="F13" i="9"/>
  <c r="E13" i="9"/>
  <c r="F12" i="9"/>
  <c r="E12" i="9"/>
  <c r="D73" i="8"/>
  <c r="E73" i="8" s="1"/>
  <c r="F73" i="8" s="1"/>
  <c r="C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E61" i="8" s="1"/>
  <c r="F61" i="8" s="1"/>
  <c r="C61" i="8"/>
  <c r="C65" i="8" s="1"/>
  <c r="F60" i="8"/>
  <c r="E60" i="8"/>
  <c r="E59" i="8"/>
  <c r="F59" i="8" s="1"/>
  <c r="D56" i="8"/>
  <c r="C56" i="8"/>
  <c r="E56" i="8" s="1"/>
  <c r="E55" i="8"/>
  <c r="F55" i="8" s="1"/>
  <c r="F54" i="8"/>
  <c r="E54" i="8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D41" i="8" s="1"/>
  <c r="E41" i="8" s="1"/>
  <c r="C38" i="8"/>
  <c r="C41" i="8" s="1"/>
  <c r="E37" i="8"/>
  <c r="F37" i="8" s="1"/>
  <c r="E36" i="8"/>
  <c r="F36" i="8" s="1"/>
  <c r="E33" i="8"/>
  <c r="F33" i="8" s="1"/>
  <c r="E32" i="8"/>
  <c r="F32" i="8" s="1"/>
  <c r="F31" i="8"/>
  <c r="E31" i="8"/>
  <c r="D29" i="8"/>
  <c r="C29" i="8"/>
  <c r="E28" i="8"/>
  <c r="F28" i="8" s="1"/>
  <c r="F27" i="8"/>
  <c r="E27" i="8"/>
  <c r="F26" i="8"/>
  <c r="E26" i="8"/>
  <c r="F25" i="8"/>
  <c r="E25" i="8"/>
  <c r="D22" i="8"/>
  <c r="C22" i="8"/>
  <c r="E21" i="8"/>
  <c r="F21" i="8" s="1"/>
  <c r="E20" i="8"/>
  <c r="F20" i="8" s="1"/>
  <c r="E19" i="8"/>
  <c r="F19" i="8" s="1"/>
  <c r="F18" i="8"/>
  <c r="E18" i="8"/>
  <c r="F17" i="8"/>
  <c r="E17" i="8"/>
  <c r="F16" i="8"/>
  <c r="E16" i="8"/>
  <c r="E15" i="8"/>
  <c r="F15" i="8" s="1"/>
  <c r="E14" i="8"/>
  <c r="F14" i="8" s="1"/>
  <c r="E13" i="8"/>
  <c r="F13" i="8" s="1"/>
  <c r="D120" i="7"/>
  <c r="C120" i="7"/>
  <c r="E120" i="7" s="1"/>
  <c r="D119" i="7"/>
  <c r="C119" i="7"/>
  <c r="D118" i="7"/>
  <c r="E118" i="7"/>
  <c r="C118" i="7"/>
  <c r="D117" i="7"/>
  <c r="E117" i="7" s="1"/>
  <c r="C117" i="7"/>
  <c r="D116" i="7"/>
  <c r="C116" i="7"/>
  <c r="D115" i="7"/>
  <c r="C115" i="7"/>
  <c r="D114" i="7"/>
  <c r="E114" i="7" s="1"/>
  <c r="C114" i="7"/>
  <c r="D113" i="7"/>
  <c r="C113" i="7"/>
  <c r="D112" i="7"/>
  <c r="C112" i="7"/>
  <c r="C121" i="7" s="1"/>
  <c r="D108" i="7"/>
  <c r="E108" i="7" s="1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C96" i="7"/>
  <c r="D95" i="7"/>
  <c r="C95" i="7"/>
  <c r="E95" i="7" s="1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E84" i="7" s="1"/>
  <c r="C84" i="7"/>
  <c r="F84" i="7" s="1"/>
  <c r="D83" i="7"/>
  <c r="E83" i="7" s="1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 s="1"/>
  <c r="C72" i="7"/>
  <c r="F72" i="7" s="1"/>
  <c r="D71" i="7"/>
  <c r="E71" i="7" s="1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C60" i="7"/>
  <c r="D59" i="7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E34" i="7"/>
  <c r="F34" i="7" s="1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4" i="7"/>
  <c r="D24" i="7"/>
  <c r="E24" i="7"/>
  <c r="C24" i="7"/>
  <c r="F23" i="7"/>
  <c r="D23" i="7"/>
  <c r="E23" i="7"/>
  <c r="C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 s="1"/>
  <c r="C206" i="6"/>
  <c r="D205" i="6"/>
  <c r="C205" i="6"/>
  <c r="E205" i="6" s="1"/>
  <c r="D204" i="6"/>
  <c r="E204" i="6" s="1"/>
  <c r="C204" i="6"/>
  <c r="D203" i="6"/>
  <c r="C203" i="6"/>
  <c r="E203" i="6" s="1"/>
  <c r="D202" i="6"/>
  <c r="E202" i="6" s="1"/>
  <c r="C202" i="6"/>
  <c r="D201" i="6"/>
  <c r="C201" i="6"/>
  <c r="E201" i="6" s="1"/>
  <c r="D200" i="6"/>
  <c r="E200" i="6" s="1"/>
  <c r="C200" i="6"/>
  <c r="D199" i="6"/>
  <c r="C199" i="6"/>
  <c r="E199" i="6" s="1"/>
  <c r="D198" i="6"/>
  <c r="E198" i="6" s="1"/>
  <c r="F198" i="6" s="1"/>
  <c r="C198" i="6"/>
  <c r="C207" i="6" s="1"/>
  <c r="D193" i="6"/>
  <c r="C193" i="6"/>
  <c r="D192" i="6"/>
  <c r="E192" i="6" s="1"/>
  <c r="C192" i="6"/>
  <c r="E191" i="6"/>
  <c r="F191" i="6" s="1"/>
  <c r="E190" i="6"/>
  <c r="F190" i="6" s="1"/>
  <c r="E189" i="6"/>
  <c r="F189" i="6" s="1"/>
  <c r="E188" i="6"/>
  <c r="F188" i="6" s="1"/>
  <c r="E187" i="6"/>
  <c r="F187" i="6" s="1"/>
  <c r="E186" i="6"/>
  <c r="F186" i="6" s="1"/>
  <c r="E185" i="6"/>
  <c r="F185" i="6" s="1"/>
  <c r="E184" i="6"/>
  <c r="F184" i="6" s="1"/>
  <c r="E183" i="6"/>
  <c r="F183" i="6" s="1"/>
  <c r="D180" i="6"/>
  <c r="C180" i="6"/>
  <c r="F180" i="6" s="1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 s="1"/>
  <c r="D166" i="6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 s="1"/>
  <c r="D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 s="1"/>
  <c r="D140" i="6"/>
  <c r="C140" i="6"/>
  <c r="E139" i="6"/>
  <c r="F139" i="6" s="1"/>
  <c r="E138" i="6"/>
  <c r="F138" i="6" s="1"/>
  <c r="E137" i="6"/>
  <c r="F137" i="6" s="1"/>
  <c r="E136" i="6"/>
  <c r="F136" i="6" s="1"/>
  <c r="E135" i="6"/>
  <c r="F135" i="6" s="1"/>
  <c r="E134" i="6"/>
  <c r="F134" i="6" s="1"/>
  <c r="E133" i="6"/>
  <c r="F133" i="6" s="1"/>
  <c r="E132" i="6"/>
  <c r="F132" i="6" s="1"/>
  <c r="E131" i="6"/>
  <c r="F131" i="6" s="1"/>
  <c r="D128" i="6"/>
  <c r="C128" i="6"/>
  <c r="D127" i="6"/>
  <c r="E127" i="6" s="1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C115" i="6"/>
  <c r="E115" i="6" s="1"/>
  <c r="D114" i="6"/>
  <c r="C114" i="6"/>
  <c r="E113" i="6"/>
  <c r="F113" i="6" s="1"/>
  <c r="E112" i="6"/>
  <c r="F112" i="6" s="1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D102" i="6"/>
  <c r="E102" i="6" s="1"/>
  <c r="C102" i="6"/>
  <c r="F102" i="6" s="1"/>
  <c r="D101" i="6"/>
  <c r="E101" i="6" s="1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C89" i="6"/>
  <c r="F89" i="6" s="1"/>
  <c r="D88" i="6"/>
  <c r="E88" i="6" s="1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 s="1"/>
  <c r="C76" i="6"/>
  <c r="F76" i="6" s="1"/>
  <c r="D75" i="6"/>
  <c r="E75" i="6" s="1"/>
  <c r="C75" i="6"/>
  <c r="F75" i="6" s="1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C63" i="6"/>
  <c r="E63" i="6" s="1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E49" i="6" s="1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F40" i="6"/>
  <c r="E40" i="6"/>
  <c r="D37" i="6"/>
  <c r="E37" i="6" s="1"/>
  <c r="C37" i="6"/>
  <c r="F37" i="6" s="1"/>
  <c r="D36" i="6"/>
  <c r="E36" i="6" s="1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E23" i="6"/>
  <c r="F23" i="6" s="1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 s="1"/>
  <c r="D164" i="5"/>
  <c r="D160" i="5"/>
  <c r="C164" i="5"/>
  <c r="E162" i="5"/>
  <c r="D162" i="5"/>
  <c r="C162" i="5"/>
  <c r="E161" i="5"/>
  <c r="D161" i="5"/>
  <c r="C161" i="5"/>
  <c r="C160" i="5"/>
  <c r="C166" i="5" s="1"/>
  <c r="E147" i="5"/>
  <c r="D147" i="5"/>
  <c r="D143" i="5" s="1"/>
  <c r="C147" i="5"/>
  <c r="E145" i="5"/>
  <c r="D145" i="5"/>
  <c r="C145" i="5"/>
  <c r="E144" i="5"/>
  <c r="D144" i="5"/>
  <c r="C144" i="5"/>
  <c r="E143" i="5"/>
  <c r="E149" i="5" s="1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 s="1"/>
  <c r="D106" i="5" s="1"/>
  <c r="C107" i="5"/>
  <c r="E102" i="5"/>
  <c r="E104" i="5" s="1"/>
  <c r="D102" i="5"/>
  <c r="D104" i="5"/>
  <c r="C102" i="5"/>
  <c r="C104" i="5" s="1"/>
  <c r="E100" i="5"/>
  <c r="D100" i="5"/>
  <c r="C100" i="5"/>
  <c r="E95" i="5"/>
  <c r="E94" i="5"/>
  <c r="D95" i="5"/>
  <c r="C95" i="5"/>
  <c r="C94" i="5" s="1"/>
  <c r="D94" i="5"/>
  <c r="E89" i="5"/>
  <c r="D89" i="5"/>
  <c r="C89" i="5"/>
  <c r="E87" i="5"/>
  <c r="D87" i="5"/>
  <c r="C87" i="5"/>
  <c r="E84" i="5"/>
  <c r="D84" i="5"/>
  <c r="C84" i="5"/>
  <c r="E83" i="5"/>
  <c r="E79" i="5"/>
  <c r="D83" i="5"/>
  <c r="C83" i="5"/>
  <c r="C79" i="5" s="1"/>
  <c r="E75" i="5"/>
  <c r="E88" i="5" s="1"/>
  <c r="D75" i="5"/>
  <c r="C75" i="5"/>
  <c r="C77" i="5" s="1"/>
  <c r="E74" i="5"/>
  <c r="D74" i="5"/>
  <c r="C74" i="5"/>
  <c r="E67" i="5"/>
  <c r="D67" i="5"/>
  <c r="C67" i="5"/>
  <c r="E38" i="5"/>
  <c r="E57" i="5" s="1"/>
  <c r="E62" i="5" s="1"/>
  <c r="D38" i="5"/>
  <c r="D53" i="5" s="1"/>
  <c r="C38" i="5"/>
  <c r="E33" i="5"/>
  <c r="E34" i="5" s="1"/>
  <c r="D33" i="5"/>
  <c r="D34" i="5" s="1"/>
  <c r="E26" i="5"/>
  <c r="D26" i="5"/>
  <c r="C26" i="5"/>
  <c r="E13" i="5"/>
  <c r="E15" i="5" s="1"/>
  <c r="D13" i="5"/>
  <c r="C13" i="5"/>
  <c r="C25" i="5" s="1"/>
  <c r="C27" i="5" s="1"/>
  <c r="E174" i="4"/>
  <c r="F174" i="4" s="1"/>
  <c r="D171" i="4"/>
  <c r="E171" i="4" s="1"/>
  <c r="F171" i="4" s="1"/>
  <c r="C171" i="4"/>
  <c r="F170" i="4"/>
  <c r="E170" i="4"/>
  <c r="E169" i="4"/>
  <c r="F169" i="4" s="1"/>
  <c r="F168" i="4"/>
  <c r="E168" i="4"/>
  <c r="E167" i="4"/>
  <c r="F167" i="4" s="1"/>
  <c r="E166" i="4"/>
  <c r="F166" i="4" s="1"/>
  <c r="F165" i="4"/>
  <c r="E165" i="4"/>
  <c r="E164" i="4"/>
  <c r="F164" i="4" s="1"/>
  <c r="E163" i="4"/>
  <c r="F163" i="4" s="1"/>
  <c r="F162" i="4"/>
  <c r="E162" i="4"/>
  <c r="E161" i="4"/>
  <c r="F161" i="4" s="1"/>
  <c r="F160" i="4"/>
  <c r="E160" i="4"/>
  <c r="F159" i="4"/>
  <c r="E159" i="4"/>
  <c r="F158" i="4"/>
  <c r="E158" i="4"/>
  <c r="D155" i="4"/>
  <c r="E155" i="4" s="1"/>
  <c r="F155" i="4" s="1"/>
  <c r="C155" i="4"/>
  <c r="E154" i="4"/>
  <c r="F154" i="4" s="1"/>
  <c r="F153" i="4"/>
  <c r="E153" i="4"/>
  <c r="E152" i="4"/>
  <c r="F152" i="4" s="1"/>
  <c r="E151" i="4"/>
  <c r="F151" i="4" s="1"/>
  <c r="F150" i="4"/>
  <c r="E150" i="4"/>
  <c r="F149" i="4"/>
  <c r="E149" i="4"/>
  <c r="E148" i="4"/>
  <c r="F148" i="4" s="1"/>
  <c r="F147" i="4"/>
  <c r="E147" i="4"/>
  <c r="E146" i="4"/>
  <c r="F146" i="4" s="1"/>
  <c r="E145" i="4"/>
  <c r="F145" i="4" s="1"/>
  <c r="E144" i="4"/>
  <c r="F144" i="4" s="1"/>
  <c r="E143" i="4"/>
  <c r="F143" i="4" s="1"/>
  <c r="F142" i="4"/>
  <c r="E142" i="4"/>
  <c r="F141" i="4"/>
  <c r="E141" i="4"/>
  <c r="E140" i="4"/>
  <c r="F140" i="4" s="1"/>
  <c r="E139" i="4"/>
  <c r="F139" i="4" s="1"/>
  <c r="E138" i="4"/>
  <c r="F138" i="4" s="1"/>
  <c r="F137" i="4"/>
  <c r="E137" i="4"/>
  <c r="F136" i="4"/>
  <c r="E136" i="4"/>
  <c r="E135" i="4"/>
  <c r="F135" i="4" s="1"/>
  <c r="E134" i="4"/>
  <c r="F134" i="4" s="1"/>
  <c r="E133" i="4"/>
  <c r="F133" i="4" s="1"/>
  <c r="F132" i="4"/>
  <c r="E132" i="4"/>
  <c r="E131" i="4"/>
  <c r="F131" i="4" s="1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F124" i="4"/>
  <c r="E124" i="4"/>
  <c r="E123" i="4"/>
  <c r="F123" i="4" s="1"/>
  <c r="E122" i="4"/>
  <c r="F122" i="4" s="1"/>
  <c r="E121" i="4"/>
  <c r="F121" i="4" s="1"/>
  <c r="D118" i="4"/>
  <c r="E118" i="4" s="1"/>
  <c r="C118" i="4"/>
  <c r="F117" i="4"/>
  <c r="E117" i="4"/>
  <c r="E116" i="4"/>
  <c r="F116" i="4" s="1"/>
  <c r="E115" i="4"/>
  <c r="F115" i="4" s="1"/>
  <c r="E114" i="4"/>
  <c r="F114" i="4" s="1"/>
  <c r="E113" i="4"/>
  <c r="F113" i="4" s="1"/>
  <c r="E112" i="4"/>
  <c r="F112" i="4" s="1"/>
  <c r="D109" i="4"/>
  <c r="C109" i="4"/>
  <c r="F108" i="4"/>
  <c r="E108" i="4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E94" i="4"/>
  <c r="F94" i="4" s="1"/>
  <c r="E93" i="4"/>
  <c r="F93" i="4" s="1"/>
  <c r="E92" i="4"/>
  <c r="F92" i="4" s="1"/>
  <c r="E91" i="4"/>
  <c r="F91" i="4" s="1"/>
  <c r="F81" i="4"/>
  <c r="E81" i="4"/>
  <c r="D78" i="4"/>
  <c r="E78" i="4" s="1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C59" i="4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F40" i="4"/>
  <c r="E40" i="4"/>
  <c r="E39" i="4"/>
  <c r="F39" i="4" s="1"/>
  <c r="E38" i="4"/>
  <c r="F38" i="4" s="1"/>
  <c r="D35" i="4"/>
  <c r="C35" i="4"/>
  <c r="E34" i="4"/>
  <c r="F34" i="4" s="1"/>
  <c r="E33" i="4"/>
  <c r="F33" i="4" s="1"/>
  <c r="D30" i="4"/>
  <c r="C30" i="4"/>
  <c r="E30" i="4" s="1"/>
  <c r="F30" i="4" s="1"/>
  <c r="F29" i="4"/>
  <c r="E29" i="4"/>
  <c r="F28" i="4"/>
  <c r="E28" i="4"/>
  <c r="F27" i="4"/>
  <c r="E27" i="4"/>
  <c r="D24" i="4"/>
  <c r="E24" i="4" s="1"/>
  <c r="F24" i="4" s="1"/>
  <c r="C24" i="4"/>
  <c r="F23" i="4"/>
  <c r="E23" i="4"/>
  <c r="F22" i="4"/>
  <c r="E22" i="4"/>
  <c r="F21" i="4"/>
  <c r="E21" i="4"/>
  <c r="D18" i="4"/>
  <c r="E18" i="4" s="1"/>
  <c r="F18" i="4" s="1"/>
  <c r="C18" i="4"/>
  <c r="E17" i="4"/>
  <c r="F17" i="4" s="1"/>
  <c r="E16" i="4"/>
  <c r="F16" i="4" s="1"/>
  <c r="E15" i="4"/>
  <c r="F15" i="4" s="1"/>
  <c r="D179" i="3"/>
  <c r="C179" i="3"/>
  <c r="E178" i="3"/>
  <c r="F178" i="3" s="1"/>
  <c r="E177" i="3"/>
  <c r="F177" i="3" s="1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 s="1"/>
  <c r="F166" i="3" s="1"/>
  <c r="C166" i="3"/>
  <c r="E165" i="3"/>
  <c r="F165" i="3" s="1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E152" i="3"/>
  <c r="F152" i="3" s="1"/>
  <c r="E151" i="3"/>
  <c r="F151" i="3" s="1"/>
  <c r="E150" i="3"/>
  <c r="F150" i="3" s="1"/>
  <c r="E149" i="3"/>
  <c r="F149" i="3" s="1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 s="1"/>
  <c r="F137" i="3" s="1"/>
  <c r="C137" i="3"/>
  <c r="E136" i="3"/>
  <c r="F136" i="3" s="1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E123" i="3"/>
  <c r="F123" i="3" s="1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F115" i="3"/>
  <c r="E115" i="3"/>
  <c r="F114" i="3"/>
  <c r="E114" i="3"/>
  <c r="F113" i="3"/>
  <c r="E113" i="3"/>
  <c r="D111" i="3"/>
  <c r="E111" i="3" s="1"/>
  <c r="F111" i="3" s="1"/>
  <c r="C111" i="3"/>
  <c r="E110" i="3"/>
  <c r="F110" i="3" s="1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D94" i="3"/>
  <c r="E94" i="3" s="1"/>
  <c r="F94" i="3" s="1"/>
  <c r="C94" i="3"/>
  <c r="D93" i="3"/>
  <c r="E93" i="3" s="1"/>
  <c r="F93" i="3" s="1"/>
  <c r="C93" i="3"/>
  <c r="D92" i="3"/>
  <c r="C92" i="3"/>
  <c r="D91" i="3"/>
  <c r="E91" i="3"/>
  <c r="F91" i="3" s="1"/>
  <c r="C91" i="3"/>
  <c r="D90" i="3"/>
  <c r="E90" i="3" s="1"/>
  <c r="F90" i="3" s="1"/>
  <c r="C90" i="3"/>
  <c r="D89" i="3"/>
  <c r="E89" i="3" s="1"/>
  <c r="F89" i="3" s="1"/>
  <c r="C89" i="3"/>
  <c r="D88" i="3"/>
  <c r="C88" i="3"/>
  <c r="D87" i="3"/>
  <c r="E87" i="3"/>
  <c r="F87" i="3" s="1"/>
  <c r="C87" i="3"/>
  <c r="D86" i="3"/>
  <c r="E86" i="3" s="1"/>
  <c r="F86" i="3" s="1"/>
  <c r="C86" i="3"/>
  <c r="D85" i="3"/>
  <c r="E85" i="3" s="1"/>
  <c r="F85" i="3" s="1"/>
  <c r="C85" i="3"/>
  <c r="D84" i="3"/>
  <c r="C84" i="3"/>
  <c r="C95" i="3" s="1"/>
  <c r="D81" i="3"/>
  <c r="E81" i="3" s="1"/>
  <c r="C81" i="3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E51" i="3" s="1"/>
  <c r="C51" i="3"/>
  <c r="D50" i="3"/>
  <c r="C50" i="3"/>
  <c r="D49" i="3"/>
  <c r="E49" i="3" s="1"/>
  <c r="C49" i="3"/>
  <c r="D48" i="3"/>
  <c r="C48" i="3"/>
  <c r="D47" i="3"/>
  <c r="E47" i="3" s="1"/>
  <c r="C47" i="3"/>
  <c r="D46" i="3"/>
  <c r="C46" i="3"/>
  <c r="D45" i="3"/>
  <c r="E45" i="3" s="1"/>
  <c r="C45" i="3"/>
  <c r="D44" i="3"/>
  <c r="C44" i="3"/>
  <c r="D43" i="3"/>
  <c r="E43" i="3" s="1"/>
  <c r="C43" i="3"/>
  <c r="D42" i="3"/>
  <c r="C42" i="3"/>
  <c r="D41" i="3"/>
  <c r="E41" i="3" s="1"/>
  <c r="C41" i="3"/>
  <c r="D38" i="3"/>
  <c r="E38" i="3" s="1"/>
  <c r="F38" i="3" s="1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 s="1"/>
  <c r="F25" i="3" s="1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D46" i="2"/>
  <c r="C46" i="2"/>
  <c r="F46" i="2" s="1"/>
  <c r="F45" i="2"/>
  <c r="E45" i="2"/>
  <c r="F44" i="2"/>
  <c r="E44" i="2"/>
  <c r="D39" i="2"/>
  <c r="C39" i="2"/>
  <c r="E38" i="2"/>
  <c r="F38" i="2" s="1"/>
  <c r="F37" i="2"/>
  <c r="E37" i="2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F17" i="2"/>
  <c r="E17" i="2"/>
  <c r="D16" i="2"/>
  <c r="D19" i="2" s="1"/>
  <c r="C16" i="2"/>
  <c r="C19" i="2"/>
  <c r="C33" i="2" s="1"/>
  <c r="F15" i="2"/>
  <c r="E15" i="2"/>
  <c r="E14" i="2"/>
  <c r="F14" i="2" s="1"/>
  <c r="E13" i="2"/>
  <c r="F13" i="2" s="1"/>
  <c r="F12" i="2"/>
  <c r="E12" i="2"/>
  <c r="D73" i="1"/>
  <c r="E73" i="1" s="1"/>
  <c r="F73" i="1" s="1"/>
  <c r="C73" i="1"/>
  <c r="F72" i="1"/>
  <c r="E72" i="1"/>
  <c r="F71" i="1"/>
  <c r="E71" i="1"/>
  <c r="F70" i="1"/>
  <c r="E70" i="1"/>
  <c r="F67" i="1"/>
  <c r="E67" i="1"/>
  <c r="E64" i="1"/>
  <c r="F64" i="1" s="1"/>
  <c r="E63" i="1"/>
  <c r="F63" i="1" s="1"/>
  <c r="D61" i="1"/>
  <c r="D65" i="1" s="1"/>
  <c r="D75" i="1" s="1"/>
  <c r="C61" i="1"/>
  <c r="E60" i="1"/>
  <c r="F60" i="1" s="1"/>
  <c r="E59" i="1"/>
  <c r="F59" i="1" s="1"/>
  <c r="D56" i="1"/>
  <c r="C56" i="1"/>
  <c r="F55" i="1"/>
  <c r="E55" i="1"/>
  <c r="F54" i="1"/>
  <c r="E54" i="1"/>
  <c r="E53" i="1"/>
  <c r="F53" i="1" s="1"/>
  <c r="E52" i="1"/>
  <c r="F52" i="1" s="1"/>
  <c r="E51" i="1"/>
  <c r="F51" i="1" s="1"/>
  <c r="E50" i="1"/>
  <c r="F50" i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E38" i="1" s="1"/>
  <c r="F38" i="1" s="1"/>
  <c r="C38" i="1"/>
  <c r="C41" i="1"/>
  <c r="E37" i="1"/>
  <c r="F37" i="1" s="1"/>
  <c r="E36" i="1"/>
  <c r="F36" i="1" s="1"/>
  <c r="E33" i="1"/>
  <c r="F33" i="1" s="1"/>
  <c r="E32" i="1"/>
  <c r="F32" i="1" s="1"/>
  <c r="E31" i="1"/>
  <c r="F31" i="1" s="1"/>
  <c r="D29" i="1"/>
  <c r="C29" i="1"/>
  <c r="E28" i="1"/>
  <c r="F28" i="1" s="1"/>
  <c r="F27" i="1"/>
  <c r="E27" i="1"/>
  <c r="F26" i="1"/>
  <c r="E26" i="1"/>
  <c r="F25" i="1"/>
  <c r="E25" i="1"/>
  <c r="D22" i="1"/>
  <c r="C22" i="1"/>
  <c r="E21" i="1"/>
  <c r="F21" i="1" s="1"/>
  <c r="E20" i="1"/>
  <c r="F20" i="1" s="1"/>
  <c r="E19" i="1"/>
  <c r="F19" i="1" s="1"/>
  <c r="F18" i="1"/>
  <c r="E18" i="1"/>
  <c r="E17" i="1"/>
  <c r="F17" i="1" s="1"/>
  <c r="F16" i="1"/>
  <c r="E16" i="1"/>
  <c r="E15" i="1"/>
  <c r="F15" i="1" s="1"/>
  <c r="E14" i="1"/>
  <c r="F14" i="1" s="1"/>
  <c r="E13" i="1"/>
  <c r="F13" i="1" s="1"/>
  <c r="D190" i="14"/>
  <c r="D111" i="14"/>
  <c r="F17" i="14"/>
  <c r="F30" i="14"/>
  <c r="F36" i="14"/>
  <c r="E181" i="14"/>
  <c r="D37" i="14"/>
  <c r="D214" i="14"/>
  <c r="D254" i="14"/>
  <c r="C139" i="5"/>
  <c r="C135" i="5"/>
  <c r="C137" i="5"/>
  <c r="C140" i="5"/>
  <c r="C138" i="5"/>
  <c r="C136" i="5"/>
  <c r="C156" i="5"/>
  <c r="C152" i="5"/>
  <c r="C154" i="5"/>
  <c r="C155" i="5"/>
  <c r="C153" i="5"/>
  <c r="C157" i="5"/>
  <c r="C43" i="1"/>
  <c r="D88" i="5"/>
  <c r="D90" i="5"/>
  <c r="D86" i="5" s="1"/>
  <c r="D77" i="5"/>
  <c r="D71" i="5" s="1"/>
  <c r="E137" i="5"/>
  <c r="E139" i="5"/>
  <c r="E135" i="5"/>
  <c r="D24" i="10"/>
  <c r="D17" i="10"/>
  <c r="D28" i="10" s="1"/>
  <c r="D70" i="10" s="1"/>
  <c r="D72" i="10" s="1"/>
  <c r="D69" i="10" s="1"/>
  <c r="C21" i="10"/>
  <c r="C20" i="10"/>
  <c r="I33" i="11"/>
  <c r="I36" i="11" s="1"/>
  <c r="I38" i="11" s="1"/>
  <c r="I40" i="11" s="1"/>
  <c r="G36" i="11"/>
  <c r="G38" i="11" s="1"/>
  <c r="G40" i="11" s="1"/>
  <c r="D41" i="1"/>
  <c r="E41" i="1" s="1"/>
  <c r="F41" i="1" s="1"/>
  <c r="D166" i="5"/>
  <c r="D121" i="7"/>
  <c r="E121" i="7" s="1"/>
  <c r="F121" i="7" s="1"/>
  <c r="E43" i="5"/>
  <c r="E53" i="5"/>
  <c r="E19" i="9"/>
  <c r="D33" i="9"/>
  <c r="F36" i="11"/>
  <c r="F38" i="11"/>
  <c r="F40" i="11" s="1"/>
  <c r="H33" i="11"/>
  <c r="H36" i="11" s="1"/>
  <c r="H38" i="11" s="1"/>
  <c r="H40" i="11" s="1"/>
  <c r="C160" i="14"/>
  <c r="C125" i="14"/>
  <c r="E48" i="14"/>
  <c r="F48" i="14" s="1"/>
  <c r="D95" i="3"/>
  <c r="E95" i="3" s="1"/>
  <c r="F95" i="3" s="1"/>
  <c r="D52" i="3"/>
  <c r="D176" i="4"/>
  <c r="E49" i="5"/>
  <c r="E138" i="5"/>
  <c r="D208" i="6"/>
  <c r="D65" i="8"/>
  <c r="E65" i="8" s="1"/>
  <c r="F65" i="8" s="1"/>
  <c r="D25" i="5"/>
  <c r="D27" i="5" s="1"/>
  <c r="D15" i="5"/>
  <c r="C33" i="9"/>
  <c r="F19" i="9"/>
  <c r="E290" i="14"/>
  <c r="F290" i="14" s="1"/>
  <c r="C71" i="5"/>
  <c r="D43" i="8"/>
  <c r="E24" i="5"/>
  <c r="E17" i="5"/>
  <c r="C53" i="5"/>
  <c r="C43" i="5"/>
  <c r="E21" i="10"/>
  <c r="D83" i="4"/>
  <c r="C49" i="5"/>
  <c r="C57" i="5"/>
  <c r="C62" i="5"/>
  <c r="D207" i="6"/>
  <c r="E207" i="6"/>
  <c r="F207" i="6" s="1"/>
  <c r="C75" i="8"/>
  <c r="E170" i="14"/>
  <c r="F170" i="14" s="1"/>
  <c r="C262" i="14"/>
  <c r="C255" i="14"/>
  <c r="E189" i="14"/>
  <c r="F189" i="14" s="1"/>
  <c r="C215" i="14"/>
  <c r="C269" i="14"/>
  <c r="E223" i="14"/>
  <c r="F223" i="14" s="1"/>
  <c r="C227" i="14"/>
  <c r="C270" i="14"/>
  <c r="E21" i="15"/>
  <c r="D283" i="15"/>
  <c r="C41" i="17"/>
  <c r="C108" i="19"/>
  <c r="C109" i="19"/>
  <c r="D104" i="14"/>
  <c r="D174" i="14"/>
  <c r="D33" i="11"/>
  <c r="D36" i="11" s="1"/>
  <c r="D38" i="11" s="1"/>
  <c r="F29" i="14"/>
  <c r="C37" i="14"/>
  <c r="F58" i="14"/>
  <c r="F95" i="14"/>
  <c r="F120" i="14"/>
  <c r="F129" i="14"/>
  <c r="C146" i="14"/>
  <c r="C285" i="14"/>
  <c r="D90" i="14"/>
  <c r="E306" i="14"/>
  <c r="E203" i="14"/>
  <c r="F203" i="14" s="1"/>
  <c r="C283" i="14"/>
  <c r="C287" i="14" s="1"/>
  <c r="C205" i="14"/>
  <c r="E238" i="14"/>
  <c r="F238" i="14" s="1"/>
  <c r="C283" i="15"/>
  <c r="C22" i="15"/>
  <c r="C284" i="15" s="1"/>
  <c r="C168" i="15"/>
  <c r="C145" i="15"/>
  <c r="E260" i="15"/>
  <c r="D175" i="14"/>
  <c r="D62" i="14"/>
  <c r="D105" i="14"/>
  <c r="E16" i="9"/>
  <c r="F16" i="9"/>
  <c r="C17" i="10"/>
  <c r="C28" i="10"/>
  <c r="C70" i="10" s="1"/>
  <c r="C72" i="10" s="1"/>
  <c r="C69" i="10" s="1"/>
  <c r="D25" i="10"/>
  <c r="D27" i="10" s="1"/>
  <c r="D48" i="10"/>
  <c r="D42" i="10" s="1"/>
  <c r="I17" i="11"/>
  <c r="F31" i="11"/>
  <c r="H31" i="11" s="1"/>
  <c r="C21" i="14"/>
  <c r="C32" i="14"/>
  <c r="E35" i="14"/>
  <c r="F35" i="14" s="1"/>
  <c r="E47" i="14"/>
  <c r="F47" i="14" s="1"/>
  <c r="C61" i="14"/>
  <c r="C77" i="14"/>
  <c r="E77" i="14" s="1"/>
  <c r="C89" i="14"/>
  <c r="F109" i="14"/>
  <c r="F145" i="14"/>
  <c r="C193" i="14"/>
  <c r="E198" i="14"/>
  <c r="F198" i="14" s="1"/>
  <c r="C282" i="14"/>
  <c r="E39" i="15"/>
  <c r="E42" i="15"/>
  <c r="C65" i="15"/>
  <c r="C66" i="15"/>
  <c r="E70" i="15"/>
  <c r="E75" i="15"/>
  <c r="C65" i="16"/>
  <c r="C114" i="16" s="1"/>
  <c r="C116" i="16" s="1"/>
  <c r="C119" i="16" s="1"/>
  <c r="C123" i="16" s="1"/>
  <c r="E111" i="14"/>
  <c r="F111" i="14"/>
  <c r="C274" i="14"/>
  <c r="C200" i="14"/>
  <c r="C199" i="14"/>
  <c r="E250" i="14"/>
  <c r="F250" i="14" s="1"/>
  <c r="D320" i="15"/>
  <c r="E320" i="15" s="1"/>
  <c r="E316" i="15"/>
  <c r="D330" i="15"/>
  <c r="E330" i="15" s="1"/>
  <c r="E326" i="15"/>
  <c r="D207" i="14"/>
  <c r="D138" i="14"/>
  <c r="H17" i="11"/>
  <c r="F52" i="14"/>
  <c r="F60" i="14"/>
  <c r="F66" i="14"/>
  <c r="C68" i="14"/>
  <c r="F76" i="14"/>
  <c r="F88" i="14"/>
  <c r="C102" i="14"/>
  <c r="F181" i="14"/>
  <c r="F296" i="14"/>
  <c r="C294" i="15"/>
  <c r="C44" i="15"/>
  <c r="C76" i="15"/>
  <c r="C259" i="15" s="1"/>
  <c r="E192" i="14"/>
  <c r="F192" i="14" s="1"/>
  <c r="E159" i="14"/>
  <c r="F171" i="14"/>
  <c r="C172" i="14"/>
  <c r="E180" i="14"/>
  <c r="F180" i="14"/>
  <c r="E295" i="14"/>
  <c r="F295" i="14"/>
  <c r="E299" i="14"/>
  <c r="F299" i="14"/>
  <c r="E33" i="15"/>
  <c r="E20" i="14"/>
  <c r="F20" i="14" s="1"/>
  <c r="E94" i="14"/>
  <c r="F94" i="14" s="1"/>
  <c r="F101" i="14"/>
  <c r="F136" i="14"/>
  <c r="F159" i="14"/>
  <c r="C190" i="14"/>
  <c r="E204" i="14"/>
  <c r="F204" i="14" s="1"/>
  <c r="E226" i="14"/>
  <c r="F226" i="14" s="1"/>
  <c r="F229" i="14"/>
  <c r="E239" i="14"/>
  <c r="F239" i="14" s="1"/>
  <c r="C278" i="14"/>
  <c r="D22" i="15"/>
  <c r="E38" i="15"/>
  <c r="E71" i="15"/>
  <c r="E74" i="15"/>
  <c r="E40" i="17"/>
  <c r="F40" i="17" s="1"/>
  <c r="E188" i="14"/>
  <c r="F188" i="14" s="1"/>
  <c r="C254" i="14"/>
  <c r="C261" i="14"/>
  <c r="E32" i="15"/>
  <c r="E60" i="15"/>
  <c r="E139" i="15"/>
  <c r="C163" i="15"/>
  <c r="E188" i="15"/>
  <c r="D210" i="15"/>
  <c r="D217" i="15"/>
  <c r="D239" i="15"/>
  <c r="C242" i="15"/>
  <c r="E242" i="15"/>
  <c r="D243" i="15"/>
  <c r="E243" i="15"/>
  <c r="E251" i="15"/>
  <c r="C22" i="16"/>
  <c r="E22" i="19"/>
  <c r="D34" i="19"/>
  <c r="D77" i="19"/>
  <c r="C101" i="19"/>
  <c r="D161" i="14"/>
  <c r="D193" i="14"/>
  <c r="D282" i="14" s="1"/>
  <c r="D267" i="14"/>
  <c r="D271" i="14"/>
  <c r="D277" i="14"/>
  <c r="D285" i="14"/>
  <c r="E285" i="14" s="1"/>
  <c r="F285" i="14" s="1"/>
  <c r="E151" i="15"/>
  <c r="C175" i="15"/>
  <c r="E175" i="15" s="1"/>
  <c r="E195" i="15"/>
  <c r="E215" i="15"/>
  <c r="C217" i="15"/>
  <c r="C241" i="15" s="1"/>
  <c r="D222" i="15"/>
  <c r="D229" i="15"/>
  <c r="E229" i="15"/>
  <c r="C239" i="15"/>
  <c r="D240" i="15"/>
  <c r="D244" i="15"/>
  <c r="E244" i="15"/>
  <c r="C261" i="15"/>
  <c r="E314" i="15"/>
  <c r="C49" i="16"/>
  <c r="F33" i="17"/>
  <c r="D22" i="19"/>
  <c r="E23" i="19"/>
  <c r="D124" i="14"/>
  <c r="E124" i="14"/>
  <c r="F124" i="14" s="1"/>
  <c r="D160" i="14"/>
  <c r="E160" i="14" s="1"/>
  <c r="F160" i="14" s="1"/>
  <c r="D200" i="14"/>
  <c r="E200" i="14" s="1"/>
  <c r="F200" i="14" s="1"/>
  <c r="D206" i="14"/>
  <c r="E206" i="14" s="1"/>
  <c r="F206" i="14" s="1"/>
  <c r="D262" i="14"/>
  <c r="D263" i="14" s="1"/>
  <c r="E263" i="14" s="1"/>
  <c r="F263" i="14" s="1"/>
  <c r="D274" i="14"/>
  <c r="E274" i="14" s="1"/>
  <c r="F274" i="14" s="1"/>
  <c r="D280" i="14"/>
  <c r="E231" i="15"/>
  <c r="E324" i="15"/>
  <c r="E19" i="17"/>
  <c r="F19" i="17" s="1"/>
  <c r="E39" i="17"/>
  <c r="F39" i="17" s="1"/>
  <c r="E43" i="17"/>
  <c r="D23" i="19"/>
  <c r="E33" i="19"/>
  <c r="D49" i="14"/>
  <c r="D91" i="14"/>
  <c r="D199" i="14"/>
  <c r="E199" i="14" s="1"/>
  <c r="F199" i="14" s="1"/>
  <c r="D205" i="14"/>
  <c r="E205" i="14" s="1"/>
  <c r="F205" i="14" s="1"/>
  <c r="D215" i="14"/>
  <c r="D216" i="14" s="1"/>
  <c r="D156" i="15"/>
  <c r="E77" i="19"/>
  <c r="E111" i="19" s="1"/>
  <c r="D304" i="14"/>
  <c r="E61" i="14"/>
  <c r="F61" i="14" s="1"/>
  <c r="C161" i="14"/>
  <c r="C91" i="14"/>
  <c r="C126" i="14"/>
  <c r="C49" i="14"/>
  <c r="E49" i="14" s="1"/>
  <c r="F49" i="14" s="1"/>
  <c r="E21" i="14"/>
  <c r="F21" i="14"/>
  <c r="E37" i="14"/>
  <c r="F37" i="14" s="1"/>
  <c r="D17" i="5"/>
  <c r="D24" i="5"/>
  <c r="D126" i="14"/>
  <c r="D139" i="14"/>
  <c r="C295" i="15"/>
  <c r="D53" i="19"/>
  <c r="D45" i="19"/>
  <c r="D39" i="19"/>
  <c r="D35" i="19"/>
  <c r="D29" i="19"/>
  <c r="D110" i="19"/>
  <c r="D270" i="14"/>
  <c r="E270" i="14" s="1"/>
  <c r="F270" i="14" s="1"/>
  <c r="E267" i="14"/>
  <c r="F267" i="14" s="1"/>
  <c r="E110" i="19"/>
  <c r="E53" i="19"/>
  <c r="E45" i="19"/>
  <c r="E39" i="19"/>
  <c r="E35" i="19"/>
  <c r="E29" i="19"/>
  <c r="D50" i="14"/>
  <c r="E54" i="19"/>
  <c r="E46" i="19"/>
  <c r="E40" i="19"/>
  <c r="E36" i="19"/>
  <c r="E30" i="19"/>
  <c r="D253" i="15"/>
  <c r="E240" i="15"/>
  <c r="D287" i="14"/>
  <c r="D279" i="14"/>
  <c r="D284" i="14"/>
  <c r="E277" i="14"/>
  <c r="F277" i="14" s="1"/>
  <c r="D234" i="15"/>
  <c r="D211" i="15"/>
  <c r="E254" i="14"/>
  <c r="F254" i="14"/>
  <c r="D284" i="15"/>
  <c r="E22" i="15"/>
  <c r="E190" i="14"/>
  <c r="F190" i="14" s="1"/>
  <c r="D208" i="14"/>
  <c r="C194" i="14"/>
  <c r="C196" i="14" s="1"/>
  <c r="C62" i="14"/>
  <c r="E32" i="14"/>
  <c r="F32" i="14" s="1"/>
  <c r="D106" i="14"/>
  <c r="D176" i="14"/>
  <c r="C272" i="14"/>
  <c r="C41" i="9"/>
  <c r="F33" i="9"/>
  <c r="E33" i="9"/>
  <c r="D41" i="9"/>
  <c r="D157" i="5"/>
  <c r="D153" i="5"/>
  <c r="D155" i="5"/>
  <c r="D152" i="5"/>
  <c r="D156" i="5"/>
  <c r="D154" i="5"/>
  <c r="E41" i="17"/>
  <c r="F41" i="17"/>
  <c r="D125" i="14"/>
  <c r="E125" i="14"/>
  <c r="F125" i="14" s="1"/>
  <c r="D300" i="14"/>
  <c r="C266" i="14"/>
  <c r="C284" i="14"/>
  <c r="E284" i="14" s="1"/>
  <c r="F284" i="14" s="1"/>
  <c r="C22" i="10"/>
  <c r="C158" i="5"/>
  <c r="C141" i="5"/>
  <c r="D92" i="14"/>
  <c r="E91" i="14"/>
  <c r="D162" i="14"/>
  <c r="E161" i="14"/>
  <c r="E217" i="15"/>
  <c r="D241" i="15"/>
  <c r="C268" i="14"/>
  <c r="C271" i="14"/>
  <c r="C263" i="14"/>
  <c r="E261" i="14"/>
  <c r="F261" i="14" s="1"/>
  <c r="C258" i="15"/>
  <c r="C101" i="15"/>
  <c r="C97" i="15"/>
  <c r="C86" i="15"/>
  <c r="C100" i="15"/>
  <c r="C96" i="15"/>
  <c r="C89" i="15"/>
  <c r="C85" i="15"/>
  <c r="C98" i="15"/>
  <c r="C87" i="15"/>
  <c r="C99" i="15"/>
  <c r="C88" i="15"/>
  <c r="C83" i="15"/>
  <c r="C95" i="15"/>
  <c r="C84" i="15"/>
  <c r="E102" i="14"/>
  <c r="F102" i="14" s="1"/>
  <c r="C103" i="14"/>
  <c r="C105" i="14" s="1"/>
  <c r="E89" i="14"/>
  <c r="F89" i="14" s="1"/>
  <c r="C169" i="15"/>
  <c r="E227" i="14"/>
  <c r="F227" i="14" s="1"/>
  <c r="D223" i="15"/>
  <c r="D288" i="14"/>
  <c r="C77" i="15"/>
  <c r="C124" i="15" s="1"/>
  <c r="D140" i="14"/>
  <c r="E283" i="15"/>
  <c r="D255" i="14"/>
  <c r="E255" i="14" s="1"/>
  <c r="F255" i="14" s="1"/>
  <c r="E215" i="14"/>
  <c r="F215" i="14" s="1"/>
  <c r="F43" i="17"/>
  <c r="D272" i="14"/>
  <c r="E272" i="14" s="1"/>
  <c r="F272" i="14" s="1"/>
  <c r="E262" i="14"/>
  <c r="F262" i="14" s="1"/>
  <c r="E109" i="19"/>
  <c r="E108" i="19"/>
  <c r="E156" i="15"/>
  <c r="D157" i="15"/>
  <c r="D46" i="19"/>
  <c r="D40" i="19"/>
  <c r="D36" i="19"/>
  <c r="D30" i="19"/>
  <c r="D111" i="19"/>
  <c r="D54" i="19"/>
  <c r="D194" i="14"/>
  <c r="D195" i="14" s="1"/>
  <c r="E193" i="14"/>
  <c r="F193" i="14" s="1"/>
  <c r="D109" i="19"/>
  <c r="D108" i="19"/>
  <c r="C288" i="14"/>
  <c r="E278" i="14"/>
  <c r="F278" i="14" s="1"/>
  <c r="C173" i="14"/>
  <c r="C174" i="14" s="1"/>
  <c r="E172" i="14"/>
  <c r="F172" i="14" s="1"/>
  <c r="E68" i="14"/>
  <c r="F68" i="14" s="1"/>
  <c r="D63" i="14"/>
  <c r="E62" i="14"/>
  <c r="C286" i="14"/>
  <c r="E283" i="14"/>
  <c r="F283" i="14"/>
  <c r="E146" i="14"/>
  <c r="F146" i="14"/>
  <c r="E269" i="14"/>
  <c r="F269" i="14" s="1"/>
  <c r="E28" i="5"/>
  <c r="E112" i="5"/>
  <c r="E111" i="5" s="1"/>
  <c r="E239" i="15"/>
  <c r="D268" i="14"/>
  <c r="E268" i="14" s="1"/>
  <c r="F268" i="14" s="1"/>
  <c r="D286" i="14"/>
  <c r="C279" i="14"/>
  <c r="E279" i="14" s="1"/>
  <c r="F279" i="14" s="1"/>
  <c r="C90" i="14"/>
  <c r="E90" i="14" s="1"/>
  <c r="F90" i="14" s="1"/>
  <c r="D75" i="8"/>
  <c r="E75" i="8" s="1"/>
  <c r="F75" i="8" s="1"/>
  <c r="E194" i="14"/>
  <c r="D196" i="14"/>
  <c r="C127" i="15"/>
  <c r="C123" i="15"/>
  <c r="C112" i="15"/>
  <c r="C121" i="15"/>
  <c r="C122" i="15"/>
  <c r="D113" i="19"/>
  <c r="D56" i="19"/>
  <c r="D48" i="19"/>
  <c r="D38" i="19"/>
  <c r="E103" i="14"/>
  <c r="F103" i="14" s="1"/>
  <c r="D209" i="14"/>
  <c r="D210" i="14"/>
  <c r="D235" i="15"/>
  <c r="C50" i="14"/>
  <c r="C162" i="14"/>
  <c r="F161" i="14"/>
  <c r="C102" i="15"/>
  <c r="C103" i="15" s="1"/>
  <c r="E173" i="14"/>
  <c r="E157" i="15"/>
  <c r="D141" i="14"/>
  <c r="F194" i="14"/>
  <c r="C195" i="14"/>
  <c r="E47" i="19"/>
  <c r="E37" i="19"/>
  <c r="E112" i="19"/>
  <c r="E55" i="19"/>
  <c r="D112" i="5"/>
  <c r="D111" i="5" s="1"/>
  <c r="D28" i="5"/>
  <c r="D99" i="5" s="1"/>
  <c r="F91" i="14"/>
  <c r="C92" i="14"/>
  <c r="E92" i="14" s="1"/>
  <c r="E288" i="14"/>
  <c r="F288" i="14"/>
  <c r="C90" i="15"/>
  <c r="C91" i="15" s="1"/>
  <c r="D273" i="14"/>
  <c r="C273" i="14"/>
  <c r="C48" i="9"/>
  <c r="C127" i="14"/>
  <c r="E99" i="5"/>
  <c r="E101" i="5" s="1"/>
  <c r="E98" i="5" s="1"/>
  <c r="D183" i="14"/>
  <c r="D323" i="14"/>
  <c r="E162" i="14"/>
  <c r="D324" i="14"/>
  <c r="D113" i="14"/>
  <c r="D48" i="9"/>
  <c r="E48" i="9" s="1"/>
  <c r="E41" i="9"/>
  <c r="F41" i="9" s="1"/>
  <c r="C63" i="14"/>
  <c r="F62" i="14"/>
  <c r="D291" i="14"/>
  <c r="D289" i="14"/>
  <c r="E48" i="19"/>
  <c r="E38" i="19"/>
  <c r="E113" i="19"/>
  <c r="E56" i="19"/>
  <c r="D70" i="14"/>
  <c r="E50" i="14"/>
  <c r="F50" i="14" s="1"/>
  <c r="D47" i="19"/>
  <c r="D37" i="19"/>
  <c r="D112" i="19"/>
  <c r="D55" i="19"/>
  <c r="D127" i="14"/>
  <c r="E126" i="14"/>
  <c r="F126" i="14" s="1"/>
  <c r="E63" i="14"/>
  <c r="F63" i="14" s="1"/>
  <c r="D158" i="5"/>
  <c r="E105" i="14"/>
  <c r="C104" i="14"/>
  <c r="E271" i="14"/>
  <c r="F271" i="14"/>
  <c r="E104" i="14"/>
  <c r="F104" i="14" s="1"/>
  <c r="F92" i="14"/>
  <c r="C70" i="14"/>
  <c r="F48" i="9"/>
  <c r="E195" i="14"/>
  <c r="F195" i="14" s="1"/>
  <c r="D322" i="14"/>
  <c r="D325" i="14" s="1"/>
  <c r="D211" i="14"/>
  <c r="D197" i="14"/>
  <c r="D101" i="5"/>
  <c r="D98" i="5" s="1"/>
  <c r="D22" i="5"/>
  <c r="D305" i="14"/>
  <c r="D309" i="14" s="1"/>
  <c r="D148" i="14"/>
  <c r="E127" i="14"/>
  <c r="F127" i="14" s="1"/>
  <c r="E70" i="14"/>
  <c r="F70" i="14" s="1"/>
  <c r="E273" i="14"/>
  <c r="F273" i="14" s="1"/>
  <c r="C291" i="14" l="1"/>
  <c r="E287" i="14"/>
  <c r="C289" i="14"/>
  <c r="E289" i="14" s="1"/>
  <c r="F287" i="14"/>
  <c r="E196" i="14"/>
  <c r="F196" i="14" s="1"/>
  <c r="C105" i="15"/>
  <c r="E286" i="14"/>
  <c r="F286" i="14" s="1"/>
  <c r="E241" i="15"/>
  <c r="D252" i="15"/>
  <c r="C263" i="15"/>
  <c r="C264" i="15" s="1"/>
  <c r="C266" i="15" s="1"/>
  <c r="C267" i="15" s="1"/>
  <c r="E284" i="15"/>
  <c r="C197" i="14"/>
  <c r="E197" i="14" s="1"/>
  <c r="F197" i="14" s="1"/>
  <c r="C21" i="5"/>
  <c r="E124" i="3"/>
  <c r="F124" i="3" s="1"/>
  <c r="E179" i="3"/>
  <c r="F179" i="3" s="1"/>
  <c r="E35" i="4"/>
  <c r="F35" i="4" s="1"/>
  <c r="E41" i="4"/>
  <c r="F78" i="4"/>
  <c r="F118" i="4"/>
  <c r="C15" i="5"/>
  <c r="E25" i="5"/>
  <c r="E27" i="5" s="1"/>
  <c r="D57" i="5"/>
  <c r="D62" i="5" s="1"/>
  <c r="E90" i="5"/>
  <c r="E86" i="5" s="1"/>
  <c r="D79" i="5"/>
  <c r="C109" i="5"/>
  <c r="C106" i="5" s="1"/>
  <c r="E24" i="6"/>
  <c r="F24" i="6" s="1"/>
  <c r="F49" i="6"/>
  <c r="E55" i="15"/>
  <c r="E56" i="1"/>
  <c r="F56" i="1" s="1"/>
  <c r="E31" i="2"/>
  <c r="F31" i="2" s="1"/>
  <c r="E39" i="2"/>
  <c r="F39" i="2" s="1"/>
  <c r="E46" i="2"/>
  <c r="E84" i="3"/>
  <c r="F84" i="3" s="1"/>
  <c r="E88" i="3"/>
  <c r="F88" i="3" s="1"/>
  <c r="E92" i="3"/>
  <c r="F92" i="3" s="1"/>
  <c r="E153" i="3"/>
  <c r="F153" i="3" s="1"/>
  <c r="D49" i="5"/>
  <c r="D149" i="5"/>
  <c r="E166" i="5"/>
  <c r="E50" i="6"/>
  <c r="E62" i="6"/>
  <c r="E114" i="6"/>
  <c r="F127" i="6"/>
  <c r="E128" i="6"/>
  <c r="E140" i="6"/>
  <c r="E153" i="6"/>
  <c r="E154" i="6"/>
  <c r="E166" i="6"/>
  <c r="E167" i="6"/>
  <c r="E179" i="6"/>
  <c r="E180" i="6"/>
  <c r="F192" i="6"/>
  <c r="E193" i="6"/>
  <c r="F200" i="6"/>
  <c r="F202" i="6"/>
  <c r="F204" i="6"/>
  <c r="F206" i="6"/>
  <c r="E35" i="7"/>
  <c r="E47" i="7"/>
  <c r="E48" i="7"/>
  <c r="E59" i="7"/>
  <c r="F60" i="7"/>
  <c r="E96" i="7"/>
  <c r="E107" i="7"/>
  <c r="E112" i="7"/>
  <c r="F112" i="7" s="1"/>
  <c r="E116" i="7"/>
  <c r="E22" i="8"/>
  <c r="E29" i="8"/>
  <c r="C50" i="10"/>
  <c r="E40" i="15"/>
  <c r="D289" i="15"/>
  <c r="D65" i="15"/>
  <c r="E72" i="15"/>
  <c r="E164" i="15"/>
  <c r="E216" i="15"/>
  <c r="C222" i="15"/>
  <c r="C252" i="15"/>
  <c r="C254" i="15" s="1"/>
  <c r="C253" i="15"/>
  <c r="E253" i="15" s="1"/>
  <c r="C23" i="19"/>
  <c r="D102" i="19"/>
  <c r="D93" i="19"/>
  <c r="F22" i="8"/>
  <c r="F110" i="14"/>
  <c r="E179" i="14"/>
  <c r="F179" i="14" s="1"/>
  <c r="E237" i="14"/>
  <c r="F237" i="14" s="1"/>
  <c r="E36" i="15"/>
  <c r="D76" i="15"/>
  <c r="C210" i="15"/>
  <c r="E219" i="15"/>
  <c r="E232" i="15"/>
  <c r="E265" i="15"/>
  <c r="E277" i="15"/>
  <c r="E279" i="15"/>
  <c r="E281" i="15"/>
  <c r="E290" i="15"/>
  <c r="C303" i="15"/>
  <c r="C306" i="15" s="1"/>
  <c r="C310" i="15" s="1"/>
  <c r="D41" i="17"/>
  <c r="C22" i="19"/>
  <c r="C102" i="19"/>
  <c r="C103" i="19" s="1"/>
  <c r="D310" i="14"/>
  <c r="E174" i="14"/>
  <c r="F174" i="14" s="1"/>
  <c r="C106" i="14"/>
  <c r="F105" i="14"/>
  <c r="D281" i="14"/>
  <c r="E282" i="14"/>
  <c r="F282" i="14" s="1"/>
  <c r="D20" i="5"/>
  <c r="D21" i="5"/>
  <c r="C41" i="2"/>
  <c r="D33" i="2"/>
  <c r="E19" i="2"/>
  <c r="F19" i="2" s="1"/>
  <c r="F289" i="14"/>
  <c r="D254" i="15"/>
  <c r="E254" i="15" s="1"/>
  <c r="E252" i="15"/>
  <c r="D22" i="10"/>
  <c r="D20" i="10"/>
  <c r="D21" i="10"/>
  <c r="F41" i="3"/>
  <c r="F43" i="3"/>
  <c r="F45" i="3"/>
  <c r="F47" i="3"/>
  <c r="F49" i="3"/>
  <c r="F51" i="3"/>
  <c r="F81" i="3"/>
  <c r="C175" i="14"/>
  <c r="E22" i="1"/>
  <c r="F22" i="1" s="1"/>
  <c r="E29" i="1"/>
  <c r="F29" i="1" s="1"/>
  <c r="E61" i="1"/>
  <c r="F61" i="1" s="1"/>
  <c r="E16" i="2"/>
  <c r="F16" i="2" s="1"/>
  <c r="E42" i="3"/>
  <c r="F42" i="3" s="1"/>
  <c r="E44" i="3"/>
  <c r="F44" i="3" s="1"/>
  <c r="E46" i="3"/>
  <c r="F46" i="3" s="1"/>
  <c r="E48" i="3"/>
  <c r="F48" i="3" s="1"/>
  <c r="E50" i="3"/>
  <c r="F50" i="3" s="1"/>
  <c r="E68" i="3"/>
  <c r="F68" i="3" s="1"/>
  <c r="F162" i="14"/>
  <c r="C324" i="14"/>
  <c r="F173" i="14"/>
  <c r="C115" i="15"/>
  <c r="C126" i="15"/>
  <c r="C114" i="15"/>
  <c r="C125" i="15"/>
  <c r="C111" i="15"/>
  <c r="C110" i="15"/>
  <c r="C109" i="15"/>
  <c r="C113" i="15"/>
  <c r="D266" i="14"/>
  <c r="D43" i="1"/>
  <c r="E43" i="1" s="1"/>
  <c r="F43" i="1" s="1"/>
  <c r="C65" i="1"/>
  <c r="C52" i="3"/>
  <c r="F41" i="4"/>
  <c r="E140" i="5"/>
  <c r="E136" i="5"/>
  <c r="E141" i="5" s="1"/>
  <c r="D137" i="5"/>
  <c r="D135" i="5"/>
  <c r="D139" i="5"/>
  <c r="F62" i="6"/>
  <c r="F114" i="6"/>
  <c r="F140" i="6"/>
  <c r="F35" i="7"/>
  <c r="E59" i="4"/>
  <c r="F59" i="4" s="1"/>
  <c r="E109" i="4"/>
  <c r="F109" i="4" s="1"/>
  <c r="C176" i="4"/>
  <c r="E77" i="5"/>
  <c r="E71" i="5" s="1"/>
  <c r="C88" i="5"/>
  <c r="C90" i="5" s="1"/>
  <c r="C86" i="5" s="1"/>
  <c r="F50" i="6"/>
  <c r="F63" i="6"/>
  <c r="F115" i="6"/>
  <c r="F128" i="6"/>
  <c r="F141" i="6"/>
  <c r="F193" i="6"/>
  <c r="C208" i="6"/>
  <c r="F199" i="6"/>
  <c r="F201" i="6"/>
  <c r="F203" i="6"/>
  <c r="F205" i="6"/>
  <c r="E36" i="7"/>
  <c r="F36" i="7" s="1"/>
  <c r="F59" i="7"/>
  <c r="F95" i="7"/>
  <c r="F108" i="7"/>
  <c r="C122" i="7"/>
  <c r="F114" i="7"/>
  <c r="E115" i="7"/>
  <c r="F117" i="7"/>
  <c r="F118" i="7"/>
  <c r="E119" i="7"/>
  <c r="F41" i="8"/>
  <c r="C83" i="4"/>
  <c r="D43" i="5"/>
  <c r="F96" i="7"/>
  <c r="F107" i="7"/>
  <c r="D122" i="7"/>
  <c r="E122" i="7" s="1"/>
  <c r="E113" i="7"/>
  <c r="F113" i="7" s="1"/>
  <c r="F115" i="7"/>
  <c r="F116" i="7"/>
  <c r="F119" i="7"/>
  <c r="F120" i="7"/>
  <c r="C43" i="8"/>
  <c r="F29" i="8"/>
  <c r="E38" i="8"/>
  <c r="F38" i="8" s="1"/>
  <c r="F56" i="8"/>
  <c r="C48" i="10"/>
  <c r="C42" i="10" s="1"/>
  <c r="E48" i="10"/>
  <c r="E42" i="10" s="1"/>
  <c r="E31" i="11"/>
  <c r="E15" i="10"/>
  <c r="G31" i="11"/>
  <c r="I31" i="11" s="1"/>
  <c r="E31" i="14"/>
  <c r="F31" i="14" s="1"/>
  <c r="E16" i="12"/>
  <c r="F16" i="12" s="1"/>
  <c r="E23" i="12"/>
  <c r="F23" i="12" s="1"/>
  <c r="E37" i="12"/>
  <c r="F37" i="12" s="1"/>
  <c r="E45" i="12"/>
  <c r="F45" i="12" s="1"/>
  <c r="E50" i="12"/>
  <c r="F50" i="12" s="1"/>
  <c r="E55" i="12"/>
  <c r="F55" i="12" s="1"/>
  <c r="E65" i="12"/>
  <c r="F65" i="12" s="1"/>
  <c r="E70" i="12"/>
  <c r="F70" i="12" s="1"/>
  <c r="E84" i="12"/>
  <c r="F84" i="12" s="1"/>
  <c r="E92" i="12"/>
  <c r="F92" i="12" s="1"/>
  <c r="E99" i="12"/>
  <c r="F99" i="12" s="1"/>
  <c r="E13" i="13"/>
  <c r="F13" i="13" s="1"/>
  <c r="E17" i="13"/>
  <c r="F17" i="13" s="1"/>
  <c r="E21" i="13"/>
  <c r="F21" i="13" s="1"/>
  <c r="E24" i="14"/>
  <c r="F24" i="14" s="1"/>
  <c r="E44" i="14"/>
  <c r="F44" i="14" s="1"/>
  <c r="E67" i="14"/>
  <c r="F67" i="14" s="1"/>
  <c r="E144" i="14"/>
  <c r="F144" i="14" s="1"/>
  <c r="E164" i="14"/>
  <c r="F164" i="14" s="1"/>
  <c r="E191" i="14"/>
  <c r="F191" i="14" s="1"/>
  <c r="E230" i="14"/>
  <c r="F230" i="14" s="1"/>
  <c r="C264" i="14"/>
  <c r="E297" i="14"/>
  <c r="F297" i="14" s="1"/>
  <c r="E37" i="15"/>
  <c r="D43" i="15"/>
  <c r="D44" i="15"/>
  <c r="D189" i="15"/>
  <c r="E189" i="15" s="1"/>
  <c r="D261" i="15"/>
  <c r="E261" i="15" s="1"/>
  <c r="E60" i="12"/>
  <c r="F60" i="12" s="1"/>
  <c r="E75" i="12"/>
  <c r="F75" i="12" s="1"/>
  <c r="E59" i="14"/>
  <c r="F59" i="14" s="1"/>
  <c r="F85" i="14"/>
  <c r="C137" i="14"/>
  <c r="C280" i="14"/>
  <c r="C214" i="14"/>
  <c r="C289" i="15"/>
  <c r="E289" i="15" s="1"/>
  <c r="D163" i="15"/>
  <c r="E163" i="15" s="1"/>
  <c r="D144" i="15"/>
  <c r="E162" i="15"/>
  <c r="E165" i="15"/>
  <c r="E174" i="15"/>
  <c r="E20" i="17"/>
  <c r="F20" i="17" s="1"/>
  <c r="D103" i="19"/>
  <c r="E103" i="19"/>
  <c r="E221" i="15"/>
  <c r="E228" i="15"/>
  <c r="E44" i="17"/>
  <c r="E45" i="17"/>
  <c r="F45" i="17" s="1"/>
  <c r="D302" i="15"/>
  <c r="E25" i="17"/>
  <c r="F25" i="17" s="1"/>
  <c r="C45" i="19" l="1"/>
  <c r="C110" i="19"/>
  <c r="C39" i="19"/>
  <c r="C53" i="19"/>
  <c r="C29" i="19"/>
  <c r="C35" i="19"/>
  <c r="C211" i="15"/>
  <c r="C234" i="15"/>
  <c r="E234" i="15" s="1"/>
  <c r="C180" i="15"/>
  <c r="E210" i="15"/>
  <c r="C223" i="15"/>
  <c r="C246" i="15"/>
  <c r="E222" i="15"/>
  <c r="E65" i="15"/>
  <c r="D294" i="15"/>
  <c r="E294" i="15" s="1"/>
  <c r="D66" i="15"/>
  <c r="D246" i="15"/>
  <c r="D140" i="5"/>
  <c r="D138" i="5"/>
  <c r="D136" i="5"/>
  <c r="C24" i="5"/>
  <c r="C20" i="5" s="1"/>
  <c r="C17" i="5"/>
  <c r="C305" i="14"/>
  <c r="E291" i="14"/>
  <c r="F291" i="14" s="1"/>
  <c r="D141" i="5"/>
  <c r="D77" i="15"/>
  <c r="E76" i="15"/>
  <c r="C46" i="19"/>
  <c r="C36" i="19"/>
  <c r="C54" i="19"/>
  <c r="C111" i="19"/>
  <c r="C30" i="19"/>
  <c r="C40" i="19"/>
  <c r="E156" i="5"/>
  <c r="E157" i="5"/>
  <c r="E153" i="5"/>
  <c r="E154" i="5"/>
  <c r="E152" i="5"/>
  <c r="E155" i="5"/>
  <c r="E21" i="5"/>
  <c r="E20" i="5"/>
  <c r="E22" i="5"/>
  <c r="C268" i="15"/>
  <c r="C271" i="15" s="1"/>
  <c r="C269" i="15"/>
  <c r="E280" i="14"/>
  <c r="C281" i="14"/>
  <c r="F280" i="14"/>
  <c r="D99" i="15"/>
  <c r="E99" i="15" s="1"/>
  <c r="D89" i="15"/>
  <c r="E89" i="15" s="1"/>
  <c r="D258" i="15"/>
  <c r="D87" i="15"/>
  <c r="E87" i="15" s="1"/>
  <c r="D101" i="15"/>
  <c r="E101" i="15" s="1"/>
  <c r="D86" i="15"/>
  <c r="E86" i="15" s="1"/>
  <c r="E44" i="15"/>
  <c r="D85" i="15"/>
  <c r="E85" i="15" s="1"/>
  <c r="D84" i="15"/>
  <c r="D100" i="15"/>
  <c r="E100" i="15" s="1"/>
  <c r="D88" i="15"/>
  <c r="E88" i="15" s="1"/>
  <c r="D98" i="15"/>
  <c r="E98" i="15" s="1"/>
  <c r="D83" i="15"/>
  <c r="D97" i="15"/>
  <c r="E97" i="15" s="1"/>
  <c r="D96" i="15"/>
  <c r="D95" i="15"/>
  <c r="E264" i="14"/>
  <c r="C300" i="14"/>
  <c r="C265" i="14"/>
  <c r="F264" i="14"/>
  <c r="E83" i="4"/>
  <c r="F83" i="4" s="1"/>
  <c r="E65" i="1"/>
  <c r="F65" i="1"/>
  <c r="C75" i="1"/>
  <c r="D265" i="14"/>
  <c r="E265" i="14" s="1"/>
  <c r="E266" i="14"/>
  <c r="F266" i="14" s="1"/>
  <c r="E43" i="8"/>
  <c r="F43" i="8" s="1"/>
  <c r="D41" i="2"/>
  <c r="E33" i="2"/>
  <c r="F33" i="2" s="1"/>
  <c r="C48" i="2"/>
  <c r="D312" i="14"/>
  <c r="D145" i="15"/>
  <c r="E144" i="15"/>
  <c r="D180" i="15"/>
  <c r="E180" i="15" s="1"/>
  <c r="D168" i="15"/>
  <c r="E168" i="15" s="1"/>
  <c r="E302" i="15"/>
  <c r="D303" i="15"/>
  <c r="E46" i="17"/>
  <c r="F46" i="17" s="1"/>
  <c r="F44" i="17"/>
  <c r="C304" i="14"/>
  <c r="E214" i="14"/>
  <c r="C216" i="14"/>
  <c r="F214" i="14"/>
  <c r="E137" i="14"/>
  <c r="C138" i="14"/>
  <c r="F137" i="14"/>
  <c r="C207" i="14"/>
  <c r="D259" i="15"/>
  <c r="E43" i="15"/>
  <c r="E24" i="10"/>
  <c r="E20" i="10" s="1"/>
  <c r="E17" i="10"/>
  <c r="E28" i="10" s="1"/>
  <c r="F122" i="7"/>
  <c r="E208" i="6"/>
  <c r="F208" i="6" s="1"/>
  <c r="E52" i="3"/>
  <c r="F52" i="3" s="1"/>
  <c r="C116" i="15"/>
  <c r="C128" i="15"/>
  <c r="E324" i="14"/>
  <c r="F324" i="14" s="1"/>
  <c r="E175" i="14"/>
  <c r="C176" i="14"/>
  <c r="F175" i="14"/>
  <c r="E176" i="4"/>
  <c r="F176" i="4" s="1"/>
  <c r="E281" i="14"/>
  <c r="E106" i="14"/>
  <c r="F106" i="14" s="1"/>
  <c r="C113" i="14"/>
  <c r="C28" i="5" l="1"/>
  <c r="C112" i="5"/>
  <c r="C111" i="5" s="1"/>
  <c r="D295" i="15"/>
  <c r="E295" i="15" s="1"/>
  <c r="E66" i="15"/>
  <c r="D247" i="15"/>
  <c r="E158" i="5"/>
  <c r="C56" i="19"/>
  <c r="C48" i="19"/>
  <c r="C113" i="19"/>
  <c r="C38" i="19"/>
  <c r="D126" i="15"/>
  <c r="E126" i="15" s="1"/>
  <c r="D121" i="15"/>
  <c r="E121" i="15" s="1"/>
  <c r="D110" i="15"/>
  <c r="D113" i="15"/>
  <c r="E113" i="15" s="1"/>
  <c r="D127" i="15"/>
  <c r="E127" i="15" s="1"/>
  <c r="D125" i="15"/>
  <c r="E125" i="15" s="1"/>
  <c r="D114" i="15"/>
  <c r="E114" i="15" s="1"/>
  <c r="D124" i="15"/>
  <c r="E124" i="15" s="1"/>
  <c r="D109" i="15"/>
  <c r="D123" i="15"/>
  <c r="E123" i="15" s="1"/>
  <c r="D122" i="15"/>
  <c r="D112" i="15"/>
  <c r="E112" i="15" s="1"/>
  <c r="D111" i="15"/>
  <c r="E111" i="15" s="1"/>
  <c r="D115" i="15"/>
  <c r="E115" i="15" s="1"/>
  <c r="E77" i="15"/>
  <c r="C309" i="14"/>
  <c r="E309" i="14" s="1"/>
  <c r="F309" i="14" s="1"/>
  <c r="E305" i="14"/>
  <c r="F305" i="14" s="1"/>
  <c r="E246" i="15"/>
  <c r="E223" i="15"/>
  <c r="C247" i="15"/>
  <c r="C235" i="15"/>
  <c r="E235" i="15" s="1"/>
  <c r="C181" i="15"/>
  <c r="E211" i="15"/>
  <c r="C112" i="19"/>
  <c r="C55" i="19"/>
  <c r="C37" i="19"/>
  <c r="C47" i="19"/>
  <c r="E113" i="14"/>
  <c r="F113" i="14" s="1"/>
  <c r="D263" i="15"/>
  <c r="E263" i="15" s="1"/>
  <c r="E259" i="15"/>
  <c r="D306" i="15"/>
  <c r="E303" i="15"/>
  <c r="D48" i="2"/>
  <c r="E48" i="2" s="1"/>
  <c r="E41" i="2"/>
  <c r="F41" i="2" s="1"/>
  <c r="C117" i="15"/>
  <c r="E75" i="1"/>
  <c r="F75" i="1" s="1"/>
  <c r="F265" i="14"/>
  <c r="D102" i="15"/>
  <c r="E102" i="15" s="1"/>
  <c r="E96" i="15"/>
  <c r="E83" i="15"/>
  <c r="D90" i="15"/>
  <c r="E90" i="15" s="1"/>
  <c r="E84" i="15"/>
  <c r="E258" i="15"/>
  <c r="D264" i="15"/>
  <c r="F281" i="14"/>
  <c r="E176" i="14"/>
  <c r="F176" i="14" s="1"/>
  <c r="C323" i="14"/>
  <c r="C183" i="14"/>
  <c r="C129" i="15"/>
  <c r="E70" i="10"/>
  <c r="E72" i="10" s="1"/>
  <c r="E69" i="10" s="1"/>
  <c r="E22" i="10"/>
  <c r="C208" i="14"/>
  <c r="E207" i="14"/>
  <c r="F207" i="14"/>
  <c r="E138" i="14"/>
  <c r="F138" i="14" s="1"/>
  <c r="C139" i="14"/>
  <c r="C140" i="14"/>
  <c r="E216" i="14"/>
  <c r="F216" i="14" s="1"/>
  <c r="E304" i="14"/>
  <c r="F304" i="14" s="1"/>
  <c r="C310" i="14"/>
  <c r="E145" i="15"/>
  <c r="D181" i="15"/>
  <c r="E181" i="15" s="1"/>
  <c r="D169" i="15"/>
  <c r="E169" i="15" s="1"/>
  <c r="D313" i="14"/>
  <c r="F48" i="2"/>
  <c r="E300" i="14"/>
  <c r="F300" i="14" s="1"/>
  <c r="E95" i="15"/>
  <c r="D103" i="15"/>
  <c r="E103" i="15" s="1"/>
  <c r="D128" i="15" l="1"/>
  <c r="E122" i="15"/>
  <c r="E109" i="15"/>
  <c r="D116" i="15"/>
  <c r="E116" i="15" s="1"/>
  <c r="E110" i="15"/>
  <c r="E247" i="15"/>
  <c r="C22" i="5"/>
  <c r="C99" i="5"/>
  <c r="C101" i="5" s="1"/>
  <c r="C98" i="5" s="1"/>
  <c r="E140" i="14"/>
  <c r="C141" i="14"/>
  <c r="F140" i="14"/>
  <c r="E139" i="14"/>
  <c r="F139" i="14"/>
  <c r="E183" i="14"/>
  <c r="F183" i="14" s="1"/>
  <c r="D266" i="15"/>
  <c r="E264" i="15"/>
  <c r="D91" i="15"/>
  <c r="D315" i="14"/>
  <c r="D256" i="14"/>
  <c r="D314" i="14"/>
  <c r="D251" i="14"/>
  <c r="C312" i="14"/>
  <c r="F310" i="14"/>
  <c r="E310" i="14"/>
  <c r="F208" i="14"/>
  <c r="C209" i="14"/>
  <c r="C210" i="14"/>
  <c r="E208" i="14"/>
  <c r="E323" i="14"/>
  <c r="F323" i="14" s="1"/>
  <c r="C131" i="15"/>
  <c r="D310" i="15"/>
  <c r="E310" i="15" s="1"/>
  <c r="E306" i="15"/>
  <c r="D117" i="15" l="1"/>
  <c r="E117" i="15" s="1"/>
  <c r="D129" i="15"/>
  <c r="E128" i="15"/>
  <c r="F210" i="14"/>
  <c r="E210" i="14"/>
  <c r="F209" i="14"/>
  <c r="E209" i="14"/>
  <c r="F312" i="14"/>
  <c r="E312" i="14"/>
  <c r="C313" i="14"/>
  <c r="D318" i="14"/>
  <c r="D105" i="15"/>
  <c r="E105" i="15" s="1"/>
  <c r="E91" i="15"/>
  <c r="E266" i="15"/>
  <c r="D267" i="15"/>
  <c r="C322" i="14"/>
  <c r="C148" i="14"/>
  <c r="C211" i="14"/>
  <c r="E141" i="14"/>
  <c r="F141" i="14" s="1"/>
  <c r="D257" i="14"/>
  <c r="D131" i="15" l="1"/>
  <c r="E131" i="15" s="1"/>
  <c r="E129" i="15"/>
  <c r="E322" i="14"/>
  <c r="F322" i="14" s="1"/>
  <c r="C325" i="14"/>
  <c r="F211" i="14"/>
  <c r="E211" i="14"/>
  <c r="F148" i="14"/>
  <c r="E148" i="14"/>
  <c r="D269" i="15"/>
  <c r="E269" i="15" s="1"/>
  <c r="D268" i="15"/>
  <c r="E267" i="15"/>
  <c r="C314" i="14"/>
  <c r="C256" i="14"/>
  <c r="C251" i="14"/>
  <c r="C315" i="14"/>
  <c r="E313" i="14"/>
  <c r="F313" i="14" s="1"/>
  <c r="F315" i="14" l="1"/>
  <c r="E315" i="14"/>
  <c r="F251" i="14"/>
  <c r="E251" i="14"/>
  <c r="C318" i="14"/>
  <c r="E314" i="14"/>
  <c r="F314" i="14" s="1"/>
  <c r="C257" i="14"/>
  <c r="E256" i="14"/>
  <c r="F256" i="14" s="1"/>
  <c r="E268" i="15"/>
  <c r="D271" i="15"/>
  <c r="E271" i="15" s="1"/>
  <c r="E325" i="14"/>
  <c r="F325" i="14" s="1"/>
  <c r="F257" i="14" l="1"/>
  <c r="E257" i="14"/>
  <c r="F318" i="14"/>
  <c r="E318" i="14"/>
</calcChain>
</file>

<file path=xl/sharedStrings.xml><?xml version="1.0" encoding="utf-8"?>
<sst xmlns="http://schemas.openxmlformats.org/spreadsheetml/2006/main" count="2307" uniqueCount="983">
  <si>
    <t>SAINT VINCENT`S MEDICAL CENTER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</si>
  <si>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</si>
  <si>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</si>
  <si>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</si>
  <si>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</si>
  <si>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</si>
  <si>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</si>
  <si>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</si>
  <si>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</si>
  <si>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</si>
  <si>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</si>
  <si>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</si>
  <si>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</si>
  <si>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</si>
  <si>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</si>
  <si>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</si>
  <si>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</si>
  <si>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</si>
  <si>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</si>
  <si>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</si>
  <si>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</si>
  <si>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</si>
  <si>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</si>
  <si>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</si>
  <si>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</si>
  <si>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</si>
  <si>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</si>
  <si>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</si>
  <si>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</si>
  <si>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</si>
  <si>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</si>
  <si>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</si>
  <si>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</si>
  <si>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</si>
  <si>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</si>
  <si>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</si>
  <si>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</si>
  <si>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</si>
  <si>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</si>
  <si>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</si>
  <si>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</si>
  <si>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</si>
  <si>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</si>
  <si>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</si>
  <si>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</si>
  <si>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</si>
  <si>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</si>
  <si>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</si>
  <si>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</si>
  <si>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</si>
  <si>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</si>
  <si>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</si>
  <si>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</si>
  <si>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</si>
  <si>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</si>
  <si>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</si>
  <si>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</si>
  <si>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</si>
  <si>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</si>
  <si>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</si>
  <si>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</si>
  <si>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</si>
  <si>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</si>
  <si>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</si>
  <si>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</si>
  <si>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</si>
  <si>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</si>
  <si>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</si>
  <si>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</si>
  <si>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</si>
  <si>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</si>
  <si>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</si>
  <si>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</si>
  <si>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</si>
  <si>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</si>
  <si>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</si>
  <si>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</si>
  <si>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</si>
  <si>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</si>
  <si>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</si>
  <si>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</si>
  <si>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</si>
  <si>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</si>
  <si>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</si>
  <si>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</si>
  <si>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</si>
  <si>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</si>
  <si>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</si>
  <si>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</si>
  <si>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</si>
  <si>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</si>
  <si>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</si>
  <si>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</si>
  <si>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</si>
  <si>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</si>
  <si>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</si>
  <si>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</si>
  <si>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</si>
  <si>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</si>
  <si>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</si>
  <si>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</si>
  <si>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</si>
  <si>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</si>
  <si>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</si>
  <si>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</si>
  <si>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</si>
  <si>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</si>
  <si>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</si>
  <si>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</si>
  <si>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</si>
  <si>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</si>
  <si>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</si>
  <si>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</si>
  <si>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</si>
  <si>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</si>
  <si>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</si>
  <si>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</si>
  <si>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</si>
  <si>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</si>
  <si>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</si>
  <si>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</si>
  <si>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</si>
  <si>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</si>
  <si>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</si>
  <si>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</si>
  <si>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</si>
  <si>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</si>
  <si>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</si>
  <si>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</si>
  <si>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</si>
  <si>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</si>
  <si>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</si>
  <si>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</si>
  <si>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</si>
  <si>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</si>
  <si>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</si>
  <si>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</si>
  <si>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</si>
  <si>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</si>
  <si>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</si>
  <si>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</si>
  <si>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</si>
  <si>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</si>
  <si>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</si>
  <si>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</si>
  <si>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</si>
  <si>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</si>
  <si>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</si>
  <si>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</si>
  <si>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</si>
  <si>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</si>
  <si>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</si>
  <si>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</si>
  <si>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</si>
  <si>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</si>
  <si>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</si>
  <si>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</si>
  <si>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</si>
  <si>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</si>
  <si>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</si>
  <si>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</si>
  <si>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</si>
  <si>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</si>
  <si>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</si>
  <si>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</si>
  <si>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</si>
  <si>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</si>
  <si>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</si>
  <si>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</si>
  <si>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</si>
  <si>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</si>
  <si>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</si>
  <si>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</si>
  <si>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</si>
  <si>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</si>
  <si>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</si>
  <si>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</si>
  <si>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</si>
  <si>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</si>
  <si>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</si>
  <si>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</si>
  <si>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</si>
  <si>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</si>
  <si>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</si>
  <si>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</si>
  <si>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</si>
  <si>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</si>
  <si>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</si>
  <si>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</si>
  <si>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</si>
  <si>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</si>
  <si>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</si>
  <si>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</si>
  <si>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</si>
  <si>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</si>
  <si>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</si>
  <si>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</si>
  <si>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</si>
  <si>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</si>
  <si>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</si>
  <si>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</si>
  <si>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</si>
  <si>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</si>
  <si>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</si>
  <si>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</si>
  <si>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</si>
  <si>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</si>
  <si>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</si>
  <si>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</si>
  <si>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</si>
  <si>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</si>
  <si>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</si>
  <si>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</si>
  <si>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</si>
  <si>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</si>
  <si>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</si>
  <si>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</si>
  <si>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</si>
  <si>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</si>
  <si>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</si>
  <si>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</si>
  <si>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</si>
  <si>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</si>
  <si>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</si>
  <si>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</si>
  <si>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</si>
  <si>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</si>
  <si>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</si>
  <si>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</si>
  <si>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</si>
  <si>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</si>
  <si>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</si>
  <si>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</si>
  <si>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</si>
  <si>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</si>
  <si>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</si>
  <si>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</si>
  <si>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</si>
  <si>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</si>
  <si>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</si>
  <si>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</si>
  <si>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</si>
  <si>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</si>
  <si>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</si>
  <si>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</si>
  <si>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</si>
  <si>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</si>
  <si>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</si>
  <si>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</si>
  <si>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</si>
  <si>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</si>
  <si>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</si>
  <si>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</si>
  <si>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</si>
  <si>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</si>
  <si>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</si>
  <si>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</si>
  <si>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</si>
  <si>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</si>
  <si>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</si>
  <si>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</si>
  <si>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</si>
  <si>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</si>
  <si>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</si>
  <si>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</si>
  <si>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</si>
  <si>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</si>
  <si>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</si>
  <si>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</si>
  <si>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</si>
  <si>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</si>
  <si>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</si>
  <si>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</si>
  <si>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</si>
  <si>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</si>
  <si>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</si>
  <si>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</si>
  <si>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</si>
  <si>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</si>
  <si>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</si>
  <si>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</si>
  <si>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</si>
  <si>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</si>
  <si>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</si>
  <si>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</si>
  <si>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</si>
  <si>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</si>
  <si>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</si>
  <si>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</si>
  <si>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</si>
  <si>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</si>
  <si>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</si>
  <si>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</si>
  <si>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</si>
  <si>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</si>
  <si>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</si>
  <si>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</si>
  <si>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</si>
  <si>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</si>
  <si>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</si>
  <si>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</si>
  <si>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</si>
  <si>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</si>
  <si>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</si>
  <si>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</si>
  <si>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</si>
  <si>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</si>
  <si>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</si>
  <si>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</si>
  <si>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</si>
  <si>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</si>
  <si>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</si>
  <si>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</si>
  <si>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</si>
  <si>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</si>
  <si>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</si>
  <si>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</si>
  <si>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</si>
  <si>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</si>
  <si>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</si>
  <si>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</si>
  <si>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</si>
  <si>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</si>
  <si>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</si>
  <si>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</si>
  <si>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</si>
  <si>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</si>
  <si>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</si>
  <si>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</si>
  <si>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</si>
  <si>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</si>
  <si>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</si>
  <si>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</si>
  <si>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</si>
  <si>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</si>
  <si>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</si>
  <si>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</si>
  <si>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</si>
  <si>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</si>
  <si>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</si>
  <si>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</si>
  <si>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</si>
  <si>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</si>
  <si>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</si>
  <si>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</si>
  <si>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</si>
  <si>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</si>
  <si>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</si>
  <si>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</si>
  <si>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</si>
  <si>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</si>
  <si>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</si>
  <si>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</si>
  <si>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</si>
  <si>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</si>
  <si>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</si>
  <si>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</si>
  <si>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</si>
  <si>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</si>
  <si>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</si>
  <si>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</si>
  <si>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</si>
  <si>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</si>
  <si>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</si>
  <si>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</si>
  <si>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</si>
  <si>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</si>
  <si>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</si>
  <si>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</si>
  <si>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</si>
  <si>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</si>
  <si>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</si>
  <si>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</si>
  <si>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</si>
  <si>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</si>
  <si>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</si>
  <si>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</si>
  <si>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</si>
  <si>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</si>
  <si>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</si>
  <si>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</si>
  <si>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</si>
  <si>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</si>
  <si>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</si>
  <si>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</si>
  <si>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</si>
  <si>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</si>
  <si>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</si>
  <si>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</si>
  <si>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</si>
  <si>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</si>
  <si>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</si>
  <si>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</si>
  <si>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</si>
  <si>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</si>
  <si>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</si>
  <si>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</si>
  <si>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</si>
  <si>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</si>
  <si>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</si>
  <si>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</si>
  <si>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</si>
  <si>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</si>
  <si>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</si>
  <si>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</si>
  <si>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</si>
  <si>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</si>
  <si>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</si>
  <si>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</si>
  <si>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</si>
  <si>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</si>
  <si>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</si>
  <si>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</si>
  <si>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</si>
  <si>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</si>
  <si>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</si>
  <si>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</si>
  <si>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</si>
  <si>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</si>
  <si>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</si>
  <si>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</si>
  <si>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</si>
  <si>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</si>
  <si>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</si>
  <si>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</si>
  <si>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</si>
  <si>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</si>
  <si>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</si>
  <si>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</si>
  <si>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</si>
  <si>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</si>
  <si>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</si>
  <si>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</si>
  <si>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</si>
  <si>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</si>
  <si>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</si>
  <si>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</si>
  <si>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</si>
  <si>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</si>
  <si>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</si>
  <si>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</si>
  <si>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</si>
  <si>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</si>
  <si>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</si>
  <si>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</si>
  <si>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</si>
  <si>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</si>
  <si>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</si>
  <si>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</si>
  <si>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</si>
  <si>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</si>
  <si>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</si>
  <si>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</si>
  <si>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</si>
  <si>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</si>
  <si>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</si>
  <si>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</si>
  <si>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</si>
  <si>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</si>
  <si>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</si>
  <si>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</si>
  <si>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</si>
  <si>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</si>
  <si>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</si>
  <si>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</si>
  <si>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</si>
  <si>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</si>
  <si>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</si>
  <si>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</si>
  <si>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</si>
  <si>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</si>
  <si>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</si>
  <si>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</si>
  <si>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</si>
  <si>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</si>
  <si>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</si>
  <si>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</si>
  <si>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</si>
  <si>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</si>
  <si>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ST VINCENTS HEALTH SERVICES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</si>
  <si>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</si>
  <si>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</si>
  <si>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</si>
  <si>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</si>
  <si>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</si>
  <si>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</si>
  <si>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</si>
  <si>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</si>
  <si>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</si>
  <si>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</si>
  <si>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</si>
  <si>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</si>
  <si>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</si>
  <si>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</si>
  <si>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</si>
  <si>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</si>
  <si>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</si>
  <si>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</si>
  <si>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</si>
  <si>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</si>
  <si>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</si>
  <si>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</si>
  <si>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</si>
  <si>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</si>
  <si>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</si>
  <si>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</si>
  <si>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</si>
  <si>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</si>
  <si>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</si>
  <si>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</si>
  <si>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</si>
  <si>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</si>
  <si>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</si>
  <si>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</si>
  <si>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</si>
  <si>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</si>
  <si>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</si>
  <si>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</si>
  <si>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</si>
  <si>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</si>
  <si>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</si>
  <si>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</si>
  <si>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</si>
  <si>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</si>
  <si>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</si>
  <si>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</si>
  <si>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</si>
  <si>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</si>
  <si>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</si>
  <si>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</si>
  <si>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</si>
  <si>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</si>
  <si>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</si>
  <si>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</si>
  <si>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</si>
  <si>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</si>
  <si>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</si>
  <si>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</si>
  <si>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</si>
  <si>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</si>
  <si>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</si>
  <si>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</si>
  <si>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</si>
  <si>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</si>
  <si>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</si>
  <si>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</si>
  <si>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</si>
  <si>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</si>
  <si>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</si>
  <si>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</si>
  <si>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</si>
  <si>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</si>
  <si>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</si>
  <si>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</si>
  <si>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</si>
  <si>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</si>
  <si>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</si>
  <si>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</si>
  <si>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</si>
  <si>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</si>
  <si>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</si>
  <si>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</si>
  <si>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</si>
  <si>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</si>
  <si>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</si>
  <si>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</si>
  <si>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</si>
  <si>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</si>
  <si>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</si>
  <si>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</si>
  <si>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</si>
  <si>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</si>
  <si>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</si>
  <si>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</si>
  <si>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</si>
  <si>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</si>
  <si>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</si>
  <si>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</si>
  <si>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</si>
  <si>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</si>
  <si>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</si>
  <si>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</si>
  <si>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</si>
  <si>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</si>
  <si>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</si>
  <si>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</si>
  <si>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</si>
  <si>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</si>
  <si>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St. Vincents Medical Center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</si>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</sst>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6014000</v>
      </c>
      <c r="D13" s="23">
        <v>6480000</v>
      </c>
      <c r="E13" s="23">
        <f t="shared" ref="E13:E22" si="0">D13-C13</f>
        <v>466000</v>
      </c>
      <c r="F13" s="24">
        <f t="shared" ref="F13:F22" si="1">IF(C13=0,0,E13/C13)</f>
        <v>7.7485866311938809E-2</v>
      </c>
    </row>
    <row r="14" spans="1:8" ht="24" customHeight="1" x14ac:dyDescent="0.2">
      <c r="A14" s="21">
        <v>2</v>
      </c>
      <c r="B14" s="22" t="s">
        <v>17</v>
      </c>
      <c r="C14" s="23">
        <v>15056000</v>
      </c>
      <c r="D14" s="23">
        <v>97000</v>
      </c>
      <c r="E14" s="23">
        <f t="shared" si="0"/>
        <v>-14959000</v>
      </c>
      <c r="F14" s="24">
        <f t="shared" si="1"/>
        <v>-0.99355738575982999</v>
      </c>
    </row>
    <row r="15" spans="1:8" ht="32.25" customHeight="1" x14ac:dyDescent="0.2">
      <c r="A15" s="21">
        <v>3</v>
      </c>
      <c r="B15" s="22" t="s">
        <v>18</v>
      </c>
      <c r="C15" s="23">
        <v>44277000</v>
      </c>
      <c r="D15" s="23">
        <v>46049000</v>
      </c>
      <c r="E15" s="23">
        <f t="shared" si="0"/>
        <v>1772000</v>
      </c>
      <c r="F15" s="24">
        <f t="shared" si="1"/>
        <v>4.0020778282178107E-2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11057000</v>
      </c>
      <c r="D17" s="23">
        <v>15022000</v>
      </c>
      <c r="E17" s="23">
        <f t="shared" si="0"/>
        <v>3965000</v>
      </c>
      <c r="F17" s="24">
        <f t="shared" si="1"/>
        <v>0.35859636429411235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3849000</v>
      </c>
      <c r="D19" s="23">
        <v>2851000</v>
      </c>
      <c r="E19" s="23">
        <f t="shared" si="0"/>
        <v>-998000</v>
      </c>
      <c r="F19" s="24">
        <f t="shared" si="1"/>
        <v>-0.25928812678617824</v>
      </c>
    </row>
    <row r="20" spans="1:11" ht="24" customHeight="1" x14ac:dyDescent="0.2">
      <c r="A20" s="21">
        <v>8</v>
      </c>
      <c r="B20" s="22" t="s">
        <v>23</v>
      </c>
      <c r="C20" s="23">
        <v>2737000</v>
      </c>
      <c r="D20" s="23">
        <v>2413000</v>
      </c>
      <c r="E20" s="23">
        <f t="shared" si="0"/>
        <v>-324000</v>
      </c>
      <c r="F20" s="24">
        <f t="shared" si="1"/>
        <v>-0.11837778589696749</v>
      </c>
    </row>
    <row r="21" spans="1:11" ht="24" customHeight="1" x14ac:dyDescent="0.2">
      <c r="A21" s="21">
        <v>9</v>
      </c>
      <c r="B21" s="22" t="s">
        <v>24</v>
      </c>
      <c r="C21" s="23">
        <v>1144000</v>
      </c>
      <c r="D21" s="23">
        <v>2882000</v>
      </c>
      <c r="E21" s="23">
        <f t="shared" si="0"/>
        <v>1738000</v>
      </c>
      <c r="F21" s="24">
        <f t="shared" si="1"/>
        <v>1.5192307692307692</v>
      </c>
    </row>
    <row r="22" spans="1:11" ht="24" customHeight="1" x14ac:dyDescent="0.25">
      <c r="A22" s="25"/>
      <c r="B22" s="26" t="s">
        <v>25</v>
      </c>
      <c r="C22" s="27">
        <f>SUM(C13:C21)</f>
        <v>84134000</v>
      </c>
      <c r="D22" s="27">
        <f>SUM(D13:D21)</f>
        <v>75794000</v>
      </c>
      <c r="E22" s="27">
        <f t="shared" si="0"/>
        <v>-8340000</v>
      </c>
      <c r="F22" s="28">
        <f t="shared" si="1"/>
        <v>-9.912758219031545E-2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192369000</v>
      </c>
      <c r="D28" s="23">
        <v>184312000</v>
      </c>
      <c r="E28" s="23">
        <f>D28-C28</f>
        <v>-8057000</v>
      </c>
      <c r="F28" s="24">
        <f>IF(C28=0,0,E28/C28)</f>
        <v>-4.1883047684398211E-2</v>
      </c>
    </row>
    <row r="29" spans="1:11" ht="24" customHeight="1" x14ac:dyDescent="0.25">
      <c r="A29" s="25"/>
      <c r="B29" s="26" t="s">
        <v>32</v>
      </c>
      <c r="C29" s="27">
        <f>SUM(C25:C28)</f>
        <v>192369000</v>
      </c>
      <c r="D29" s="27">
        <f>SUM(D25:D28)</f>
        <v>184312000</v>
      </c>
      <c r="E29" s="27">
        <f>D29-C29</f>
        <v>-8057000</v>
      </c>
      <c r="F29" s="28">
        <f>IF(C29=0,0,E29/C29)</f>
        <v>-4.1883047684398211E-2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23218000</v>
      </c>
      <c r="D31" s="23">
        <v>18259000</v>
      </c>
      <c r="E31" s="23">
        <f>D31-C31</f>
        <v>-4959000</v>
      </c>
      <c r="F31" s="24">
        <f>IF(C31=0,0,E31/C31)</f>
        <v>-0.21358428805237317</v>
      </c>
    </row>
    <row r="32" spans="1:11" ht="24" customHeight="1" x14ac:dyDescent="0.2">
      <c r="A32" s="21">
        <v>6</v>
      </c>
      <c r="B32" s="22" t="s">
        <v>34</v>
      </c>
      <c r="C32" s="23">
        <v>50474000</v>
      </c>
      <c r="D32" s="23">
        <v>81975000</v>
      </c>
      <c r="E32" s="23">
        <f>D32-C32</f>
        <v>31501000</v>
      </c>
      <c r="F32" s="24">
        <f>IF(C32=0,0,E32/C32)</f>
        <v>0.62410349883108129</v>
      </c>
    </row>
    <row r="33" spans="1:8" ht="24" customHeight="1" x14ac:dyDescent="0.2">
      <c r="A33" s="21">
        <v>7</v>
      </c>
      <c r="B33" s="22" t="s">
        <v>35</v>
      </c>
      <c r="C33" s="23">
        <v>4445000</v>
      </c>
      <c r="D33" s="23">
        <v>12515000</v>
      </c>
      <c r="E33" s="23">
        <f>D33-C33</f>
        <v>8070000</v>
      </c>
      <c r="F33" s="24">
        <f>IF(C33=0,0,E33/C33)</f>
        <v>1.8155230596175478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388908000</v>
      </c>
      <c r="D36" s="23">
        <v>400206000</v>
      </c>
      <c r="E36" s="23">
        <f>D36-C36</f>
        <v>11298000</v>
      </c>
      <c r="F36" s="24">
        <f>IF(C36=0,0,E36/C36)</f>
        <v>2.9050572371872013E-2</v>
      </c>
    </row>
    <row r="37" spans="1:8" ht="24" customHeight="1" x14ac:dyDescent="0.2">
      <c r="A37" s="21">
        <v>2</v>
      </c>
      <c r="B37" s="22" t="s">
        <v>39</v>
      </c>
      <c r="C37" s="23">
        <v>183826000</v>
      </c>
      <c r="D37" s="23">
        <v>197451000</v>
      </c>
      <c r="E37" s="23">
        <f>D37-C37</f>
        <v>13625000</v>
      </c>
      <c r="F37" s="24">
        <f>IF(C37=0,0,E37/C37)</f>
        <v>7.4119003840588379E-2</v>
      </c>
    </row>
    <row r="38" spans="1:8" ht="24" customHeight="1" x14ac:dyDescent="0.25">
      <c r="A38" s="25"/>
      <c r="B38" s="26" t="s">
        <v>40</v>
      </c>
      <c r="C38" s="27">
        <f>C36-C37</f>
        <v>205082000</v>
      </c>
      <c r="D38" s="27">
        <f>D36-D37</f>
        <v>202755000</v>
      </c>
      <c r="E38" s="27">
        <f>D38-C38</f>
        <v>-2327000</v>
      </c>
      <c r="F38" s="28">
        <f>IF(C38=0,0,E38/C38)</f>
        <v>-1.1346680839859178E-2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7882000</v>
      </c>
      <c r="D40" s="23">
        <v>7862000</v>
      </c>
      <c r="E40" s="23">
        <f>D40-C40</f>
        <v>-20000</v>
      </c>
      <c r="F40" s="24">
        <f>IF(C40=0,0,E40/C40)</f>
        <v>-2.5374270489723419E-3</v>
      </c>
    </row>
    <row r="41" spans="1:8" ht="24" customHeight="1" x14ac:dyDescent="0.25">
      <c r="A41" s="25"/>
      <c r="B41" s="26" t="s">
        <v>42</v>
      </c>
      <c r="C41" s="27">
        <f>+C38+C40</f>
        <v>212964000</v>
      </c>
      <c r="D41" s="27">
        <f>+D38+D40</f>
        <v>210617000</v>
      </c>
      <c r="E41" s="27">
        <f>D41-C41</f>
        <v>-2347000</v>
      </c>
      <c r="F41" s="28">
        <f>IF(C41=0,0,E41/C41)</f>
        <v>-1.1020641986439022E-2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567604000</v>
      </c>
      <c r="D43" s="27">
        <f>D22+D29+D31+D32+D33+D41</f>
        <v>583472000</v>
      </c>
      <c r="E43" s="27">
        <f>D43-C43</f>
        <v>15868000</v>
      </c>
      <c r="F43" s="28">
        <f>IF(C43=0,0,E43/C43)</f>
        <v>2.7956110245875646E-2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22763000</v>
      </c>
      <c r="D49" s="23">
        <v>27138000</v>
      </c>
      <c r="E49" s="23">
        <f t="shared" ref="E49:E56" si="2">D49-C49</f>
        <v>4375000</v>
      </c>
      <c r="F49" s="24">
        <f t="shared" ref="F49:F56" si="3">IF(C49=0,0,E49/C49)</f>
        <v>0.19219786495628871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15249000</v>
      </c>
      <c r="D50" s="23">
        <v>17128000</v>
      </c>
      <c r="E50" s="23">
        <f t="shared" si="2"/>
        <v>1879000</v>
      </c>
      <c r="F50" s="24">
        <f t="shared" si="3"/>
        <v>0.12322119483244803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12219000</v>
      </c>
      <c r="D51" s="23">
        <v>10883000</v>
      </c>
      <c r="E51" s="23">
        <f t="shared" si="2"/>
        <v>-1336000</v>
      </c>
      <c r="F51" s="24">
        <f t="shared" si="3"/>
        <v>-0.10933791635976757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404000</v>
      </c>
      <c r="D52" s="23">
        <v>438000</v>
      </c>
      <c r="E52" s="23">
        <f t="shared" si="2"/>
        <v>34000</v>
      </c>
      <c r="F52" s="24">
        <f t="shared" si="3"/>
        <v>8.4158415841584164E-2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1035000</v>
      </c>
      <c r="D53" s="23">
        <v>989000</v>
      </c>
      <c r="E53" s="23">
        <f t="shared" si="2"/>
        <v>-46000</v>
      </c>
      <c r="F53" s="24">
        <f t="shared" si="3"/>
        <v>-4.4444444444444446E-2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51670000</v>
      </c>
      <c r="D56" s="27">
        <f>SUM(D49:D55)</f>
        <v>56576000</v>
      </c>
      <c r="E56" s="27">
        <f t="shared" si="2"/>
        <v>4906000</v>
      </c>
      <c r="F56" s="28">
        <f t="shared" si="3"/>
        <v>9.4948712986258954E-2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59295000</v>
      </c>
      <c r="D59" s="23">
        <v>46906000</v>
      </c>
      <c r="E59" s="23">
        <f>D59-C59</f>
        <v>-12389000</v>
      </c>
      <c r="F59" s="24">
        <f>IF(C59=0,0,E59/C59)</f>
        <v>-0.20893835905219665</v>
      </c>
    </row>
    <row r="60" spans="1:6" ht="24" customHeight="1" x14ac:dyDescent="0.2">
      <c r="A60" s="21">
        <v>2</v>
      </c>
      <c r="B60" s="22" t="s">
        <v>57</v>
      </c>
      <c r="C60" s="23">
        <v>11191000</v>
      </c>
      <c r="D60" s="23">
        <v>10753000</v>
      </c>
      <c r="E60" s="23">
        <f>D60-C60</f>
        <v>-438000</v>
      </c>
      <c r="F60" s="24">
        <f>IF(C60=0,0,E60/C60)</f>
        <v>-3.9138593512644086E-2</v>
      </c>
    </row>
    <row r="61" spans="1:6" ht="24" customHeight="1" x14ac:dyDescent="0.25">
      <c r="A61" s="25"/>
      <c r="B61" s="26" t="s">
        <v>58</v>
      </c>
      <c r="C61" s="27">
        <f>SUM(C59:C60)</f>
        <v>70486000</v>
      </c>
      <c r="D61" s="27">
        <f>SUM(D59:D60)</f>
        <v>57659000</v>
      </c>
      <c r="E61" s="27">
        <f>D61-C61</f>
        <v>-12827000</v>
      </c>
      <c r="F61" s="28">
        <f>IF(C61=0,0,E61/C61)</f>
        <v>-0.18197940016457168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37854000</v>
      </c>
      <c r="D63" s="23">
        <v>10738000</v>
      </c>
      <c r="E63" s="23">
        <f>D63-C63</f>
        <v>-27116000</v>
      </c>
      <c r="F63" s="24">
        <f>IF(C63=0,0,E63/C63)</f>
        <v>-0.7163311671157605</v>
      </c>
    </row>
    <row r="64" spans="1:6" ht="24" customHeight="1" x14ac:dyDescent="0.2">
      <c r="A64" s="21">
        <v>4</v>
      </c>
      <c r="B64" s="22" t="s">
        <v>60</v>
      </c>
      <c r="C64" s="23">
        <v>10868000</v>
      </c>
      <c r="D64" s="23">
        <v>12572000</v>
      </c>
      <c r="E64" s="23">
        <f>D64-C64</f>
        <v>1704000</v>
      </c>
      <c r="F64" s="24">
        <f>IF(C64=0,0,E64/C64)</f>
        <v>0.15679057784320943</v>
      </c>
    </row>
    <row r="65" spans="1:6" ht="24" customHeight="1" x14ac:dyDescent="0.25">
      <c r="A65" s="25"/>
      <c r="B65" s="26" t="s">
        <v>61</v>
      </c>
      <c r="C65" s="27">
        <f>SUM(C61:C64)</f>
        <v>119208000</v>
      </c>
      <c r="D65" s="27">
        <f>SUM(D61:D64)</f>
        <v>80969000</v>
      </c>
      <c r="E65" s="27">
        <f>D65-C65</f>
        <v>-38239000</v>
      </c>
      <c r="F65" s="28">
        <f>IF(C65=0,0,E65/C65)</f>
        <v>-0.32077545131199248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373265000</v>
      </c>
      <c r="D70" s="23">
        <v>427407000</v>
      </c>
      <c r="E70" s="23">
        <f>D70-C70</f>
        <v>54142000</v>
      </c>
      <c r="F70" s="24">
        <f>IF(C70=0,0,E70/C70)</f>
        <v>0.14504976357279681</v>
      </c>
    </row>
    <row r="71" spans="1:6" ht="24" customHeight="1" x14ac:dyDescent="0.2">
      <c r="A71" s="21">
        <v>2</v>
      </c>
      <c r="B71" s="22" t="s">
        <v>65</v>
      </c>
      <c r="C71" s="23">
        <v>15105000</v>
      </c>
      <c r="D71" s="23">
        <v>10120000</v>
      </c>
      <c r="E71" s="23">
        <f>D71-C71</f>
        <v>-4985000</v>
      </c>
      <c r="F71" s="24">
        <f>IF(C71=0,0,E71/C71)</f>
        <v>-0.33002317113538565</v>
      </c>
    </row>
    <row r="72" spans="1:6" ht="24" customHeight="1" x14ac:dyDescent="0.2">
      <c r="A72" s="21">
        <v>3</v>
      </c>
      <c r="B72" s="22" t="s">
        <v>66</v>
      </c>
      <c r="C72" s="23">
        <v>8356000</v>
      </c>
      <c r="D72" s="23">
        <v>8400000</v>
      </c>
      <c r="E72" s="23">
        <f>D72-C72</f>
        <v>44000</v>
      </c>
      <c r="F72" s="24">
        <f>IF(C72=0,0,E72/C72)</f>
        <v>5.2656773575873624E-3</v>
      </c>
    </row>
    <row r="73" spans="1:6" ht="24" customHeight="1" x14ac:dyDescent="0.25">
      <c r="A73" s="21"/>
      <c r="B73" s="26" t="s">
        <v>67</v>
      </c>
      <c r="C73" s="27">
        <f>SUM(C70:C72)</f>
        <v>396726000</v>
      </c>
      <c r="D73" s="27">
        <f>SUM(D70:D72)</f>
        <v>445927000</v>
      </c>
      <c r="E73" s="27">
        <f>D73-C73</f>
        <v>49201000</v>
      </c>
      <c r="F73" s="28">
        <f>IF(C73=0,0,E73/C73)</f>
        <v>0.12401758392442139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567604000</v>
      </c>
      <c r="D75" s="27">
        <f>D56+D65+D67+D73</f>
        <v>583472000</v>
      </c>
      <c r="E75" s="27">
        <f>D75-C75</f>
        <v>15868000</v>
      </c>
      <c r="F75" s="28">
        <f>IF(C75=0,0,E75/C75)</f>
        <v>2.7956110245875646E-2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346694000</v>
      </c>
      <c r="D11" s="51">
        <v>370296000</v>
      </c>
      <c r="E11" s="51">
        <v>400348000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40358000</v>
      </c>
      <c r="D12" s="49">
        <v>40508000</v>
      </c>
      <c r="E12" s="49">
        <v>38558000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387052000</v>
      </c>
      <c r="D13" s="51">
        <f>+D11+D12</f>
        <v>410804000</v>
      </c>
      <c r="E13" s="51">
        <f>+E11+E12</f>
        <v>438906000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375628000</v>
      </c>
      <c r="D14" s="49">
        <v>400215000</v>
      </c>
      <c r="E14" s="49">
        <v>426595000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11424000</v>
      </c>
      <c r="D15" s="51">
        <f>+D13-D14</f>
        <v>10589000</v>
      </c>
      <c r="E15" s="51">
        <f>+E13-E14</f>
        <v>12311000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-6287000</v>
      </c>
      <c r="D16" s="49">
        <v>31140000</v>
      </c>
      <c r="E16" s="49">
        <v>10431000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5137000</v>
      </c>
      <c r="D17" s="51">
        <f>D15+D16</f>
        <v>41729000</v>
      </c>
      <c r="E17" s="51">
        <f>E15+E16</f>
        <v>22742000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3.0002757606397645E-2</v>
      </c>
      <c r="D20" s="169">
        <f>IF(+D27=0,0,+D24/+D27)</f>
        <v>2.3960049237007404E-2</v>
      </c>
      <c r="E20" s="169">
        <f>IF(+E27=0,0,+E24/+E27)</f>
        <v>2.7398144377160125E-2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-1.651149659238638E-2</v>
      </c>
      <c r="D21" s="169">
        <f>IF(+D27=0,0,+D26/+D27)</f>
        <v>7.0461415925999679E-2</v>
      </c>
      <c r="E21" s="169">
        <f>IF(+E27=0,0,+E26/+E27)</f>
        <v>2.3214202257993442E-2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1.3491261014011267E-2</v>
      </c>
      <c r="D22" s="169">
        <f>IF(+D27=0,0,+D28/+D27)</f>
        <v>9.4421465163007076E-2</v>
      </c>
      <c r="E22" s="169">
        <f>IF(+E27=0,0,+E28/+E27)</f>
        <v>5.0612346635153571E-2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11424000</v>
      </c>
      <c r="D24" s="51">
        <f>+D15</f>
        <v>10589000</v>
      </c>
      <c r="E24" s="51">
        <f>+E15</f>
        <v>12311000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387052000</v>
      </c>
      <c r="D25" s="51">
        <f>+D13</f>
        <v>410804000</v>
      </c>
      <c r="E25" s="51">
        <f>+E13</f>
        <v>438906000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-6287000</v>
      </c>
      <c r="D26" s="51">
        <f>+D16</f>
        <v>31140000</v>
      </c>
      <c r="E26" s="51">
        <f>+E16</f>
        <v>10431000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380765000</v>
      </c>
      <c r="D27" s="51">
        <f>SUM(D25:D26)</f>
        <v>441944000</v>
      </c>
      <c r="E27" s="51">
        <f>SUM(E25:E26)</f>
        <v>449337000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5137000</v>
      </c>
      <c r="D28" s="51">
        <f>+D17</f>
        <v>41729000</v>
      </c>
      <c r="E28" s="51">
        <f>+E17</f>
        <v>22742000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364490000</v>
      </c>
      <c r="D31" s="51">
        <v>425240000</v>
      </c>
      <c r="E31" s="52">
        <v>482267000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411285000</v>
      </c>
      <c r="D32" s="51">
        <v>454622000</v>
      </c>
      <c r="E32" s="51">
        <v>506361000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-22213000</v>
      </c>
      <c r="D33" s="51">
        <f>+D32-C32</f>
        <v>43337000</v>
      </c>
      <c r="E33" s="51">
        <f>+E32-D32</f>
        <v>51739000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0.94869999999999999</v>
      </c>
      <c r="D34" s="171">
        <f>IF(C32=0,0,+D33/C32)</f>
        <v>0.10536975576546677</v>
      </c>
      <c r="E34" s="171">
        <f>IF(D32=0,0,+E33/D32)</f>
        <v>0.11380663496267229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1.255309325946445</v>
      </c>
      <c r="D38" s="269">
        <f>IF(+D40=0,0,+D39/+D40)</f>
        <v>1.5089083471381723</v>
      </c>
      <c r="E38" s="269">
        <f>IF(+E40=0,0,+E39/+E40)</f>
        <v>1.1384450402144772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76132000</v>
      </c>
      <c r="D39" s="270">
        <v>89264000</v>
      </c>
      <c r="E39" s="270">
        <v>74312000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60648000</v>
      </c>
      <c r="D40" s="270">
        <v>59158000</v>
      </c>
      <c r="E40" s="270">
        <v>65275000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23.919551639872108</v>
      </c>
      <c r="D42" s="271">
        <f>IF((D48/365)=0,0,+D45/(D48/365))</f>
        <v>27.602632095855434</v>
      </c>
      <c r="E42" s="271">
        <f>IF((E48/365)=0,0,+E45/(E48/365))</f>
        <v>11.522868816199532</v>
      </c>
    </row>
    <row r="43" spans="1:14" ht="24" customHeight="1" x14ac:dyDescent="0.2">
      <c r="A43" s="17">
        <v>5</v>
      </c>
      <c r="B43" s="188" t="s">
        <v>16</v>
      </c>
      <c r="C43" s="272">
        <v>12274000</v>
      </c>
      <c r="D43" s="272">
        <v>7535000</v>
      </c>
      <c r="E43" s="272">
        <v>8155000</v>
      </c>
    </row>
    <row r="44" spans="1:14" ht="24" customHeight="1" x14ac:dyDescent="0.2">
      <c r="A44" s="17">
        <v>6</v>
      </c>
      <c r="B44" s="273" t="s">
        <v>17</v>
      </c>
      <c r="C44" s="274">
        <v>11030000</v>
      </c>
      <c r="D44" s="274">
        <v>20955000</v>
      </c>
      <c r="E44" s="274">
        <v>4548000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23304000</v>
      </c>
      <c r="D45" s="270">
        <f>+D43+D44</f>
        <v>28490000</v>
      </c>
      <c r="E45" s="270">
        <f>+E43+E44</f>
        <v>12703000</v>
      </c>
    </row>
    <row r="46" spans="1:14" ht="24" customHeight="1" x14ac:dyDescent="0.2">
      <c r="A46" s="17">
        <v>8</v>
      </c>
      <c r="B46" s="45" t="s">
        <v>324</v>
      </c>
      <c r="C46" s="270">
        <f>+C14</f>
        <v>375628000</v>
      </c>
      <c r="D46" s="270">
        <f>+D14</f>
        <v>400215000</v>
      </c>
      <c r="E46" s="270">
        <f>+E14</f>
        <v>426595000</v>
      </c>
    </row>
    <row r="47" spans="1:14" ht="24" customHeight="1" x14ac:dyDescent="0.2">
      <c r="A47" s="17">
        <v>9</v>
      </c>
      <c r="B47" s="45" t="s">
        <v>347</v>
      </c>
      <c r="C47" s="270">
        <v>20021000</v>
      </c>
      <c r="D47" s="270">
        <v>23481000</v>
      </c>
      <c r="E47" s="270">
        <v>24213000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355607000</v>
      </c>
      <c r="D48" s="270">
        <f>+D46-D47</f>
        <v>376734000</v>
      </c>
      <c r="E48" s="270">
        <f>+E46-E47</f>
        <v>402382000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34.213946592672499</v>
      </c>
      <c r="D50" s="278">
        <f>IF((D55/365)=0,0,+D54/(D55/365))</f>
        <v>32.971595696415839</v>
      </c>
      <c r="E50" s="278">
        <f>IF((E55/365)=0,0,+E54/(E55/365))</f>
        <v>33.498843506149647</v>
      </c>
    </row>
    <row r="51" spans="1:5" ht="24" customHeight="1" x14ac:dyDescent="0.2">
      <c r="A51" s="17">
        <v>12</v>
      </c>
      <c r="B51" s="188" t="s">
        <v>350</v>
      </c>
      <c r="C51" s="279">
        <v>41629000</v>
      </c>
      <c r="D51" s="279">
        <v>45741000</v>
      </c>
      <c r="E51" s="279">
        <v>47626000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9131000</v>
      </c>
      <c r="D53" s="270">
        <v>12291000</v>
      </c>
      <c r="E53" s="270">
        <v>10883000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32498000</v>
      </c>
      <c r="D54" s="280">
        <f>+D51+D52-D53</f>
        <v>33450000</v>
      </c>
      <c r="E54" s="280">
        <f>+E51+E52-E53</f>
        <v>36743000</v>
      </c>
    </row>
    <row r="55" spans="1:5" ht="24" customHeight="1" x14ac:dyDescent="0.2">
      <c r="A55" s="17">
        <v>16</v>
      </c>
      <c r="B55" s="45" t="s">
        <v>75</v>
      </c>
      <c r="C55" s="270">
        <f>+C11</f>
        <v>346694000</v>
      </c>
      <c r="D55" s="270">
        <f>+D11</f>
        <v>370296000</v>
      </c>
      <c r="E55" s="270">
        <f>+E11</f>
        <v>400348000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62.249955709533282</v>
      </c>
      <c r="D57" s="283">
        <f>IF((D61/365)=0,0,+D58/(D61/365))</f>
        <v>57.315426799811007</v>
      </c>
      <c r="E57" s="283">
        <f>IF((E61/365)=0,0,+E58/(E61/365))</f>
        <v>59.210836965868253</v>
      </c>
    </row>
    <row r="58" spans="1:5" ht="24" customHeight="1" x14ac:dyDescent="0.2">
      <c r="A58" s="17">
        <v>18</v>
      </c>
      <c r="B58" s="45" t="s">
        <v>54</v>
      </c>
      <c r="C58" s="281">
        <f>+C40</f>
        <v>60648000</v>
      </c>
      <c r="D58" s="281">
        <f>+D40</f>
        <v>59158000</v>
      </c>
      <c r="E58" s="281">
        <f>+E40</f>
        <v>65275000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375628000</v>
      </c>
      <c r="D59" s="281">
        <f t="shared" si="0"/>
        <v>400215000</v>
      </c>
      <c r="E59" s="281">
        <f t="shared" si="0"/>
        <v>426595000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20021000</v>
      </c>
      <c r="D60" s="176">
        <f t="shared" si="0"/>
        <v>23481000</v>
      </c>
      <c r="E60" s="176">
        <f t="shared" si="0"/>
        <v>24213000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355607000</v>
      </c>
      <c r="D61" s="281">
        <f>+D59-D60</f>
        <v>376734000</v>
      </c>
      <c r="E61" s="281">
        <f>+E59-E60</f>
        <v>402382000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68.312051130437084</v>
      </c>
      <c r="D65" s="284">
        <f>IF(D67=0,0,(D66/D67)*100)</f>
        <v>70.437072959112541</v>
      </c>
      <c r="E65" s="284">
        <f>IF(E67=0,0,(E66/E67)*100)</f>
        <v>77.109481359204963</v>
      </c>
    </row>
    <row r="66" spans="1:5" ht="24" customHeight="1" x14ac:dyDescent="0.2">
      <c r="A66" s="17">
        <v>2</v>
      </c>
      <c r="B66" s="45" t="s">
        <v>67</v>
      </c>
      <c r="C66" s="281">
        <f>+C32</f>
        <v>411285000</v>
      </c>
      <c r="D66" s="281">
        <f>+D32</f>
        <v>454622000</v>
      </c>
      <c r="E66" s="281">
        <f>+E32</f>
        <v>506361000</v>
      </c>
    </row>
    <row r="67" spans="1:5" ht="24" customHeight="1" x14ac:dyDescent="0.2">
      <c r="A67" s="17">
        <v>3</v>
      </c>
      <c r="B67" s="45" t="s">
        <v>43</v>
      </c>
      <c r="C67" s="281">
        <v>602068000</v>
      </c>
      <c r="D67" s="281">
        <v>645430000</v>
      </c>
      <c r="E67" s="281">
        <v>656678000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18.031823394495415</v>
      </c>
      <c r="D69" s="284">
        <f>IF(D75=0,0,(D72/D75)*100)</f>
        <v>47.465152673144814</v>
      </c>
      <c r="E69" s="284">
        <f>IF(E75=0,0,(E72/E75)*100)</f>
        <v>38.195291782582522</v>
      </c>
    </row>
    <row r="70" spans="1:5" ht="24" customHeight="1" x14ac:dyDescent="0.2">
      <c r="A70" s="17">
        <v>5</v>
      </c>
      <c r="B70" s="45" t="s">
        <v>358</v>
      </c>
      <c r="C70" s="281">
        <f>+C28</f>
        <v>5137000</v>
      </c>
      <c r="D70" s="281">
        <f>+D28</f>
        <v>41729000</v>
      </c>
      <c r="E70" s="281">
        <f>+E28</f>
        <v>22742000</v>
      </c>
    </row>
    <row r="71" spans="1:5" ht="24" customHeight="1" x14ac:dyDescent="0.2">
      <c r="A71" s="17">
        <v>6</v>
      </c>
      <c r="B71" s="45" t="s">
        <v>347</v>
      </c>
      <c r="C71" s="176">
        <f>+C47</f>
        <v>20021000</v>
      </c>
      <c r="D71" s="176">
        <f>+D47</f>
        <v>23481000</v>
      </c>
      <c r="E71" s="176">
        <f>+E47</f>
        <v>24213000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25158000</v>
      </c>
      <c r="D72" s="281">
        <f>+D70+D71</f>
        <v>65210000</v>
      </c>
      <c r="E72" s="281">
        <f>+E70+E71</f>
        <v>46955000</v>
      </c>
    </row>
    <row r="73" spans="1:5" ht="24" customHeight="1" x14ac:dyDescent="0.2">
      <c r="A73" s="17">
        <v>8</v>
      </c>
      <c r="B73" s="45" t="s">
        <v>54</v>
      </c>
      <c r="C73" s="270">
        <f>+C40</f>
        <v>60648000</v>
      </c>
      <c r="D73" s="270">
        <f>+D40</f>
        <v>59158000</v>
      </c>
      <c r="E73" s="270">
        <f>+E40</f>
        <v>65275000</v>
      </c>
    </row>
    <row r="74" spans="1:5" ht="24" customHeight="1" x14ac:dyDescent="0.2">
      <c r="A74" s="17">
        <v>9</v>
      </c>
      <c r="B74" s="45" t="s">
        <v>58</v>
      </c>
      <c r="C74" s="281">
        <v>78872000</v>
      </c>
      <c r="D74" s="281">
        <v>78227000</v>
      </c>
      <c r="E74" s="281">
        <v>57659000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139520000</v>
      </c>
      <c r="D75" s="270">
        <f>+D73+D74</f>
        <v>137385000</v>
      </c>
      <c r="E75" s="270">
        <f>+E73+E74</f>
        <v>122934000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16.09117078813523</v>
      </c>
      <c r="D77" s="286">
        <f>IF(D80=0,0,(D78/D80)*100)</f>
        <v>14.68089458739718</v>
      </c>
      <c r="E77" s="286">
        <f>IF(E80=0,0,(E78/E80)*100)</f>
        <v>10.222864437431296</v>
      </c>
    </row>
    <row r="78" spans="1:5" ht="24" customHeight="1" x14ac:dyDescent="0.2">
      <c r="A78" s="17">
        <v>12</v>
      </c>
      <c r="B78" s="45" t="s">
        <v>58</v>
      </c>
      <c r="C78" s="270">
        <f>+C74</f>
        <v>78872000</v>
      </c>
      <c r="D78" s="270">
        <f>+D74</f>
        <v>78227000</v>
      </c>
      <c r="E78" s="270">
        <f>+E74</f>
        <v>57659000</v>
      </c>
    </row>
    <row r="79" spans="1:5" ht="24" customHeight="1" x14ac:dyDescent="0.2">
      <c r="A79" s="17">
        <v>13</v>
      </c>
      <c r="B79" s="45" t="s">
        <v>67</v>
      </c>
      <c r="C79" s="270">
        <f>+C32</f>
        <v>411285000</v>
      </c>
      <c r="D79" s="270">
        <f>+D32</f>
        <v>454622000</v>
      </c>
      <c r="E79" s="270">
        <f>+E32</f>
        <v>506361000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490157000</v>
      </c>
      <c r="D80" s="270">
        <f>+D78+D79</f>
        <v>532849000</v>
      </c>
      <c r="E80" s="270">
        <f>+E78+E79</f>
        <v>564020000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FILING&amp;R&amp;8ST VINCENTS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Normal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76339</v>
      </c>
      <c r="D11" s="296">
        <v>16517</v>
      </c>
      <c r="E11" s="296">
        <v>15002</v>
      </c>
      <c r="F11" s="297">
        <v>242</v>
      </c>
      <c r="G11" s="297">
        <v>242</v>
      </c>
      <c r="H11" s="298">
        <f>IF(F11=0,0,$C11/(F11*365))</f>
        <v>0.86424770746065893</v>
      </c>
      <c r="I11" s="298">
        <f>IF(G11=0,0,$C11/(G11*365))</f>
        <v>0.86424770746065893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7146</v>
      </c>
      <c r="D13" s="296">
        <v>282</v>
      </c>
      <c r="E13" s="296">
        <v>0</v>
      </c>
      <c r="F13" s="297">
        <v>30</v>
      </c>
      <c r="G13" s="297">
        <v>30</v>
      </c>
      <c r="H13" s="298">
        <f>IF(F13=0,0,$C13/(F13*365))</f>
        <v>0.65260273972602745</v>
      </c>
      <c r="I13" s="298">
        <f>IF(G13=0,0,$C13/(G13*365))</f>
        <v>0.65260273972602745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4809</v>
      </c>
      <c r="D15" s="296">
        <v>386</v>
      </c>
      <c r="E15" s="296">
        <v>388</v>
      </c>
      <c r="F15" s="297">
        <v>17</v>
      </c>
      <c r="G15" s="297">
        <v>17</v>
      </c>
      <c r="H15" s="298">
        <f t="shared" ref="H15:I17" si="0">IF(F15=0,0,$C15/(F15*365))</f>
        <v>0.77502014504431904</v>
      </c>
      <c r="I15" s="298">
        <f t="shared" si="0"/>
        <v>0.77502014504431904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24234</v>
      </c>
      <c r="D16" s="296">
        <v>2551</v>
      </c>
      <c r="E16" s="296">
        <v>2539</v>
      </c>
      <c r="F16" s="297">
        <v>75</v>
      </c>
      <c r="G16" s="297">
        <v>75</v>
      </c>
      <c r="H16" s="298">
        <f t="shared" si="0"/>
        <v>0.88526027397260276</v>
      </c>
      <c r="I16" s="298">
        <f t="shared" si="0"/>
        <v>0.88526027397260276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29043</v>
      </c>
      <c r="D17" s="300">
        <f>SUM(D15:D16)</f>
        <v>2937</v>
      </c>
      <c r="E17" s="300">
        <f>SUM(E15:E16)</f>
        <v>2927</v>
      </c>
      <c r="F17" s="300">
        <f>SUM(F15:F16)</f>
        <v>92</v>
      </c>
      <c r="G17" s="300">
        <f>SUM(G15:G16)</f>
        <v>92</v>
      </c>
      <c r="H17" s="301">
        <f t="shared" si="0"/>
        <v>0.8648898153662895</v>
      </c>
      <c r="I17" s="301">
        <f t="shared" si="0"/>
        <v>0.8648898153662895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2679</v>
      </c>
      <c r="D19" s="296">
        <v>197</v>
      </c>
      <c r="E19" s="296">
        <v>200</v>
      </c>
      <c r="F19" s="297">
        <v>10</v>
      </c>
      <c r="G19" s="297">
        <v>10</v>
      </c>
      <c r="H19" s="298">
        <f>IF(F19=0,0,$C19/(F19*365))</f>
        <v>0.73397260273972598</v>
      </c>
      <c r="I19" s="298">
        <f>IF(G19=0,0,$C19/(G19*365))</f>
        <v>0.73397260273972598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3469</v>
      </c>
      <c r="D21" s="296">
        <v>1256</v>
      </c>
      <c r="E21" s="296">
        <v>1202</v>
      </c>
      <c r="F21" s="297">
        <v>22</v>
      </c>
      <c r="G21" s="297">
        <v>22</v>
      </c>
      <c r="H21" s="298">
        <f>IF(F21=0,0,$C21/(F21*365))</f>
        <v>0.43200498132004983</v>
      </c>
      <c r="I21" s="298">
        <f>IF(G21=0,0,$C21/(G21*365))</f>
        <v>0.43200498132004983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3764</v>
      </c>
      <c r="D23" s="296">
        <v>1193</v>
      </c>
      <c r="E23" s="296">
        <v>1193</v>
      </c>
      <c r="F23" s="297">
        <v>27</v>
      </c>
      <c r="G23" s="297">
        <v>27</v>
      </c>
      <c r="H23" s="298">
        <f>IF(F23=0,0,$C23/(F23*365))</f>
        <v>0.3819381024860477</v>
      </c>
      <c r="I23" s="298">
        <f>IF(G23=0,0,$C23/(G23*365))</f>
        <v>0.3819381024860477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118676</v>
      </c>
      <c r="D31" s="300">
        <f>SUM(D10:D29)-D13-D17-D23</f>
        <v>20907</v>
      </c>
      <c r="E31" s="300">
        <f>SUM(E10:E29)-E17-E23</f>
        <v>19331</v>
      </c>
      <c r="F31" s="300">
        <f>SUM(F10:F29)-F17-F23</f>
        <v>396</v>
      </c>
      <c r="G31" s="300">
        <f>SUM(G10:G29)-G17-G23</f>
        <v>396</v>
      </c>
      <c r="H31" s="301">
        <f>IF(F31=0,0,$C31/(F31*365))</f>
        <v>0.8210599142105991</v>
      </c>
      <c r="I31" s="301">
        <f>IF(G31=0,0,$C31/(G31*365))</f>
        <v>0.8210599142105991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122440</v>
      </c>
      <c r="D33" s="300">
        <f>SUM(D10:D29)-D13-D17</f>
        <v>22100</v>
      </c>
      <c r="E33" s="300">
        <f>SUM(E10:E29)-E17</f>
        <v>20524</v>
      </c>
      <c r="F33" s="300">
        <f>SUM(F10:F29)-F17</f>
        <v>423</v>
      </c>
      <c r="G33" s="300">
        <f>SUM(G10:G29)-G17</f>
        <v>423</v>
      </c>
      <c r="H33" s="301">
        <f>IF(F33=0,0,$C33/(F33*365))</f>
        <v>0.79303086239839371</v>
      </c>
      <c r="I33" s="301">
        <f>IF(G33=0,0,$C33/(G33*365))</f>
        <v>0.79303086239839371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122440</v>
      </c>
      <c r="D36" s="300">
        <f t="shared" si="1"/>
        <v>22100</v>
      </c>
      <c r="E36" s="300">
        <f t="shared" si="1"/>
        <v>20524</v>
      </c>
      <c r="F36" s="300">
        <f t="shared" si="1"/>
        <v>423</v>
      </c>
      <c r="G36" s="300">
        <f t="shared" si="1"/>
        <v>423</v>
      </c>
      <c r="H36" s="301">
        <f t="shared" si="1"/>
        <v>0.79303086239839371</v>
      </c>
      <c r="I36" s="301">
        <f t="shared" si="1"/>
        <v>0.79303086239839371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122812</v>
      </c>
      <c r="D37" s="300">
        <v>0</v>
      </c>
      <c r="E37" s="300">
        <v>0</v>
      </c>
      <c r="F37" s="302">
        <v>423</v>
      </c>
      <c r="G37" s="302">
        <v>423</v>
      </c>
      <c r="H37" s="301">
        <f>IF(F37=0,0,$C37/(F37*365))</f>
        <v>0.79544026684801972</v>
      </c>
      <c r="I37" s="301">
        <f>IF(G37=0,0,$C37/(G37*365))</f>
        <v>0.79544026684801972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-372</v>
      </c>
      <c r="D38" s="300">
        <f t="shared" si="2"/>
        <v>22100</v>
      </c>
      <c r="E38" s="300">
        <f t="shared" si="2"/>
        <v>20524</v>
      </c>
      <c r="F38" s="300">
        <f t="shared" si="2"/>
        <v>0</v>
      </c>
      <c r="G38" s="300">
        <f t="shared" si="2"/>
        <v>0</v>
      </c>
      <c r="H38" s="301">
        <f t="shared" si="2"/>
        <v>-2.409404449626007E-3</v>
      </c>
      <c r="I38" s="301">
        <f t="shared" si="2"/>
        <v>-2.409404449626007E-3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-3.0290199654756864E-3</v>
      </c>
      <c r="D40" s="148">
        <f t="shared" si="3"/>
        <v>0</v>
      </c>
      <c r="E40" s="148">
        <f t="shared" si="3"/>
        <v>0</v>
      </c>
      <c r="F40" s="148">
        <f t="shared" si="3"/>
        <v>0</v>
      </c>
      <c r="G40" s="148">
        <f t="shared" si="3"/>
        <v>0</v>
      </c>
      <c r="H40" s="148">
        <f t="shared" si="3"/>
        <v>-3.0290199654757462E-3</v>
      </c>
      <c r="I40" s="148">
        <f t="shared" si="3"/>
        <v>-3.0290199654757462E-3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520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FILING&amp;RSAINT VINCENT`S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6959</v>
      </c>
      <c r="D12" s="296">
        <v>6774</v>
      </c>
      <c r="E12" s="296">
        <f>+D12-C12</f>
        <v>-185</v>
      </c>
      <c r="F12" s="316">
        <f>IF(C12=0,0,+E12/C12)</f>
        <v>-2.6584279350481389E-2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2080</v>
      </c>
      <c r="D13" s="296">
        <v>2013</v>
      </c>
      <c r="E13" s="296">
        <f>+D13-C13</f>
        <v>-67</v>
      </c>
      <c r="F13" s="316">
        <f>IF(C13=0,0,+E13/C13)</f>
        <v>-3.2211538461538458E-2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8133</v>
      </c>
      <c r="D14" s="296">
        <v>7571</v>
      </c>
      <c r="E14" s="296">
        <f>+D14-C14</f>
        <v>-562</v>
      </c>
      <c r="F14" s="316">
        <f>IF(C14=0,0,+E14/C14)</f>
        <v>-6.9101192671830819E-2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17172</v>
      </c>
      <c r="D16" s="300">
        <f>SUM(D12:D15)</f>
        <v>16358</v>
      </c>
      <c r="E16" s="300">
        <f>+D16-C16</f>
        <v>-814</v>
      </c>
      <c r="F16" s="309">
        <f>IF(C16=0,0,+E16/C16)</f>
        <v>-4.7402748660610297E-2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1269</v>
      </c>
      <c r="D19" s="296">
        <v>1271</v>
      </c>
      <c r="E19" s="296">
        <f>+D19-C19</f>
        <v>2</v>
      </c>
      <c r="F19" s="316">
        <f>IF(C19=0,0,+E19/C19)</f>
        <v>1.5760441292356187E-3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1642</v>
      </c>
      <c r="D20" s="296">
        <v>1657</v>
      </c>
      <c r="E20" s="296">
        <f>+D20-C20</f>
        <v>15</v>
      </c>
      <c r="F20" s="316">
        <f>IF(C20=0,0,+E20/C20)</f>
        <v>9.1352009744214372E-3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137</v>
      </c>
      <c r="D21" s="296">
        <v>137</v>
      </c>
      <c r="E21" s="296">
        <f>+D21-C21</f>
        <v>0</v>
      </c>
      <c r="F21" s="316">
        <f>IF(C21=0,0,+E21/C21)</f>
        <v>0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3048</v>
      </c>
      <c r="D23" s="300">
        <f>SUM(D19:D22)</f>
        <v>3065</v>
      </c>
      <c r="E23" s="300">
        <f>+D23-C23</f>
        <v>17</v>
      </c>
      <c r="F23" s="309">
        <f>IF(C23=0,0,+E23/C23)</f>
        <v>5.5774278215223096E-3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31</v>
      </c>
      <c r="D33" s="296">
        <v>77</v>
      </c>
      <c r="E33" s="296">
        <f>+D33-C33</f>
        <v>46</v>
      </c>
      <c r="F33" s="316">
        <f>IF(C33=0,0,+E33/C33)</f>
        <v>1.4838709677419355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482</v>
      </c>
      <c r="D34" s="296">
        <v>461</v>
      </c>
      <c r="E34" s="296">
        <f>+D34-C34</f>
        <v>-21</v>
      </c>
      <c r="F34" s="316">
        <f>IF(C34=0,0,+E34/C34)</f>
        <v>-4.3568464730290454E-2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513</v>
      </c>
      <c r="D37" s="300">
        <f>SUM(D33:D36)</f>
        <v>538</v>
      </c>
      <c r="E37" s="300">
        <f>+D37-C37</f>
        <v>25</v>
      </c>
      <c r="F37" s="309">
        <f>IF(C37=0,0,+E37/C37)</f>
        <v>4.8732943469785572E-2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920</v>
      </c>
      <c r="D43" s="296">
        <v>816</v>
      </c>
      <c r="E43" s="296">
        <f>+D43-C43</f>
        <v>-104</v>
      </c>
      <c r="F43" s="316">
        <f>IF(C43=0,0,+E43/C43)</f>
        <v>-0.11304347826086956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15537</v>
      </c>
      <c r="D44" s="296">
        <v>18326</v>
      </c>
      <c r="E44" s="296">
        <f>+D44-C44</f>
        <v>2789</v>
      </c>
      <c r="F44" s="316">
        <f>IF(C44=0,0,+E44/C44)</f>
        <v>0.17950698333011522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16457</v>
      </c>
      <c r="D45" s="300">
        <f>SUM(D43:D44)</f>
        <v>19142</v>
      </c>
      <c r="E45" s="300">
        <f>+D45-C45</f>
        <v>2685</v>
      </c>
      <c r="F45" s="309">
        <f>IF(C45=0,0,+E45/C45)</f>
        <v>0.16315245792064167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1188</v>
      </c>
      <c r="D48" s="296">
        <v>983</v>
      </c>
      <c r="E48" s="296">
        <f>+D48-C48</f>
        <v>-205</v>
      </c>
      <c r="F48" s="316">
        <f>IF(C48=0,0,+E48/C48)</f>
        <v>-0.17255892255892255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600</v>
      </c>
      <c r="D49" s="296">
        <v>801</v>
      </c>
      <c r="E49" s="296">
        <f>+D49-C49</f>
        <v>201</v>
      </c>
      <c r="F49" s="316">
        <f>IF(C49=0,0,+E49/C49)</f>
        <v>0.33500000000000002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1788</v>
      </c>
      <c r="D50" s="300">
        <f>SUM(D48:D49)</f>
        <v>1784</v>
      </c>
      <c r="E50" s="300">
        <f>+D50-C50</f>
        <v>-4</v>
      </c>
      <c r="F50" s="309">
        <f>IF(C50=0,0,+E50/C50)</f>
        <v>-2.2371364653243847E-3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448</v>
      </c>
      <c r="D53" s="296">
        <v>227</v>
      </c>
      <c r="E53" s="296">
        <f>+D53-C53</f>
        <v>-221</v>
      </c>
      <c r="F53" s="316">
        <f>IF(C53=0,0,+E53/C53)</f>
        <v>-0.49330357142857145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454</v>
      </c>
      <c r="D54" s="296">
        <v>640</v>
      </c>
      <c r="E54" s="296">
        <f>+D54-C54</f>
        <v>186</v>
      </c>
      <c r="F54" s="316">
        <f>IF(C54=0,0,+E54/C54)</f>
        <v>0.40969162995594716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902</v>
      </c>
      <c r="D55" s="300">
        <f>SUM(D53:D54)</f>
        <v>867</v>
      </c>
      <c r="E55" s="300">
        <f>+D55-C55</f>
        <v>-35</v>
      </c>
      <c r="F55" s="309">
        <f>IF(C55=0,0,+E55/C55)</f>
        <v>-3.8802660753880266E-2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677</v>
      </c>
      <c r="D58" s="296">
        <v>647</v>
      </c>
      <c r="E58" s="296">
        <f>+D58-C58</f>
        <v>-30</v>
      </c>
      <c r="F58" s="316">
        <f>IF(C58=0,0,+E58/C58)</f>
        <v>-4.4313146233382568E-2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276</v>
      </c>
      <c r="D59" s="296">
        <v>361</v>
      </c>
      <c r="E59" s="296">
        <f>+D59-C59</f>
        <v>85</v>
      </c>
      <c r="F59" s="316">
        <f>IF(C59=0,0,+E59/C59)</f>
        <v>0.3079710144927536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953</v>
      </c>
      <c r="D60" s="300">
        <f>SUM(D58:D59)</f>
        <v>1008</v>
      </c>
      <c r="E60" s="300">
        <f>SUM(E58:E59)</f>
        <v>55</v>
      </c>
      <c r="F60" s="309">
        <f>IF(C60=0,0,+E60/C60)</f>
        <v>5.7712486883525711E-2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5926</v>
      </c>
      <c r="D63" s="296">
        <v>5257</v>
      </c>
      <c r="E63" s="296">
        <f>+D63-C63</f>
        <v>-669</v>
      </c>
      <c r="F63" s="316">
        <f>IF(C63=0,0,+E63/C63)</f>
        <v>-0.11289233884576443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6696</v>
      </c>
      <c r="D64" s="296">
        <v>6324</v>
      </c>
      <c r="E64" s="296">
        <f>+D64-C64</f>
        <v>-372</v>
      </c>
      <c r="F64" s="316">
        <f>IF(C64=0,0,+E64/C64)</f>
        <v>-5.5555555555555552E-2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12622</v>
      </c>
      <c r="D65" s="300">
        <f>SUM(D63:D64)</f>
        <v>11581</v>
      </c>
      <c r="E65" s="300">
        <f>+D65-C65</f>
        <v>-1041</v>
      </c>
      <c r="F65" s="309">
        <f>IF(C65=0,0,+E65/C65)</f>
        <v>-8.2475043574710818E-2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1983</v>
      </c>
      <c r="D68" s="296">
        <v>2063</v>
      </c>
      <c r="E68" s="296">
        <f>+D68-C68</f>
        <v>80</v>
      </c>
      <c r="F68" s="316">
        <f>IF(C68=0,0,+E68/C68)</f>
        <v>4.0342914775592535E-2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4319</v>
      </c>
      <c r="D69" s="296">
        <v>4590</v>
      </c>
      <c r="E69" s="296">
        <f>+D69-C69</f>
        <v>271</v>
      </c>
      <c r="F69" s="318">
        <f>IF(C69=0,0,+E69/C69)</f>
        <v>6.2746006019912023E-2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6302</v>
      </c>
      <c r="D70" s="300">
        <f>SUM(D68:D69)</f>
        <v>6653</v>
      </c>
      <c r="E70" s="300">
        <f>+D70-C70</f>
        <v>351</v>
      </c>
      <c r="F70" s="309">
        <f>IF(C70=0,0,+E70/C70)</f>
        <v>5.5696604252618215E-2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14253</v>
      </c>
      <c r="D73" s="319">
        <v>15163</v>
      </c>
      <c r="E73" s="296">
        <f>+D73-C73</f>
        <v>910</v>
      </c>
      <c r="F73" s="316">
        <f>IF(C73=0,0,+E73/C73)</f>
        <v>6.3846207815898406E-2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54760</v>
      </c>
      <c r="D74" s="319">
        <v>60360</v>
      </c>
      <c r="E74" s="296">
        <f>+D74-C74</f>
        <v>5600</v>
      </c>
      <c r="F74" s="316">
        <f>IF(C74=0,0,+E74/C74)</f>
        <v>0.10226442658875091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69013</v>
      </c>
      <c r="D75" s="300">
        <f>SUM(D73:D74)</f>
        <v>75523</v>
      </c>
      <c r="E75" s="300">
        <f>SUM(E73:E74)</f>
        <v>6510</v>
      </c>
      <c r="F75" s="309">
        <f>IF(C75=0,0,+E75/C75)</f>
        <v>9.4330053757987628E-2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15670</v>
      </c>
      <c r="D81" s="319">
        <v>21483</v>
      </c>
      <c r="E81" s="296">
        <f t="shared" si="0"/>
        <v>5813</v>
      </c>
      <c r="F81" s="316">
        <f t="shared" si="1"/>
        <v>0.37096362476068923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49569</v>
      </c>
      <c r="D82" s="319">
        <v>53932</v>
      </c>
      <c r="E82" s="296">
        <f t="shared" si="0"/>
        <v>4363</v>
      </c>
      <c r="F82" s="316">
        <f t="shared" si="1"/>
        <v>8.8018721378280776E-2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15544</v>
      </c>
      <c r="D83" s="319">
        <v>14819</v>
      </c>
      <c r="E83" s="296">
        <f t="shared" si="0"/>
        <v>-725</v>
      </c>
      <c r="F83" s="316">
        <f t="shared" si="1"/>
        <v>-4.6641791044776122E-2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80783</v>
      </c>
      <c r="D84" s="320">
        <f>SUM(D79:D83)</f>
        <v>90234</v>
      </c>
      <c r="E84" s="300">
        <f t="shared" si="0"/>
        <v>9451</v>
      </c>
      <c r="F84" s="309">
        <f t="shared" si="1"/>
        <v>0.11699243652748723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1869</v>
      </c>
      <c r="D87" s="322">
        <v>2188</v>
      </c>
      <c r="E87" s="323">
        <f t="shared" ref="E87:E92" si="2">+D87-C87</f>
        <v>319</v>
      </c>
      <c r="F87" s="318">
        <f t="shared" ref="F87:F92" si="3">IF(C87=0,0,+E87/C87)</f>
        <v>0.17067950775815943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997</v>
      </c>
      <c r="D88" s="322">
        <v>966</v>
      </c>
      <c r="E88" s="296">
        <f t="shared" si="2"/>
        <v>-31</v>
      </c>
      <c r="F88" s="316">
        <f t="shared" si="3"/>
        <v>-3.1093279839518557E-2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1774</v>
      </c>
      <c r="D89" s="322">
        <v>1213</v>
      </c>
      <c r="E89" s="296">
        <f t="shared" si="2"/>
        <v>-561</v>
      </c>
      <c r="F89" s="316">
        <f t="shared" si="3"/>
        <v>-0.31623449830890643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3144</v>
      </c>
      <c r="D90" s="322">
        <v>3225</v>
      </c>
      <c r="E90" s="296">
        <f t="shared" si="2"/>
        <v>81</v>
      </c>
      <c r="F90" s="316">
        <f t="shared" si="3"/>
        <v>2.5763358778625955E-2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88792</v>
      </c>
      <c r="D91" s="322">
        <v>94646</v>
      </c>
      <c r="E91" s="296">
        <f t="shared" si="2"/>
        <v>5854</v>
      </c>
      <c r="F91" s="316">
        <f t="shared" si="3"/>
        <v>6.5929363005676186E-2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96576</v>
      </c>
      <c r="D92" s="320">
        <f>SUM(D87:D91)</f>
        <v>102238</v>
      </c>
      <c r="E92" s="300">
        <f t="shared" si="2"/>
        <v>5662</v>
      </c>
      <c r="F92" s="309">
        <f t="shared" si="3"/>
        <v>5.8627402253147783E-2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740.3</v>
      </c>
      <c r="D96" s="325">
        <v>783.7</v>
      </c>
      <c r="E96" s="326">
        <f>+D96-C96</f>
        <v>43.400000000000091</v>
      </c>
      <c r="F96" s="316">
        <f>IF(C96=0,0,+E96/C96)</f>
        <v>5.8624881804673908E-2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95.9</v>
      </c>
      <c r="D97" s="325">
        <v>77.099999999999994</v>
      </c>
      <c r="E97" s="326">
        <f>+D97-C97</f>
        <v>-18.800000000000011</v>
      </c>
      <c r="F97" s="316">
        <f>IF(C97=0,0,+E97/C97)</f>
        <v>-0.19603753910323263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1183.9000000000001</v>
      </c>
      <c r="D98" s="325">
        <v>1186.4000000000001</v>
      </c>
      <c r="E98" s="326">
        <f>+D98-C98</f>
        <v>2.5</v>
      </c>
      <c r="F98" s="316">
        <f>IF(C98=0,0,+E98/C98)</f>
        <v>2.1116648365571413E-3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2020.1</v>
      </c>
      <c r="D99" s="327">
        <f>SUM(D96:D98)</f>
        <v>2047.2000000000003</v>
      </c>
      <c r="E99" s="327">
        <f>+D99-C99</f>
        <v>27.100000000000364</v>
      </c>
      <c r="F99" s="309">
        <f>IF(C99=0,0,+E99/C99)</f>
        <v>1.3415177466462237E-2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FILING&amp;RSAINT VINCENT`S MEDICAL CENTER</oddHeader>
    <oddFooter>&amp;LREPORT 450&amp;CPAGE &amp;P of &amp;N&amp;R&amp;D, &amp;T</oddFooter>
  </headerFooter>
  <rowBreaks count="1" manualBreakCount="1">
    <brk id="6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6696</v>
      </c>
      <c r="D12" s="296">
        <v>6324</v>
      </c>
      <c r="E12" s="296">
        <f>+D12-C12</f>
        <v>-372</v>
      </c>
      <c r="F12" s="316">
        <f>IF(C12=0,0,+E12/C12)</f>
        <v>-5.5555555555555552E-2</v>
      </c>
    </row>
    <row r="13" spans="1:16" ht="15.75" customHeight="1" x14ac:dyDescent="0.25">
      <c r="A13" s="294"/>
      <c r="B13" s="135" t="s">
        <v>589</v>
      </c>
      <c r="C13" s="300">
        <f>SUM(C11:C12)</f>
        <v>6696</v>
      </c>
      <c r="D13" s="300">
        <f>SUM(D11:D12)</f>
        <v>6324</v>
      </c>
      <c r="E13" s="300">
        <f>+D13-C13</f>
        <v>-372</v>
      </c>
      <c r="F13" s="309">
        <f>IF(C13=0,0,+E13/C13)</f>
        <v>-5.5555555555555552E-2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588</v>
      </c>
      <c r="C16" s="296">
        <v>4319</v>
      </c>
      <c r="D16" s="296">
        <v>4590</v>
      </c>
      <c r="E16" s="296">
        <f>+D16-C16</f>
        <v>271</v>
      </c>
      <c r="F16" s="316">
        <f>IF(C16=0,0,+E16/C16)</f>
        <v>6.2746006019912023E-2</v>
      </c>
    </row>
    <row r="17" spans="1:6" ht="15.75" customHeight="1" x14ac:dyDescent="0.25">
      <c r="A17" s="294"/>
      <c r="B17" s="135" t="s">
        <v>590</v>
      </c>
      <c r="C17" s="300">
        <f>SUM(C15:C16)</f>
        <v>4319</v>
      </c>
      <c r="D17" s="300">
        <f>SUM(D15:D16)</f>
        <v>4590</v>
      </c>
      <c r="E17" s="300">
        <f>+D17-C17</f>
        <v>271</v>
      </c>
      <c r="F17" s="309">
        <f>IF(C17=0,0,+E17/C17)</f>
        <v>6.2746006019912023E-2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591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588</v>
      </c>
      <c r="C20" s="296">
        <v>54760</v>
      </c>
      <c r="D20" s="296">
        <v>60360</v>
      </c>
      <c r="E20" s="296">
        <f>+D20-C20</f>
        <v>5600</v>
      </c>
      <c r="F20" s="316">
        <f>IF(C20=0,0,+E20/C20)</f>
        <v>0.10226442658875091</v>
      </c>
    </row>
    <row r="21" spans="1:6" ht="15.75" customHeight="1" x14ac:dyDescent="0.25">
      <c r="A21" s="294"/>
      <c r="B21" s="135" t="s">
        <v>592</v>
      </c>
      <c r="C21" s="300">
        <f>SUM(C19:C20)</f>
        <v>54760</v>
      </c>
      <c r="D21" s="300">
        <f>SUM(D19:D20)</f>
        <v>60360</v>
      </c>
      <c r="E21" s="300">
        <f>+D21-C21</f>
        <v>5600</v>
      </c>
      <c r="F21" s="309">
        <f>IF(C21=0,0,+E21/C21)</f>
        <v>0.10226442658875091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593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594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595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FILING&amp;RSAINT VINCENT`S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596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597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598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599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600</v>
      </c>
      <c r="D7" s="341" t="s">
        <v>600</v>
      </c>
      <c r="E7" s="341" t="s">
        <v>601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602</v>
      </c>
      <c r="D8" s="344" t="s">
        <v>603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604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605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606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607</v>
      </c>
      <c r="C15" s="361">
        <v>359183423</v>
      </c>
      <c r="D15" s="361">
        <v>377212835</v>
      </c>
      <c r="E15" s="361">
        <f t="shared" ref="E15:E24" si="0">D15-C15</f>
        <v>18029412</v>
      </c>
      <c r="F15" s="362">
        <f t="shared" ref="F15:F24" si="1">IF(C15=0,0,E15/C15)</f>
        <v>5.0195557048299526E-2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608</v>
      </c>
      <c r="C16" s="361">
        <v>122330717</v>
      </c>
      <c r="D16" s="361">
        <v>124807371</v>
      </c>
      <c r="E16" s="361">
        <f t="shared" si="0"/>
        <v>2476654</v>
      </c>
      <c r="F16" s="362">
        <f t="shared" si="1"/>
        <v>2.0245561055609606E-2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609</v>
      </c>
      <c r="C17" s="366">
        <f>IF(C15=0,0,C16/C15)</f>
        <v>0.34058007459882134</v>
      </c>
      <c r="D17" s="366">
        <f>IF(LN_IA1=0,0,LN_IA2/LN_IA1)</f>
        <v>0.33086724368750603</v>
      </c>
      <c r="E17" s="367">
        <f t="shared" si="0"/>
        <v>-9.7128309113153066E-3</v>
      </c>
      <c r="F17" s="362">
        <f t="shared" si="1"/>
        <v>-2.8518494285833716E-2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9920</v>
      </c>
      <c r="D18" s="369">
        <v>10164</v>
      </c>
      <c r="E18" s="369">
        <f t="shared" si="0"/>
        <v>244</v>
      </c>
      <c r="F18" s="362">
        <f t="shared" si="1"/>
        <v>2.4596774193548387E-2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610</v>
      </c>
      <c r="C19" s="372">
        <v>1.5162</v>
      </c>
      <c r="D19" s="372">
        <v>1.4971000000000001</v>
      </c>
      <c r="E19" s="373">
        <f t="shared" si="0"/>
        <v>-1.9099999999999895E-2</v>
      </c>
      <c r="F19" s="362">
        <f t="shared" si="1"/>
        <v>-1.2597282680385104E-2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611</v>
      </c>
      <c r="C20" s="376">
        <f>C18*C19</f>
        <v>15040.704</v>
      </c>
      <c r="D20" s="376">
        <f>LN_IA4*LN_IA5</f>
        <v>15216.5244</v>
      </c>
      <c r="E20" s="376">
        <f t="shared" si="0"/>
        <v>175.82040000000052</v>
      </c>
      <c r="F20" s="362">
        <f t="shared" si="1"/>
        <v>1.1689638995621516E-2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612</v>
      </c>
      <c r="C21" s="378">
        <f>IF(C20=0,0,C16/C20)</f>
        <v>8133.3105817387277</v>
      </c>
      <c r="D21" s="378">
        <f>IF(LN_IA6=0,0,LN_IA2/LN_IA6)</f>
        <v>8202.0944940619938</v>
      </c>
      <c r="E21" s="378">
        <f t="shared" si="0"/>
        <v>68.783912323266122</v>
      </c>
      <c r="F21" s="362">
        <f t="shared" si="1"/>
        <v>8.4570620575713448E-3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62768</v>
      </c>
      <c r="D22" s="369">
        <v>63673</v>
      </c>
      <c r="E22" s="369">
        <f t="shared" si="0"/>
        <v>905</v>
      </c>
      <c r="F22" s="362">
        <f t="shared" si="1"/>
        <v>1.4418174866173847E-2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613</v>
      </c>
      <c r="C23" s="378">
        <f>IF(C22=0,0,C16/C22)</f>
        <v>1948.9344411164925</v>
      </c>
      <c r="D23" s="378">
        <f>IF(LN_IA8=0,0,LN_IA2/LN_IA8)</f>
        <v>1960.1302121778463</v>
      </c>
      <c r="E23" s="378">
        <f t="shared" si="0"/>
        <v>11.195771061353753</v>
      </c>
      <c r="F23" s="362">
        <f t="shared" si="1"/>
        <v>5.7445601171376469E-3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614</v>
      </c>
      <c r="C24" s="379">
        <f>IF(C18=0,0,C22/C18)</f>
        <v>6.3274193548387094</v>
      </c>
      <c r="D24" s="379">
        <f>IF(LN_IA4=0,0,LN_IA8/LN_IA4)</f>
        <v>6.2645611963793781</v>
      </c>
      <c r="E24" s="379">
        <f t="shared" si="0"/>
        <v>-6.2858158459331293E-2</v>
      </c>
      <c r="F24" s="362">
        <f t="shared" si="1"/>
        <v>-9.934248851589448E-3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615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616</v>
      </c>
      <c r="C27" s="361">
        <v>90278603</v>
      </c>
      <c r="D27" s="361">
        <v>104518803</v>
      </c>
      <c r="E27" s="361">
        <f t="shared" ref="E27:E32" si="2">D27-C27</f>
        <v>14240200</v>
      </c>
      <c r="F27" s="362">
        <f t="shared" ref="F27:F32" si="3">IF(C27=0,0,E27/C27)</f>
        <v>0.15773615814591194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617</v>
      </c>
      <c r="C28" s="361">
        <v>25816532</v>
      </c>
      <c r="D28" s="361">
        <v>26749805</v>
      </c>
      <c r="E28" s="361">
        <f t="shared" si="2"/>
        <v>933273</v>
      </c>
      <c r="F28" s="362">
        <f t="shared" si="3"/>
        <v>3.6150207936526874E-2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618</v>
      </c>
      <c r="C29" s="366">
        <f>IF(C27=0,0,C28/C27)</f>
        <v>0.28596512509171196</v>
      </c>
      <c r="D29" s="366">
        <f>IF(LN_IA11=0,0,LN_IA12/LN_IA11)</f>
        <v>0.25593294442914738</v>
      </c>
      <c r="E29" s="367">
        <f t="shared" si="2"/>
        <v>-3.0032180662564578E-2</v>
      </c>
      <c r="F29" s="362">
        <f t="shared" si="3"/>
        <v>-0.10502043091070265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619</v>
      </c>
      <c r="C30" s="366">
        <f>IF(C15=0,0,C27/C15)</f>
        <v>0.25134401316733374</v>
      </c>
      <c r="D30" s="366">
        <f>IF(LN_IA1=0,0,LN_IA11/LN_IA1)</f>
        <v>0.27708177798350897</v>
      </c>
      <c r="E30" s="367">
        <f t="shared" si="2"/>
        <v>2.5737764816175235E-2</v>
      </c>
      <c r="F30" s="362">
        <f t="shared" si="3"/>
        <v>0.10240054852247532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620</v>
      </c>
      <c r="C31" s="376">
        <f>C30*C18</f>
        <v>2493.3326106199506</v>
      </c>
      <c r="D31" s="376">
        <f>LN_IA14*LN_IA4</f>
        <v>2816.2591914243853</v>
      </c>
      <c r="E31" s="376">
        <f t="shared" si="2"/>
        <v>322.92658080443471</v>
      </c>
      <c r="F31" s="362">
        <f t="shared" si="3"/>
        <v>0.12951604588532661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621</v>
      </c>
      <c r="C32" s="378">
        <f>IF(C31=0,0,C28/C31)</f>
        <v>10354.227065429866</v>
      </c>
      <c r="D32" s="378">
        <f>IF(LN_IA15=0,0,LN_IA12/LN_IA15)</f>
        <v>9498.3462748933616</v>
      </c>
      <c r="E32" s="378">
        <f t="shared" si="2"/>
        <v>-855.88079053650472</v>
      </c>
      <c r="F32" s="362">
        <f t="shared" si="3"/>
        <v>-8.2660036826319297E-2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622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623</v>
      </c>
      <c r="C35" s="361">
        <f>C15+C27</f>
        <v>449462026</v>
      </c>
      <c r="D35" s="361">
        <f>LN_IA1+LN_IA11</f>
        <v>481731638</v>
      </c>
      <c r="E35" s="361">
        <f>D35-C35</f>
        <v>32269612</v>
      </c>
      <c r="F35" s="362">
        <f>IF(C35=0,0,E35/C35)</f>
        <v>7.1796080944110732E-2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624</v>
      </c>
      <c r="C36" s="361">
        <f>C16+C28</f>
        <v>148147249</v>
      </c>
      <c r="D36" s="361">
        <f>LN_IA2+LN_IA12</f>
        <v>151557176</v>
      </c>
      <c r="E36" s="361">
        <f>D36-C36</f>
        <v>3409927</v>
      </c>
      <c r="F36" s="362">
        <f>IF(C36=0,0,E36/C36)</f>
        <v>2.3017146946819108E-2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625</v>
      </c>
      <c r="C37" s="361">
        <f>C35-C36</f>
        <v>301314777</v>
      </c>
      <c r="D37" s="361">
        <f>LN_IA17-LN_IA18</f>
        <v>330174462</v>
      </c>
      <c r="E37" s="361">
        <f>D37-C37</f>
        <v>28859685</v>
      </c>
      <c r="F37" s="362">
        <f>IF(C37=0,0,E37/C37)</f>
        <v>9.5779189083713606E-2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626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627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607</v>
      </c>
      <c r="C42" s="361">
        <v>200918072</v>
      </c>
      <c r="D42" s="361">
        <v>191782320</v>
      </c>
      <c r="E42" s="361">
        <f t="shared" ref="E42:E53" si="4">D42-C42</f>
        <v>-9135752</v>
      </c>
      <c r="F42" s="362">
        <f t="shared" ref="F42:F53" si="5">IF(C42=0,0,E42/C42)</f>
        <v>-4.5470036164790589E-2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608</v>
      </c>
      <c r="C43" s="361">
        <v>98741983</v>
      </c>
      <c r="D43" s="361">
        <v>91846878</v>
      </c>
      <c r="E43" s="361">
        <f t="shared" si="4"/>
        <v>-6895105</v>
      </c>
      <c r="F43" s="362">
        <f t="shared" si="5"/>
        <v>-6.9829517197360719E-2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609</v>
      </c>
      <c r="C44" s="366">
        <f>IF(C42=0,0,C43/C42)</f>
        <v>0.49145396438006833</v>
      </c>
      <c r="D44" s="366">
        <f>IF(LN_IB1=0,0,LN_IB2/LN_IB1)</f>
        <v>0.47891212286930307</v>
      </c>
      <c r="E44" s="367">
        <f t="shared" si="4"/>
        <v>-1.2541841510765261E-2</v>
      </c>
      <c r="F44" s="362">
        <f t="shared" si="5"/>
        <v>-2.5519870465559959E-2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7897</v>
      </c>
      <c r="D45" s="369">
        <v>7399</v>
      </c>
      <c r="E45" s="369">
        <f t="shared" si="4"/>
        <v>-498</v>
      </c>
      <c r="F45" s="362">
        <f t="shared" si="5"/>
        <v>-6.3061922248955293E-2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610</v>
      </c>
      <c r="C46" s="372">
        <v>1.2276</v>
      </c>
      <c r="D46" s="372">
        <v>1.2369000000000001</v>
      </c>
      <c r="E46" s="373">
        <f t="shared" si="4"/>
        <v>9.300000000000086E-3</v>
      </c>
      <c r="F46" s="362">
        <f t="shared" si="5"/>
        <v>7.5757575757576454E-3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611</v>
      </c>
      <c r="C47" s="376">
        <f>C45*C46</f>
        <v>9694.3572000000004</v>
      </c>
      <c r="D47" s="376">
        <f>LN_IB4*LN_IB5</f>
        <v>9151.8231000000014</v>
      </c>
      <c r="E47" s="376">
        <f t="shared" si="4"/>
        <v>-542.53409999999894</v>
      </c>
      <c r="F47" s="362">
        <f t="shared" si="5"/>
        <v>-5.5963906508416969E-2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612</v>
      </c>
      <c r="C48" s="378">
        <f>IF(C47=0,0,C43/C47)</f>
        <v>10185.511113619787</v>
      </c>
      <c r="D48" s="378">
        <f>IF(LN_IB6=0,0,LN_IB2/LN_IB6)</f>
        <v>10035.91054988814</v>
      </c>
      <c r="E48" s="378">
        <f t="shared" si="4"/>
        <v>-149.60056373164662</v>
      </c>
      <c r="F48" s="362">
        <f t="shared" si="5"/>
        <v>-1.4687585341849448E-2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628</v>
      </c>
      <c r="C49" s="378">
        <f>C21-C48</f>
        <v>-2052.2005318810589</v>
      </c>
      <c r="D49" s="378">
        <f>LN_IA7-LN_IB7</f>
        <v>-1833.8160558261461</v>
      </c>
      <c r="E49" s="378">
        <f t="shared" si="4"/>
        <v>218.38447605491274</v>
      </c>
      <c r="F49" s="362">
        <f t="shared" si="5"/>
        <v>-0.10641478386848495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629</v>
      </c>
      <c r="C50" s="391">
        <f>C49*C47</f>
        <v>-19894765.002084974</v>
      </c>
      <c r="D50" s="391">
        <f>LN_IB8*LN_IB6</f>
        <v>-16782760.140860617</v>
      </c>
      <c r="E50" s="391">
        <f t="shared" si="4"/>
        <v>3112004.861224357</v>
      </c>
      <c r="F50" s="362">
        <f t="shared" si="5"/>
        <v>-0.15642330336137264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35424</v>
      </c>
      <c r="D51" s="369">
        <v>32049</v>
      </c>
      <c r="E51" s="369">
        <f t="shared" si="4"/>
        <v>-3375</v>
      </c>
      <c r="F51" s="362">
        <f t="shared" si="5"/>
        <v>-9.527439024390244E-2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613</v>
      </c>
      <c r="C52" s="378">
        <f>IF(C51=0,0,C43/C51)</f>
        <v>2787.4317694218607</v>
      </c>
      <c r="D52" s="378">
        <f>IF(LN_IB10=0,0,LN_IB2/LN_IB10)</f>
        <v>2865.8266404568003</v>
      </c>
      <c r="E52" s="378">
        <f t="shared" si="4"/>
        <v>78.39487103493957</v>
      </c>
      <c r="F52" s="362">
        <f t="shared" si="5"/>
        <v>2.8124408961299668E-2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614</v>
      </c>
      <c r="C53" s="379">
        <f>IF(C45=0,0,C51/C45)</f>
        <v>4.4857540838293026</v>
      </c>
      <c r="D53" s="379">
        <f>IF(LN_IB4=0,0,LN_IB10/LN_IB4)</f>
        <v>4.3315312880118935</v>
      </c>
      <c r="E53" s="379">
        <f t="shared" si="4"/>
        <v>-0.15422279581740916</v>
      </c>
      <c r="F53" s="362">
        <f t="shared" si="5"/>
        <v>-3.4380573017448061E-2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630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616</v>
      </c>
      <c r="C56" s="361">
        <v>128398715</v>
      </c>
      <c r="D56" s="361">
        <v>148231500</v>
      </c>
      <c r="E56" s="361">
        <f t="shared" ref="E56:E63" si="6">D56-C56</f>
        <v>19832785</v>
      </c>
      <c r="F56" s="362">
        <f t="shared" ref="F56:F63" si="7">IF(C56=0,0,E56/C56)</f>
        <v>0.15446248819546207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617</v>
      </c>
      <c r="C57" s="361">
        <v>50243179</v>
      </c>
      <c r="D57" s="361">
        <v>63664761</v>
      </c>
      <c r="E57" s="361">
        <f t="shared" si="6"/>
        <v>13421582</v>
      </c>
      <c r="F57" s="362">
        <f t="shared" si="7"/>
        <v>0.2671324201042295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618</v>
      </c>
      <c r="C58" s="366">
        <f>IF(C56=0,0,C57/C56)</f>
        <v>0.39130593324084278</v>
      </c>
      <c r="D58" s="366">
        <f>IF(LN_IB13=0,0,LN_IB14/LN_IB13)</f>
        <v>0.42949549184889851</v>
      </c>
      <c r="E58" s="367">
        <f t="shared" si="6"/>
        <v>3.8189558608055729E-2</v>
      </c>
      <c r="F58" s="362">
        <f t="shared" si="7"/>
        <v>9.7595143247037455E-2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619</v>
      </c>
      <c r="C59" s="366">
        <f>IF(C42=0,0,C56/C42)</f>
        <v>0.63906005926634613</v>
      </c>
      <c r="D59" s="366">
        <f>IF(LN_IB1=0,0,LN_IB13/LN_IB1)</f>
        <v>0.77291535528405331</v>
      </c>
      <c r="E59" s="367">
        <f t="shared" si="6"/>
        <v>0.13385529601770718</v>
      </c>
      <c r="F59" s="362">
        <f t="shared" si="7"/>
        <v>0.20945651989482142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620</v>
      </c>
      <c r="C60" s="376">
        <f>C59*C45</f>
        <v>5046.6572880263357</v>
      </c>
      <c r="D60" s="376">
        <f>LN_IB16*LN_IB4</f>
        <v>5718.8007137467102</v>
      </c>
      <c r="E60" s="376">
        <f t="shared" si="6"/>
        <v>672.14342572037458</v>
      </c>
      <c r="F60" s="362">
        <f t="shared" si="7"/>
        <v>0.13318586687372203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621</v>
      </c>
      <c r="C61" s="378">
        <f>IF(C60=0,0,C57/C60)</f>
        <v>9955.7342875662707</v>
      </c>
      <c r="D61" s="378">
        <f>IF(LN_IB17=0,0,LN_IB14/LN_IB17)</f>
        <v>11132.537080189599</v>
      </c>
      <c r="E61" s="378">
        <f t="shared" si="6"/>
        <v>1176.8027926233281</v>
      </c>
      <c r="F61" s="362">
        <f t="shared" si="7"/>
        <v>0.11820351554511038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631</v>
      </c>
      <c r="C62" s="378">
        <f>C32-C61</f>
        <v>398.49277786359562</v>
      </c>
      <c r="D62" s="378">
        <f>LN_IA16-LN_IB18</f>
        <v>-1634.1908052962372</v>
      </c>
      <c r="E62" s="378">
        <f t="shared" si="6"/>
        <v>-2032.6835831598328</v>
      </c>
      <c r="F62" s="362">
        <f t="shared" si="7"/>
        <v>-5.1009295427071004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632</v>
      </c>
      <c r="C63" s="361">
        <f>C62*C60</f>
        <v>2011056.4816311745</v>
      </c>
      <c r="D63" s="361">
        <f>LN_IB19*LN_IB17</f>
        <v>-9345611.5437264331</v>
      </c>
      <c r="E63" s="361">
        <f t="shared" si="6"/>
        <v>-11356668.025357608</v>
      </c>
      <c r="F63" s="362">
        <f t="shared" si="7"/>
        <v>-5.6471153988406018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633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623</v>
      </c>
      <c r="C66" s="361">
        <f>C42+C56</f>
        <v>329316787</v>
      </c>
      <c r="D66" s="361">
        <f>LN_IB1+LN_IB13</f>
        <v>340013820</v>
      </c>
      <c r="E66" s="361">
        <f>D66-C66</f>
        <v>10697033</v>
      </c>
      <c r="F66" s="362">
        <f>IF(C66=0,0,E66/C66)</f>
        <v>3.2482501415878322E-2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624</v>
      </c>
      <c r="C67" s="361">
        <f>C43+C57</f>
        <v>148985162</v>
      </c>
      <c r="D67" s="361">
        <f>LN_IB2+LN_IB14</f>
        <v>155511639</v>
      </c>
      <c r="E67" s="361">
        <f>D67-C67</f>
        <v>6526477</v>
      </c>
      <c r="F67" s="362">
        <f>IF(C67=0,0,E67/C67)</f>
        <v>4.3806221454455979E-2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625</v>
      </c>
      <c r="C68" s="361">
        <f>C66-C67</f>
        <v>180331625</v>
      </c>
      <c r="D68" s="361">
        <f>LN_IB21-LN_IB22</f>
        <v>184502181</v>
      </c>
      <c r="E68" s="361">
        <f>D68-C68</f>
        <v>4170556</v>
      </c>
      <c r="F68" s="362">
        <f>IF(C68=0,0,E68/C68)</f>
        <v>2.3127146999313071E-2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634</v>
      </c>
      <c r="C70" s="353">
        <f>C50+C63</f>
        <v>-17883708.5204538</v>
      </c>
      <c r="D70" s="353">
        <f>LN_IB9+LN_IB20</f>
        <v>-26128371.68458705</v>
      </c>
      <c r="E70" s="361">
        <f>D70-C70</f>
        <v>-8244663.1641332507</v>
      </c>
      <c r="F70" s="362">
        <f>IF(C70=0,0,E70/C70)</f>
        <v>0.46101529527299867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635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636</v>
      </c>
      <c r="C73" s="400">
        <v>314090520</v>
      </c>
      <c r="D73" s="400">
        <v>321561592</v>
      </c>
      <c r="E73" s="400">
        <f>D73-C73</f>
        <v>7471072</v>
      </c>
      <c r="F73" s="401">
        <f>IF(C73=0,0,E73/C73)</f>
        <v>2.3786365790346046E-2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637</v>
      </c>
      <c r="C74" s="400">
        <v>185607039</v>
      </c>
      <c r="D74" s="400">
        <v>190427843</v>
      </c>
      <c r="E74" s="400">
        <f>D74-C74</f>
        <v>4820804</v>
      </c>
      <c r="F74" s="401">
        <f>IF(C74=0,0,E74/C74)</f>
        <v>2.5973174433325235E-2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638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639</v>
      </c>
      <c r="C76" s="353">
        <f>C73-C74</f>
        <v>128483481</v>
      </c>
      <c r="D76" s="353">
        <f>LN_IB32-LN_IB33</f>
        <v>131133749</v>
      </c>
      <c r="E76" s="400">
        <f>D76-C76</f>
        <v>2650268</v>
      </c>
      <c r="F76" s="401">
        <f>IF(C76=0,0,E76/C76)</f>
        <v>2.062730538877601E-2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640</v>
      </c>
      <c r="C77" s="366">
        <f>IF(C73=0,0,C76/C73)</f>
        <v>0.40906513510818476</v>
      </c>
      <c r="D77" s="366">
        <f>IF(LN_IB1=0,0,LN_IB34/LN_IB32)</f>
        <v>0.40780289767939698</v>
      </c>
      <c r="E77" s="405">
        <f>D77-C77</f>
        <v>-1.2622374287877824E-3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641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642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607</v>
      </c>
      <c r="C83" s="361">
        <v>18013248</v>
      </c>
      <c r="D83" s="361">
        <v>19174537</v>
      </c>
      <c r="E83" s="361">
        <f t="shared" ref="E83:E95" si="8">D83-C83</f>
        <v>1161289</v>
      </c>
      <c r="F83" s="362">
        <f t="shared" ref="F83:F95" si="9">IF(C83=0,0,E83/C83)</f>
        <v>6.4468606661053016E-2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608</v>
      </c>
      <c r="C84" s="361">
        <v>1010117</v>
      </c>
      <c r="D84" s="361">
        <v>856333</v>
      </c>
      <c r="E84" s="361">
        <f t="shared" si="8"/>
        <v>-153784</v>
      </c>
      <c r="F84" s="362">
        <f t="shared" si="9"/>
        <v>-0.1522437499814378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609</v>
      </c>
      <c r="C85" s="366">
        <f>IF(C83=0,0,C84/C83)</f>
        <v>5.6076338925661821E-2</v>
      </c>
      <c r="D85" s="366">
        <f>IF(LN_IC1=0,0,LN_IC2/LN_IC1)</f>
        <v>4.4659904956244834E-2</v>
      </c>
      <c r="E85" s="367">
        <f t="shared" si="8"/>
        <v>-1.1416433969416988E-2</v>
      </c>
      <c r="F85" s="362">
        <f t="shared" si="9"/>
        <v>-0.20358736301510877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1024</v>
      </c>
      <c r="D86" s="369">
        <v>991</v>
      </c>
      <c r="E86" s="369">
        <f t="shared" si="8"/>
        <v>-33</v>
      </c>
      <c r="F86" s="362">
        <f t="shared" si="9"/>
        <v>-3.22265625E-2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610</v>
      </c>
      <c r="C87" s="372">
        <v>1.0674999999999999</v>
      </c>
      <c r="D87" s="372">
        <v>1.026</v>
      </c>
      <c r="E87" s="373">
        <f t="shared" si="8"/>
        <v>-4.149999999999987E-2</v>
      </c>
      <c r="F87" s="362">
        <f t="shared" si="9"/>
        <v>-3.8875878220140395E-2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611</v>
      </c>
      <c r="C88" s="376">
        <f>C86*C87</f>
        <v>1093.1199999999999</v>
      </c>
      <c r="D88" s="376">
        <f>LN_IC4*LN_IC5</f>
        <v>1016.7660000000001</v>
      </c>
      <c r="E88" s="376">
        <f t="shared" si="8"/>
        <v>-76.353999999999814</v>
      </c>
      <c r="F88" s="362">
        <f t="shared" si="9"/>
        <v>-6.9849604800936604E-2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612</v>
      </c>
      <c r="C89" s="378">
        <f>IF(C88=0,0,C84/C88)</f>
        <v>924.06780591334905</v>
      </c>
      <c r="D89" s="378">
        <f>IF(LN_IC6=0,0,LN_IC2/LN_IC6)</f>
        <v>842.21246579842352</v>
      </c>
      <c r="E89" s="378">
        <f t="shared" si="8"/>
        <v>-81.855340114925525</v>
      </c>
      <c r="F89" s="362">
        <f t="shared" si="9"/>
        <v>-8.8581530046942469E-2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643</v>
      </c>
      <c r="C90" s="378">
        <f>C48-C89</f>
        <v>9261.4433077064368</v>
      </c>
      <c r="D90" s="378">
        <f>LN_IB7-LN_IC7</f>
        <v>9193.6980840897158</v>
      </c>
      <c r="E90" s="378">
        <f t="shared" si="8"/>
        <v>-67.745223616720978</v>
      </c>
      <c r="F90" s="362">
        <f t="shared" si="9"/>
        <v>-7.3147587655533397E-3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644</v>
      </c>
      <c r="C91" s="378">
        <f>C21-C89</f>
        <v>7209.2427758253789</v>
      </c>
      <c r="D91" s="378">
        <f>LN_IA7-LN_IC7</f>
        <v>7359.8820282635706</v>
      </c>
      <c r="E91" s="378">
        <f t="shared" si="8"/>
        <v>150.63925243819176</v>
      </c>
      <c r="F91" s="362">
        <f t="shared" si="9"/>
        <v>2.0895294710191699E-2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629</v>
      </c>
      <c r="C92" s="353">
        <f>C91*C88</f>
        <v>7880567.4631102374</v>
      </c>
      <c r="D92" s="353">
        <f>LN_IC9*LN_IC6</f>
        <v>7483277.8103494383</v>
      </c>
      <c r="E92" s="353">
        <f t="shared" si="8"/>
        <v>-397289.65276079904</v>
      </c>
      <c r="F92" s="362">
        <f t="shared" si="9"/>
        <v>-5.0413838168450888E-2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5403</v>
      </c>
      <c r="D93" s="369">
        <v>4531</v>
      </c>
      <c r="E93" s="369">
        <f t="shared" si="8"/>
        <v>-872</v>
      </c>
      <c r="F93" s="362">
        <f t="shared" si="9"/>
        <v>-0.16139181935961502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613</v>
      </c>
      <c r="C94" s="411">
        <f>IF(C93=0,0,C84/C93)</f>
        <v>186.95483990375718</v>
      </c>
      <c r="D94" s="411">
        <f>IF(LN_IC11=0,0,LN_IC2/LN_IC11)</f>
        <v>188.99426175237255</v>
      </c>
      <c r="E94" s="411">
        <f t="shared" si="8"/>
        <v>2.0394218486153761</v>
      </c>
      <c r="F94" s="362">
        <f t="shared" si="9"/>
        <v>1.090863360191827E-2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614</v>
      </c>
      <c r="C95" s="379">
        <f>IF(C86=0,0,C93/C86)</f>
        <v>5.2763671875</v>
      </c>
      <c r="D95" s="379">
        <f>IF(LN_IC4=0,0,LN_IC11/LN_IC4)</f>
        <v>4.5721493440968715</v>
      </c>
      <c r="E95" s="379">
        <f t="shared" si="8"/>
        <v>-0.70421784340312854</v>
      </c>
      <c r="F95" s="362">
        <f t="shared" si="9"/>
        <v>-0.1334664208115498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645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616</v>
      </c>
      <c r="C98" s="361">
        <v>22035587</v>
      </c>
      <c r="D98" s="361">
        <v>25074092</v>
      </c>
      <c r="E98" s="361">
        <f t="shared" ref="E98:E106" si="10">D98-C98</f>
        <v>3038505</v>
      </c>
      <c r="F98" s="362">
        <f t="shared" ref="F98:F106" si="11">IF(C98=0,0,E98/C98)</f>
        <v>0.13789081271127474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617</v>
      </c>
      <c r="C99" s="361">
        <v>1818473</v>
      </c>
      <c r="D99" s="361">
        <v>1803958</v>
      </c>
      <c r="E99" s="361">
        <f t="shared" si="10"/>
        <v>-14515</v>
      </c>
      <c r="F99" s="362">
        <f t="shared" si="11"/>
        <v>-7.9819716872342895E-3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618</v>
      </c>
      <c r="C100" s="366">
        <f>IF(C98=0,0,C99/C98)</f>
        <v>8.2524372960883677E-2</v>
      </c>
      <c r="D100" s="366">
        <f>IF(LN_IC14=0,0,LN_IC15/LN_IC14)</f>
        <v>7.1945097752692297E-2</v>
      </c>
      <c r="E100" s="367">
        <f t="shared" si="10"/>
        <v>-1.057927520819138E-2</v>
      </c>
      <c r="F100" s="362">
        <f t="shared" si="11"/>
        <v>-0.12819576603394403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619</v>
      </c>
      <c r="C101" s="366">
        <f>IF(C83=0,0,C98/C83)</f>
        <v>1.2232989297654704</v>
      </c>
      <c r="D101" s="366">
        <f>IF(LN_IC1=0,0,LN_IC14/LN_IC1)</f>
        <v>1.3076765295558375</v>
      </c>
      <c r="E101" s="367">
        <f t="shared" si="10"/>
        <v>8.4377599790367075E-2</v>
      </c>
      <c r="F101" s="362">
        <f t="shared" si="11"/>
        <v>6.8975454598447061E-2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620</v>
      </c>
      <c r="C102" s="376">
        <f>C101*C86</f>
        <v>1252.6581040798417</v>
      </c>
      <c r="D102" s="376">
        <f>LN_IC17*LN_IC4</f>
        <v>1295.9074407898349</v>
      </c>
      <c r="E102" s="376">
        <f t="shared" si="10"/>
        <v>43.249336709993258</v>
      </c>
      <c r="F102" s="362">
        <f t="shared" si="11"/>
        <v>3.4526050299864296E-2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621</v>
      </c>
      <c r="C103" s="378">
        <f>IF(C102=0,0,C99/C102)</f>
        <v>1451.6914025282149</v>
      </c>
      <c r="D103" s="378">
        <f>IF(LN_IC18=0,0,LN_IC15/LN_IC18)</f>
        <v>1392.0423197049602</v>
      </c>
      <c r="E103" s="378">
        <f t="shared" si="10"/>
        <v>-59.64908282325473</v>
      </c>
      <c r="F103" s="362">
        <f t="shared" si="11"/>
        <v>-4.1089368387366612E-2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646</v>
      </c>
      <c r="C104" s="378">
        <f>C61-C103</f>
        <v>8504.0428850380558</v>
      </c>
      <c r="D104" s="378">
        <f>LN_IB18-LN_IC19</f>
        <v>9740.4947604846384</v>
      </c>
      <c r="E104" s="378">
        <f t="shared" si="10"/>
        <v>1236.4518754465826</v>
      </c>
      <c r="F104" s="362">
        <f t="shared" si="11"/>
        <v>0.14539577141855506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647</v>
      </c>
      <c r="C105" s="378">
        <f>C32-C103</f>
        <v>8902.5356629016514</v>
      </c>
      <c r="D105" s="378">
        <f>LN_IA16-LN_IC19</f>
        <v>8106.3039551884012</v>
      </c>
      <c r="E105" s="378">
        <f t="shared" si="10"/>
        <v>-796.23170771325022</v>
      </c>
      <c r="F105" s="362">
        <f t="shared" si="11"/>
        <v>-8.9438755188735758E-2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632</v>
      </c>
      <c r="C106" s="361">
        <f>C105*C102</f>
        <v>11151833.444993559</v>
      </c>
      <c r="D106" s="361">
        <f>LN_IC21*LN_IC18</f>
        <v>10505019.612832718</v>
      </c>
      <c r="E106" s="361">
        <f t="shared" si="10"/>
        <v>-646813.83216084167</v>
      </c>
      <c r="F106" s="362">
        <f t="shared" si="11"/>
        <v>-5.8000671849275029E-2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648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623</v>
      </c>
      <c r="C109" s="361">
        <f>C83+C98</f>
        <v>40048835</v>
      </c>
      <c r="D109" s="361">
        <f>LN_IC1+LN_IC14</f>
        <v>44248629</v>
      </c>
      <c r="E109" s="361">
        <f>D109-C109</f>
        <v>4199794</v>
      </c>
      <c r="F109" s="362">
        <f>IF(C109=0,0,E109/C109)</f>
        <v>0.10486682072025316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624</v>
      </c>
      <c r="C110" s="361">
        <f>C84+C99</f>
        <v>2828590</v>
      </c>
      <c r="D110" s="361">
        <f>LN_IC2+LN_IC15</f>
        <v>2660291</v>
      </c>
      <c r="E110" s="361">
        <f>D110-C110</f>
        <v>-168299</v>
      </c>
      <c r="F110" s="362">
        <f>IF(C110=0,0,E110/C110)</f>
        <v>-5.9499255812966882E-2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625</v>
      </c>
      <c r="C111" s="361">
        <f>C109-C110</f>
        <v>37220245</v>
      </c>
      <c r="D111" s="361">
        <f>LN_IC23-LN_IC24</f>
        <v>41588338</v>
      </c>
      <c r="E111" s="361">
        <f>D111-C111</f>
        <v>4368093</v>
      </c>
      <c r="F111" s="362">
        <f>IF(C111=0,0,E111/C111)</f>
        <v>0.11735798622496978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634</v>
      </c>
      <c r="C113" s="361">
        <f>C92+C106</f>
        <v>19032400.908103798</v>
      </c>
      <c r="D113" s="361">
        <f>LN_IC10+LN_IC22</f>
        <v>17988297.423182156</v>
      </c>
      <c r="E113" s="361">
        <f>D113-C113</f>
        <v>-1044103.4849216416</v>
      </c>
      <c r="F113" s="362">
        <f>IF(C113=0,0,E113/C113)</f>
        <v>-5.4859262893998478E-2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649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650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607</v>
      </c>
      <c r="C118" s="361">
        <v>90621119</v>
      </c>
      <c r="D118" s="361">
        <v>113630882</v>
      </c>
      <c r="E118" s="361">
        <f t="shared" ref="E118:E130" si="12">D118-C118</f>
        <v>23009763</v>
      </c>
      <c r="F118" s="362">
        <f t="shared" ref="F118:F130" si="13">IF(C118=0,0,E118/C118)</f>
        <v>0.25391170682851533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608</v>
      </c>
      <c r="C119" s="361">
        <v>24004368</v>
      </c>
      <c r="D119" s="361">
        <v>25234223</v>
      </c>
      <c r="E119" s="361">
        <f t="shared" si="12"/>
        <v>1229855</v>
      </c>
      <c r="F119" s="362">
        <f t="shared" si="13"/>
        <v>5.1234633630012669E-2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609</v>
      </c>
      <c r="C120" s="366">
        <f>IF(C118=0,0,C119/C118)</f>
        <v>0.26488712857319718</v>
      </c>
      <c r="D120" s="366">
        <f>IF(LN_ID1=0,0,LN_1D2/LN_ID1)</f>
        <v>0.22207187479192497</v>
      </c>
      <c r="E120" s="367">
        <f t="shared" si="12"/>
        <v>-4.2815253781272211E-2</v>
      </c>
      <c r="F120" s="362">
        <f t="shared" si="13"/>
        <v>-0.16163584094061001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3652</v>
      </c>
      <c r="D121" s="369">
        <v>4488</v>
      </c>
      <c r="E121" s="369">
        <f t="shared" si="12"/>
        <v>836</v>
      </c>
      <c r="F121" s="362">
        <f t="shared" si="13"/>
        <v>0.2289156626506024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610</v>
      </c>
      <c r="C122" s="372">
        <v>0.9274</v>
      </c>
      <c r="D122" s="372">
        <v>0.99539999999999995</v>
      </c>
      <c r="E122" s="373">
        <f t="shared" si="12"/>
        <v>6.7999999999999949E-2</v>
      </c>
      <c r="F122" s="362">
        <f t="shared" si="13"/>
        <v>7.3323269355186488E-2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611</v>
      </c>
      <c r="C123" s="376">
        <f>C121*C122</f>
        <v>3386.8647999999998</v>
      </c>
      <c r="D123" s="376">
        <f>LN_ID4*LN_ID5</f>
        <v>4467.3552</v>
      </c>
      <c r="E123" s="376">
        <f t="shared" si="12"/>
        <v>1080.4904000000001</v>
      </c>
      <c r="F123" s="362">
        <f t="shared" si="13"/>
        <v>0.31902377679794014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612</v>
      </c>
      <c r="C124" s="378">
        <f>IF(C123=0,0,C119/C123)</f>
        <v>7087.4892909808505</v>
      </c>
      <c r="D124" s="378">
        <f>IF(LN_ID6=0,0,LN_1D2/LN_ID6)</f>
        <v>5648.5821857191922</v>
      </c>
      <c r="E124" s="378">
        <f t="shared" si="12"/>
        <v>-1438.9071052616582</v>
      </c>
      <c r="F124" s="362">
        <f t="shared" si="13"/>
        <v>-0.20302070961754148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651</v>
      </c>
      <c r="C125" s="378">
        <f>C48-C124</f>
        <v>3098.0218226389361</v>
      </c>
      <c r="D125" s="378">
        <f>LN_IB7-LN_ID7</f>
        <v>4387.3283641689477</v>
      </c>
      <c r="E125" s="378">
        <f t="shared" si="12"/>
        <v>1289.3065415300116</v>
      </c>
      <c r="F125" s="362">
        <f t="shared" si="13"/>
        <v>0.41617090367419141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652</v>
      </c>
      <c r="C126" s="378">
        <f>C21-C124</f>
        <v>1045.8212907578773</v>
      </c>
      <c r="D126" s="378">
        <f>LN_IA7-LN_ID7</f>
        <v>2553.5123083428016</v>
      </c>
      <c r="E126" s="378">
        <f t="shared" si="12"/>
        <v>1507.6910175849243</v>
      </c>
      <c r="F126" s="362">
        <f t="shared" si="13"/>
        <v>1.4416335093850912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629</v>
      </c>
      <c r="C127" s="391">
        <f>C126*C123</f>
        <v>3542055.3167584194</v>
      </c>
      <c r="D127" s="391">
        <f>LN_ID9*LN_ID6</f>
        <v>11407446.488939218</v>
      </c>
      <c r="E127" s="391">
        <f t="shared" si="12"/>
        <v>7865391.1721807988</v>
      </c>
      <c r="F127" s="362">
        <f t="shared" si="13"/>
        <v>2.2205726531055321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22595</v>
      </c>
      <c r="D128" s="369">
        <v>26478</v>
      </c>
      <c r="E128" s="369">
        <f t="shared" si="12"/>
        <v>3883</v>
      </c>
      <c r="F128" s="362">
        <f t="shared" si="13"/>
        <v>0.17185217968577118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613</v>
      </c>
      <c r="C129" s="378">
        <f>IF(C128=0,0,C119/C128)</f>
        <v>1062.3752157556983</v>
      </c>
      <c r="D129" s="378">
        <f>IF(LN_ID11=0,0,LN_1D2/LN_ID11)</f>
        <v>953.02602160284005</v>
      </c>
      <c r="E129" s="378">
        <f t="shared" si="12"/>
        <v>-109.34919415285822</v>
      </c>
      <c r="F129" s="362">
        <f t="shared" si="13"/>
        <v>-0.10292897700467811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614</v>
      </c>
      <c r="C130" s="379">
        <f>IF(C121=0,0,C128/C121)</f>
        <v>6.1870208105147864</v>
      </c>
      <c r="D130" s="379">
        <f>IF(LN_ID4=0,0,LN_ID11/LN_ID4)</f>
        <v>5.8997326203208553</v>
      </c>
      <c r="E130" s="379">
        <f t="shared" si="12"/>
        <v>-0.28728819019393104</v>
      </c>
      <c r="F130" s="362">
        <f t="shared" si="13"/>
        <v>-4.6434010647852894E-2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653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616</v>
      </c>
      <c r="C133" s="361">
        <v>40364564</v>
      </c>
      <c r="D133" s="361">
        <v>66478356</v>
      </c>
      <c r="E133" s="361">
        <f t="shared" ref="E133:E141" si="14">D133-C133</f>
        <v>26113792</v>
      </c>
      <c r="F133" s="362">
        <f t="shared" ref="F133:F141" si="15">IF(C133=0,0,E133/C133)</f>
        <v>0.64694844715775945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617</v>
      </c>
      <c r="C134" s="361">
        <v>8879166</v>
      </c>
      <c r="D134" s="361">
        <v>18046336</v>
      </c>
      <c r="E134" s="361">
        <f t="shared" si="14"/>
        <v>9167170</v>
      </c>
      <c r="F134" s="362">
        <f t="shared" si="15"/>
        <v>1.0324359292302903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618</v>
      </c>
      <c r="C135" s="366">
        <f>IF(C133=0,0,C134/C133)</f>
        <v>0.21997428239284339</v>
      </c>
      <c r="D135" s="366">
        <f>IF(LN_ID14=0,0,LN_ID15/LN_ID14)</f>
        <v>0.27146182736528562</v>
      </c>
      <c r="E135" s="367">
        <f t="shared" si="14"/>
        <v>5.1487544972442234E-2</v>
      </c>
      <c r="F135" s="362">
        <f t="shared" si="15"/>
        <v>0.23406165671900073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619</v>
      </c>
      <c r="C136" s="366">
        <f>IF(C118=0,0,C133/C118)</f>
        <v>0.44542116060164738</v>
      </c>
      <c r="D136" s="366">
        <f>IF(LN_ID1=0,0,LN_ID14/LN_ID1)</f>
        <v>0.58503775408519665</v>
      </c>
      <c r="E136" s="367">
        <f t="shared" si="14"/>
        <v>0.13961659348354927</v>
      </c>
      <c r="F136" s="362">
        <f t="shared" si="15"/>
        <v>0.31344849736138219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620</v>
      </c>
      <c r="C137" s="376">
        <f>C136*C121</f>
        <v>1626.6780785172161</v>
      </c>
      <c r="D137" s="376">
        <f>LN_ID17*LN_ID4</f>
        <v>2625.6494403343627</v>
      </c>
      <c r="E137" s="376">
        <f t="shared" si="14"/>
        <v>998.97136181714654</v>
      </c>
      <c r="F137" s="362">
        <f t="shared" si="15"/>
        <v>0.61411743049230116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621</v>
      </c>
      <c r="C138" s="378">
        <f>IF(C137=0,0,C134/C137)</f>
        <v>5458.4653947594379</v>
      </c>
      <c r="D138" s="378">
        <f>IF(LN_ID18=0,0,LN_ID15/LN_ID18)</f>
        <v>6873.0942230056016</v>
      </c>
      <c r="E138" s="378">
        <f t="shared" si="14"/>
        <v>1414.6288282461637</v>
      </c>
      <c r="F138" s="362">
        <f t="shared" si="15"/>
        <v>0.25916236999584541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654</v>
      </c>
      <c r="C139" s="378">
        <f>C61-C138</f>
        <v>4497.2688928068328</v>
      </c>
      <c r="D139" s="378">
        <f>LN_IB18-LN_ID19</f>
        <v>4259.4428571839971</v>
      </c>
      <c r="E139" s="378">
        <f t="shared" si="14"/>
        <v>-237.82603562283566</v>
      </c>
      <c r="F139" s="362">
        <f t="shared" si="15"/>
        <v>-5.2882325093620057E-2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655</v>
      </c>
      <c r="C140" s="378">
        <f>C32-C138</f>
        <v>4895.7616706704284</v>
      </c>
      <c r="D140" s="378">
        <f>LN_IA16-LN_ID19</f>
        <v>2625.25205188776</v>
      </c>
      <c r="E140" s="378">
        <f t="shared" si="14"/>
        <v>-2270.5096187826684</v>
      </c>
      <c r="F140" s="362">
        <f t="shared" si="15"/>
        <v>-0.46377045524598492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632</v>
      </c>
      <c r="C141" s="353">
        <f>C140*C137</f>
        <v>7963828.1873244084</v>
      </c>
      <c r="D141" s="353">
        <f>LN_ID21*LN_ID18</f>
        <v>6892991.580775734</v>
      </c>
      <c r="E141" s="353">
        <f t="shared" si="14"/>
        <v>-1070836.6065486744</v>
      </c>
      <c r="F141" s="362">
        <f t="shared" si="15"/>
        <v>-0.13446254506759284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656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623</v>
      </c>
      <c r="C144" s="361">
        <f>C118+C133</f>
        <v>130985683</v>
      </c>
      <c r="D144" s="361">
        <f>LN_ID1+LN_ID14</f>
        <v>180109238</v>
      </c>
      <c r="E144" s="361">
        <f>D144-C144</f>
        <v>49123555</v>
      </c>
      <c r="F144" s="362">
        <f>IF(C144=0,0,E144/C144)</f>
        <v>0.37502995651822496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624</v>
      </c>
      <c r="C145" s="361">
        <f>C119+C134</f>
        <v>32883534</v>
      </c>
      <c r="D145" s="361">
        <f>LN_1D2+LN_ID15</f>
        <v>43280559</v>
      </c>
      <c r="E145" s="361">
        <f>D145-C145</f>
        <v>10397025</v>
      </c>
      <c r="F145" s="362">
        <f>IF(C145=0,0,E145/C145)</f>
        <v>0.31617723934416536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625</v>
      </c>
      <c r="C146" s="361">
        <f>C144-C145</f>
        <v>98102149</v>
      </c>
      <c r="D146" s="361">
        <f>LN_ID23-LN_ID24</f>
        <v>136828679</v>
      </c>
      <c r="E146" s="361">
        <f>D146-C146</f>
        <v>38726530</v>
      </c>
      <c r="F146" s="362">
        <f>IF(C146=0,0,E146/C146)</f>
        <v>0.39475720353485833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634</v>
      </c>
      <c r="C148" s="361">
        <f>C127+C141</f>
        <v>11505883.504082829</v>
      </c>
      <c r="D148" s="361">
        <f>LN_ID10+LN_ID22</f>
        <v>18300438.069714952</v>
      </c>
      <c r="E148" s="361">
        <f>D148-C148</f>
        <v>6794554.5656321235</v>
      </c>
      <c r="F148" s="415">
        <f>IF(C148=0,0,E148/C148)</f>
        <v>0.59052871196037193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657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658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607</v>
      </c>
      <c r="C153" s="361">
        <v>11046291</v>
      </c>
      <c r="D153" s="361">
        <v>1096495</v>
      </c>
      <c r="E153" s="361">
        <f t="shared" ref="E153:E165" si="16">D153-C153</f>
        <v>-9949796</v>
      </c>
      <c r="F153" s="362">
        <f t="shared" ref="F153:F165" si="17">IF(C153=0,0,E153/C153)</f>
        <v>-0.90073636481240626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608</v>
      </c>
      <c r="C154" s="361">
        <v>245689</v>
      </c>
      <c r="D154" s="361">
        <v>535027</v>
      </c>
      <c r="E154" s="361">
        <f t="shared" si="16"/>
        <v>289338</v>
      </c>
      <c r="F154" s="362">
        <f t="shared" si="17"/>
        <v>1.1776595614781289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609</v>
      </c>
      <c r="C155" s="366">
        <f>IF(C153=0,0,C154/C153)</f>
        <v>2.2241764226562565E-2</v>
      </c>
      <c r="D155" s="366">
        <f>IF(LN_IE1=0,0,LN_IE2/LN_IE1)</f>
        <v>0.48794294547626754</v>
      </c>
      <c r="E155" s="367">
        <f t="shared" si="16"/>
        <v>0.465701181249705</v>
      </c>
      <c r="F155" s="362">
        <f t="shared" si="17"/>
        <v>20.938140360895215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374</v>
      </c>
      <c r="D156" s="419">
        <v>28</v>
      </c>
      <c r="E156" s="419">
        <f t="shared" si="16"/>
        <v>-346</v>
      </c>
      <c r="F156" s="362">
        <f t="shared" si="17"/>
        <v>-0.92513368983957223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610</v>
      </c>
      <c r="C157" s="372">
        <v>1.2904</v>
      </c>
      <c r="D157" s="372">
        <v>1.0448999999999999</v>
      </c>
      <c r="E157" s="373">
        <f t="shared" si="16"/>
        <v>-0.24550000000000005</v>
      </c>
      <c r="F157" s="362">
        <f t="shared" si="17"/>
        <v>-0.19025108493490395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611</v>
      </c>
      <c r="C158" s="376">
        <f>C156*C157</f>
        <v>482.6096</v>
      </c>
      <c r="D158" s="376">
        <f>LN_IE4*LN_IE5</f>
        <v>29.257199999999997</v>
      </c>
      <c r="E158" s="376">
        <f t="shared" si="16"/>
        <v>-453.35239999999999</v>
      </c>
      <c r="F158" s="362">
        <f t="shared" si="17"/>
        <v>-0.93937708657266661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612</v>
      </c>
      <c r="C159" s="378">
        <f>IF(C158=0,0,C154/C158)</f>
        <v>509.08436135543099</v>
      </c>
      <c r="D159" s="378">
        <f>IF(LN_IE6=0,0,LN_IE2/LN_IE6)</f>
        <v>18287.019947226669</v>
      </c>
      <c r="E159" s="378">
        <f t="shared" si="16"/>
        <v>17777.935585871237</v>
      </c>
      <c r="F159" s="362">
        <f t="shared" si="17"/>
        <v>34.921394046632464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659</v>
      </c>
      <c r="C160" s="378">
        <f>C48-C159</f>
        <v>9676.4267522643549</v>
      </c>
      <c r="D160" s="378">
        <f>LN_IB7-LN_IE7</f>
        <v>-8251.1093973385287</v>
      </c>
      <c r="E160" s="378">
        <f t="shared" si="16"/>
        <v>-17927.536149602885</v>
      </c>
      <c r="F160" s="362">
        <f t="shared" si="17"/>
        <v>-1.8527020984691183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660</v>
      </c>
      <c r="C161" s="378">
        <f>C21-C159</f>
        <v>7624.226220383297</v>
      </c>
      <c r="D161" s="378">
        <f>LN_IA7-LN_IE7</f>
        <v>-10084.925453164675</v>
      </c>
      <c r="E161" s="378">
        <f t="shared" si="16"/>
        <v>-17709.151673547971</v>
      </c>
      <c r="F161" s="362">
        <f t="shared" si="17"/>
        <v>-2.3227474056583892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629</v>
      </c>
      <c r="C162" s="391">
        <f>C161*C158</f>
        <v>3679524.7665286949</v>
      </c>
      <c r="D162" s="391">
        <f>LN_IE9*LN_IE6</f>
        <v>-295056.68096832949</v>
      </c>
      <c r="E162" s="391">
        <f t="shared" si="16"/>
        <v>-3974581.4474970242</v>
      </c>
      <c r="F162" s="362">
        <f t="shared" si="17"/>
        <v>-1.0801888014594583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1909</v>
      </c>
      <c r="D163" s="369">
        <v>184</v>
      </c>
      <c r="E163" s="419">
        <f t="shared" si="16"/>
        <v>-1725</v>
      </c>
      <c r="F163" s="362">
        <f t="shared" si="17"/>
        <v>-0.90361445783132532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613</v>
      </c>
      <c r="C164" s="378">
        <f>IF(C163=0,0,C154/C163)</f>
        <v>128.70036668412783</v>
      </c>
      <c r="D164" s="378">
        <f>IF(LN_IE11=0,0,LN_IE2/LN_IE11)</f>
        <v>2907.7554347826085</v>
      </c>
      <c r="E164" s="378">
        <f t="shared" si="16"/>
        <v>2779.0550680984807</v>
      </c>
      <c r="F164" s="362">
        <f t="shared" si="17"/>
        <v>21.593217950335582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614</v>
      </c>
      <c r="C165" s="379">
        <f>IF(C156=0,0,C163/C156)</f>
        <v>5.1042780748663104</v>
      </c>
      <c r="D165" s="379">
        <f>IF(LN_IE4=0,0,LN_IE11/LN_IE4)</f>
        <v>6.5714285714285712</v>
      </c>
      <c r="E165" s="379">
        <f t="shared" si="16"/>
        <v>1.4671504965622608</v>
      </c>
      <c r="F165" s="362">
        <f t="shared" si="17"/>
        <v>0.28743545611015481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661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616</v>
      </c>
      <c r="C168" s="424">
        <v>6954525</v>
      </c>
      <c r="D168" s="424">
        <v>510375</v>
      </c>
      <c r="E168" s="424">
        <f t="shared" ref="E168:E176" si="18">D168-C168</f>
        <v>-6444150</v>
      </c>
      <c r="F168" s="362">
        <f t="shared" ref="F168:F176" si="19">IF(C168=0,0,E168/C168)</f>
        <v>-0.92661252925253701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617</v>
      </c>
      <c r="C169" s="424">
        <v>2054361</v>
      </c>
      <c r="D169" s="424">
        <v>196253</v>
      </c>
      <c r="E169" s="424">
        <f t="shared" si="18"/>
        <v>-1858108</v>
      </c>
      <c r="F169" s="362">
        <f t="shared" si="19"/>
        <v>-0.90447005175818662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618</v>
      </c>
      <c r="C170" s="366">
        <f>IF(C168=0,0,C169/C168)</f>
        <v>0.29539918254661535</v>
      </c>
      <c r="D170" s="366">
        <f>IF(LN_IE14=0,0,LN_IE15/LN_IE14)</f>
        <v>0.38452706343374971</v>
      </c>
      <c r="E170" s="367">
        <f t="shared" si="18"/>
        <v>8.9127880887134359E-2</v>
      </c>
      <c r="F170" s="362">
        <f t="shared" si="19"/>
        <v>0.30172013381611024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619</v>
      </c>
      <c r="C171" s="366">
        <f>IF(C153=0,0,C168/C153)</f>
        <v>0.62958010068718995</v>
      </c>
      <c r="D171" s="366">
        <f>IF(LN_IE1=0,0,LN_IE14/LN_IE1)</f>
        <v>0.46546039881622808</v>
      </c>
      <c r="E171" s="367">
        <f t="shared" si="18"/>
        <v>-0.16411970187096186</v>
      </c>
      <c r="F171" s="362">
        <f t="shared" si="19"/>
        <v>-0.26068120909765791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620</v>
      </c>
      <c r="C172" s="376">
        <f>C171*C156</f>
        <v>235.46295765700904</v>
      </c>
      <c r="D172" s="376">
        <f>LN_IE17*LN_IE4</f>
        <v>13.032891166854386</v>
      </c>
      <c r="E172" s="376">
        <f t="shared" si="18"/>
        <v>-222.43006649015464</v>
      </c>
      <c r="F172" s="362">
        <f t="shared" si="19"/>
        <v>-0.94464993009287268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621</v>
      </c>
      <c r="C173" s="378">
        <f>IF(C172=0,0,C169/C172)</f>
        <v>8724.7736138289674</v>
      </c>
      <c r="D173" s="378">
        <f>IF(LN_IE18=0,0,LN_IE15/LN_IE18)</f>
        <v>15058.285800706764</v>
      </c>
      <c r="E173" s="378">
        <f t="shared" si="18"/>
        <v>6333.5121868777969</v>
      </c>
      <c r="F173" s="362">
        <f t="shared" si="19"/>
        <v>0.72592281097575229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662</v>
      </c>
      <c r="C174" s="378">
        <f>C61-C173</f>
        <v>1230.9606737373033</v>
      </c>
      <c r="D174" s="378">
        <f>LN_IB18-LN_IE19</f>
        <v>-3925.7487205171656</v>
      </c>
      <c r="E174" s="378">
        <f t="shared" si="18"/>
        <v>-5156.7093942544689</v>
      </c>
      <c r="F174" s="362">
        <f t="shared" si="19"/>
        <v>-4.1891747675400968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663</v>
      </c>
      <c r="C175" s="378">
        <f>C32-C173</f>
        <v>1629.4534516008989</v>
      </c>
      <c r="D175" s="378">
        <f>LN_IA16-LN_IE19</f>
        <v>-5559.9395258134027</v>
      </c>
      <c r="E175" s="378">
        <f t="shared" si="18"/>
        <v>-7189.3929774143016</v>
      </c>
      <c r="F175" s="362">
        <f t="shared" si="19"/>
        <v>-4.4121499576136376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632</v>
      </c>
      <c r="C176" s="353">
        <f>C175*C172</f>
        <v>383675.92907836969</v>
      </c>
      <c r="D176" s="353">
        <f>LN_IE21*LN_IE18</f>
        <v>-72462.086734218057</v>
      </c>
      <c r="E176" s="353">
        <f t="shared" si="18"/>
        <v>-456138.01581258775</v>
      </c>
      <c r="F176" s="362">
        <f t="shared" si="19"/>
        <v>-1.1888627386875159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664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623</v>
      </c>
      <c r="C179" s="361">
        <f>C153+C168</f>
        <v>18000816</v>
      </c>
      <c r="D179" s="361">
        <f>LN_IE1+LN_IE14</f>
        <v>1606870</v>
      </c>
      <c r="E179" s="361">
        <f>D179-C179</f>
        <v>-16393946</v>
      </c>
      <c r="F179" s="362">
        <f>IF(C179=0,0,E179/C179)</f>
        <v>-0.91073349119284375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624</v>
      </c>
      <c r="C180" s="361">
        <f>C154+C169</f>
        <v>2300050</v>
      </c>
      <c r="D180" s="361">
        <f>LN_IE15+LN_IE2</f>
        <v>731280</v>
      </c>
      <c r="E180" s="361">
        <f>D180-C180</f>
        <v>-1568770</v>
      </c>
      <c r="F180" s="362">
        <f>IF(C180=0,0,E180/C180)</f>
        <v>-0.68205908567205065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625</v>
      </c>
      <c r="C181" s="361">
        <f>C179-C180</f>
        <v>15700766</v>
      </c>
      <c r="D181" s="361">
        <f>LN_IE23-LN_IE24</f>
        <v>875590</v>
      </c>
      <c r="E181" s="361">
        <f>D181-C181</f>
        <v>-14825176</v>
      </c>
      <c r="F181" s="362">
        <f>IF(C181=0,0,E181/C181)</f>
        <v>-0.94423265718373228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665</v>
      </c>
      <c r="C183" s="361">
        <f>C162+C176</f>
        <v>4063200.6956070648</v>
      </c>
      <c r="D183" s="361">
        <f>LN_IE10+LN_IE22</f>
        <v>-367518.76770254754</v>
      </c>
      <c r="E183" s="353">
        <f>D183-C183</f>
        <v>-4430719.4633096121</v>
      </c>
      <c r="F183" s="362">
        <f>IF(C183=0,0,E183/C183)</f>
        <v>-1.090450557389373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666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667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607</v>
      </c>
      <c r="C188" s="361">
        <f>C118+C153</f>
        <v>101667410</v>
      </c>
      <c r="D188" s="361">
        <f>LN_ID1+LN_IE1</f>
        <v>114727377</v>
      </c>
      <c r="E188" s="361">
        <f t="shared" ref="E188:E200" si="20">D188-C188</f>
        <v>13059967</v>
      </c>
      <c r="F188" s="362">
        <f t="shared" ref="F188:F200" si="21">IF(C188=0,0,E188/C188)</f>
        <v>0.12845775258757944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608</v>
      </c>
      <c r="C189" s="361">
        <f>C119+C154</f>
        <v>24250057</v>
      </c>
      <c r="D189" s="361">
        <f>LN_1D2+LN_IE2</f>
        <v>25769250</v>
      </c>
      <c r="E189" s="361">
        <f t="shared" si="20"/>
        <v>1519193</v>
      </c>
      <c r="F189" s="362">
        <f t="shared" si="21"/>
        <v>6.2646986767907392E-2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609</v>
      </c>
      <c r="C190" s="366">
        <f>IF(C188=0,0,C189/C188)</f>
        <v>0.23852340686164819</v>
      </c>
      <c r="D190" s="366">
        <f>IF(LN_IF1=0,0,LN_IF2/LN_IF1)</f>
        <v>0.22461290995958183</v>
      </c>
      <c r="E190" s="367">
        <f t="shared" si="20"/>
        <v>-1.391049690206636E-2</v>
      </c>
      <c r="F190" s="362">
        <f t="shared" si="21"/>
        <v>-5.8319211037157995E-2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4026</v>
      </c>
      <c r="D191" s="369">
        <f>LN_ID4+LN_IE4</f>
        <v>4516</v>
      </c>
      <c r="E191" s="369">
        <f t="shared" si="20"/>
        <v>490</v>
      </c>
      <c r="F191" s="362">
        <f t="shared" si="21"/>
        <v>0.12170889220069547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610</v>
      </c>
      <c r="C192" s="372">
        <f>IF((C121+C156)=0,0,(C123+C158)/(C121+C156))</f>
        <v>0.9611213114754098</v>
      </c>
      <c r="D192" s="372">
        <f>IF((LN_ID4+LN_IE4)=0,0,(LN_ID6+LN_IE6)/(LN_ID4+LN_IE4))</f>
        <v>0.99570690876882195</v>
      </c>
      <c r="E192" s="373">
        <f t="shared" si="20"/>
        <v>3.4585597293412151E-2</v>
      </c>
      <c r="F192" s="362">
        <f t="shared" si="21"/>
        <v>3.5984632616584133E-2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611</v>
      </c>
      <c r="C193" s="376">
        <f>C123+C158</f>
        <v>3869.4744000000001</v>
      </c>
      <c r="D193" s="376">
        <f>LN_IF4*LN_IF5</f>
        <v>4496.6124</v>
      </c>
      <c r="E193" s="376">
        <f t="shared" si="20"/>
        <v>627.13799999999992</v>
      </c>
      <c r="F193" s="362">
        <f t="shared" si="21"/>
        <v>0.16207317458929305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612</v>
      </c>
      <c r="C194" s="378">
        <f>IF(C193=0,0,C189/C193)</f>
        <v>6267.015747668469</v>
      </c>
      <c r="D194" s="378">
        <f>IF(LN_IF6=0,0,LN_IF2/LN_IF6)</f>
        <v>5730.8141568973124</v>
      </c>
      <c r="E194" s="378">
        <f t="shared" si="20"/>
        <v>-536.20159077115659</v>
      </c>
      <c r="F194" s="362">
        <f t="shared" si="21"/>
        <v>-8.5559317601944879E-2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668</v>
      </c>
      <c r="C195" s="378">
        <f>C48-C194</f>
        <v>3918.4953659513176</v>
      </c>
      <c r="D195" s="378">
        <f>LN_IB7-LN_IF7</f>
        <v>4305.0963929908276</v>
      </c>
      <c r="E195" s="378">
        <f t="shared" si="20"/>
        <v>386.60102703950997</v>
      </c>
      <c r="F195" s="362">
        <f t="shared" si="21"/>
        <v>9.8660580384698868E-2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669</v>
      </c>
      <c r="C196" s="378">
        <f>C21-C194</f>
        <v>1866.2948340702587</v>
      </c>
      <c r="D196" s="378">
        <f>LN_IA7-LN_IF7</f>
        <v>2471.2803371646814</v>
      </c>
      <c r="E196" s="378">
        <f t="shared" si="20"/>
        <v>604.98550309442271</v>
      </c>
      <c r="F196" s="362">
        <f t="shared" si="21"/>
        <v>0.32416394883063121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629</v>
      </c>
      <c r="C197" s="391">
        <f>C127+C162</f>
        <v>7221580.0832871143</v>
      </c>
      <c r="D197" s="391">
        <f>LN_IF9*LN_IF6</f>
        <v>11112389.807970887</v>
      </c>
      <c r="E197" s="391">
        <f t="shared" si="20"/>
        <v>3890809.7246837728</v>
      </c>
      <c r="F197" s="362">
        <f t="shared" si="21"/>
        <v>0.53877540369430565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24504</v>
      </c>
      <c r="D198" s="369">
        <f>LN_ID11+LN_IE11</f>
        <v>26662</v>
      </c>
      <c r="E198" s="369">
        <f t="shared" si="20"/>
        <v>2158</v>
      </c>
      <c r="F198" s="362">
        <f t="shared" si="21"/>
        <v>8.8067254325824351E-2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613</v>
      </c>
      <c r="C199" s="432">
        <f>IF(C198=0,0,C189/C198)</f>
        <v>989.63667156382633</v>
      </c>
      <c r="D199" s="432">
        <f>IF(LN_IF11=0,0,LN_IF2/LN_IF11)</f>
        <v>966.51601530267794</v>
      </c>
      <c r="E199" s="432">
        <f t="shared" si="20"/>
        <v>-23.120656261148383</v>
      </c>
      <c r="F199" s="362">
        <f t="shared" si="21"/>
        <v>-2.3362772344130159E-2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614</v>
      </c>
      <c r="C200" s="379">
        <f>IF(C191=0,0,C198/C191)</f>
        <v>6.0864381520119224</v>
      </c>
      <c r="D200" s="379">
        <f>IF(LN_IF4=0,0,LN_IF11/LN_IF4)</f>
        <v>5.903897254207263</v>
      </c>
      <c r="E200" s="379">
        <f t="shared" si="20"/>
        <v>-0.18254089780465943</v>
      </c>
      <c r="F200" s="362">
        <f t="shared" si="21"/>
        <v>-2.9991415873390419E-2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670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616</v>
      </c>
      <c r="C203" s="361">
        <f>C133+C168</f>
        <v>47319089</v>
      </c>
      <c r="D203" s="361">
        <f>LN_ID14+LN_IE14</f>
        <v>66988731</v>
      </c>
      <c r="E203" s="361">
        <f t="shared" ref="E203:E211" si="22">D203-C203</f>
        <v>19669642</v>
      </c>
      <c r="F203" s="362">
        <f t="shared" ref="F203:F211" si="23">IF(C203=0,0,E203/C203)</f>
        <v>0.41568091050949862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617</v>
      </c>
      <c r="C204" s="361">
        <f>C134+C169</f>
        <v>10933527</v>
      </c>
      <c r="D204" s="361">
        <f>LN_ID15+LN_IE15</f>
        <v>18242589</v>
      </c>
      <c r="E204" s="361">
        <f t="shared" si="22"/>
        <v>7309062</v>
      </c>
      <c r="F204" s="362">
        <f t="shared" si="23"/>
        <v>0.66849992687629523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618</v>
      </c>
      <c r="C205" s="366">
        <f>IF(C203=0,0,C204/C203)</f>
        <v>0.2310595413195719</v>
      </c>
      <c r="D205" s="366">
        <f>IF(LN_IF14=0,0,LN_IF15/LN_IF14)</f>
        <v>0.27232325090618598</v>
      </c>
      <c r="E205" s="367">
        <f t="shared" si="22"/>
        <v>4.1263709586614072E-2</v>
      </c>
      <c r="F205" s="362">
        <f t="shared" si="23"/>
        <v>0.178584746385969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619</v>
      </c>
      <c r="C206" s="366">
        <f>IF(C188=0,0,C203/C188)</f>
        <v>0.46543025931318599</v>
      </c>
      <c r="D206" s="366">
        <f>IF(LN_IF1=0,0,LN_IF14/LN_IF1)</f>
        <v>0.58389490592119087</v>
      </c>
      <c r="E206" s="367">
        <f t="shared" si="22"/>
        <v>0.11846464660800488</v>
      </c>
      <c r="F206" s="362">
        <f t="shared" si="23"/>
        <v>0.25452716972638972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620</v>
      </c>
      <c r="C207" s="376">
        <f>C137+C172</f>
        <v>1862.1410361742251</v>
      </c>
      <c r="D207" s="376">
        <f>LN_ID18+LN_IE18</f>
        <v>2638.682331501217</v>
      </c>
      <c r="E207" s="376">
        <f t="shared" si="22"/>
        <v>776.54129532699199</v>
      </c>
      <c r="F207" s="362">
        <f t="shared" si="23"/>
        <v>0.41701529596404718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621</v>
      </c>
      <c r="C208" s="378">
        <f>IF(C207=0,0,C204/C207)</f>
        <v>5871.4816910232357</v>
      </c>
      <c r="D208" s="378">
        <f>IF(LN_IF18=0,0,LN_IF15/LN_IF18)</f>
        <v>6913.5222463938289</v>
      </c>
      <c r="E208" s="378">
        <f t="shared" si="22"/>
        <v>1042.0405553705932</v>
      </c>
      <c r="F208" s="362">
        <f t="shared" si="23"/>
        <v>0.17747488797652958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671</v>
      </c>
      <c r="C209" s="378">
        <f>C61-C208</f>
        <v>4084.252596543035</v>
      </c>
      <c r="D209" s="378">
        <f>LN_IB18-LN_IF19</f>
        <v>4219.0148337957698</v>
      </c>
      <c r="E209" s="378">
        <f t="shared" si="22"/>
        <v>134.76223725273485</v>
      </c>
      <c r="F209" s="362">
        <f t="shared" si="23"/>
        <v>3.2995568728241581E-2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672</v>
      </c>
      <c r="C210" s="378">
        <f>C32-C208</f>
        <v>4482.7453744066306</v>
      </c>
      <c r="D210" s="378">
        <f>LN_IA16-LN_IF19</f>
        <v>2584.8240284995327</v>
      </c>
      <c r="E210" s="378">
        <f t="shared" si="22"/>
        <v>-1897.9213459070979</v>
      </c>
      <c r="F210" s="362">
        <f t="shared" si="23"/>
        <v>-0.42338370516043883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632</v>
      </c>
      <c r="C211" s="391">
        <f>C141+C176</f>
        <v>8347504.1164027778</v>
      </c>
      <c r="D211" s="353">
        <f>LN_IF21*LN_IF18</f>
        <v>6820529.4940415155</v>
      </c>
      <c r="E211" s="353">
        <f t="shared" si="22"/>
        <v>-1526974.6223612623</v>
      </c>
      <c r="F211" s="362">
        <f t="shared" si="23"/>
        <v>-0.18292589031022694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673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623</v>
      </c>
      <c r="C214" s="361">
        <f>C188+C203</f>
        <v>148986499</v>
      </c>
      <c r="D214" s="361">
        <f>LN_IF1+LN_IF14</f>
        <v>181716108</v>
      </c>
      <c r="E214" s="361">
        <f>D214-C214</f>
        <v>32729609</v>
      </c>
      <c r="F214" s="362">
        <f>IF(C214=0,0,E214/C214)</f>
        <v>0.2196817108911325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624</v>
      </c>
      <c r="C215" s="361">
        <f>C189+C204</f>
        <v>35183584</v>
      </c>
      <c r="D215" s="361">
        <f>LN_IF2+LN_IF15</f>
        <v>44011839</v>
      </c>
      <c r="E215" s="361">
        <f>D215-C215</f>
        <v>8828255</v>
      </c>
      <c r="F215" s="362">
        <f>IF(C215=0,0,E215/C215)</f>
        <v>0.25091971869608282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625</v>
      </c>
      <c r="C216" s="361">
        <f>C214-C215</f>
        <v>113802915</v>
      </c>
      <c r="D216" s="361">
        <f>LN_IF23-LN_IF24</f>
        <v>137704269</v>
      </c>
      <c r="E216" s="361">
        <f>D216-C216</f>
        <v>23901354</v>
      </c>
      <c r="F216" s="362">
        <f>IF(C216=0,0,E216/C216)</f>
        <v>0.21002409296809313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674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675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607</v>
      </c>
      <c r="C221" s="361">
        <v>483690</v>
      </c>
      <c r="D221" s="361">
        <v>421973</v>
      </c>
      <c r="E221" s="361">
        <f t="shared" ref="E221:E230" si="24">D221-C221</f>
        <v>-61717</v>
      </c>
      <c r="F221" s="362">
        <f t="shared" ref="F221:F230" si="25">IF(C221=0,0,E221/C221)</f>
        <v>-0.12759618764084435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608</v>
      </c>
      <c r="C222" s="361">
        <v>190001</v>
      </c>
      <c r="D222" s="361">
        <v>154404</v>
      </c>
      <c r="E222" s="361">
        <f t="shared" si="24"/>
        <v>-35597</v>
      </c>
      <c r="F222" s="362">
        <f t="shared" si="25"/>
        <v>-0.18735164551765518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609</v>
      </c>
      <c r="C223" s="366">
        <f>IF(C221=0,0,C222/C221)</f>
        <v>0.39281564638508137</v>
      </c>
      <c r="D223" s="366">
        <f>IF(LN_IG1=0,0,LN_IG2/LN_IG1)</f>
        <v>0.36590966720619567</v>
      </c>
      <c r="E223" s="367">
        <f t="shared" si="24"/>
        <v>-2.6905979178885708E-2</v>
      </c>
      <c r="F223" s="362">
        <f t="shared" si="25"/>
        <v>-6.8495181967648741E-2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30</v>
      </c>
      <c r="D224" s="369">
        <v>21</v>
      </c>
      <c r="E224" s="369">
        <f t="shared" si="24"/>
        <v>-9</v>
      </c>
      <c r="F224" s="362">
        <f t="shared" si="25"/>
        <v>-0.3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610</v>
      </c>
      <c r="C225" s="372">
        <v>0.81040000000000001</v>
      </c>
      <c r="D225" s="372">
        <v>1.3835999999999999</v>
      </c>
      <c r="E225" s="373">
        <f t="shared" si="24"/>
        <v>0.57319999999999993</v>
      </c>
      <c r="F225" s="362">
        <f t="shared" si="25"/>
        <v>0.70730503455083904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611</v>
      </c>
      <c r="C226" s="376">
        <f>C224*C225</f>
        <v>24.312000000000001</v>
      </c>
      <c r="D226" s="376">
        <f>LN_IG3*LN_IG4</f>
        <v>29.055599999999998</v>
      </c>
      <c r="E226" s="376">
        <f t="shared" si="24"/>
        <v>4.7435999999999972</v>
      </c>
      <c r="F226" s="362">
        <f t="shared" si="25"/>
        <v>0.19511352418558725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612</v>
      </c>
      <c r="C227" s="378">
        <f>IF(C226=0,0,C222/C226)</f>
        <v>7815.1118789075354</v>
      </c>
      <c r="D227" s="378">
        <f>IF(LN_IG5=0,0,LN_IG2/LN_IG5)</f>
        <v>5314.0874736711685</v>
      </c>
      <c r="E227" s="378">
        <f t="shared" si="24"/>
        <v>-2501.0244052363669</v>
      </c>
      <c r="F227" s="362">
        <f t="shared" si="25"/>
        <v>-0.32002413324196477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116</v>
      </c>
      <c r="D228" s="369">
        <v>56</v>
      </c>
      <c r="E228" s="369">
        <f t="shared" si="24"/>
        <v>-60</v>
      </c>
      <c r="F228" s="362">
        <f t="shared" si="25"/>
        <v>-0.51724137931034486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613</v>
      </c>
      <c r="C229" s="378">
        <f>IF(C228=0,0,C222/C228)</f>
        <v>1637.9396551724137</v>
      </c>
      <c r="D229" s="378">
        <f>IF(LN_IG6=0,0,LN_IG2/LN_IG6)</f>
        <v>2757.2142857142858</v>
      </c>
      <c r="E229" s="378">
        <f t="shared" si="24"/>
        <v>1119.2746305418721</v>
      </c>
      <c r="F229" s="362">
        <f t="shared" si="25"/>
        <v>0.68334301999914293</v>
      </c>
      <c r="Q229" s="330"/>
      <c r="U229" s="375"/>
    </row>
    <row r="230" spans="1:21" ht="11.25" customHeight="1" x14ac:dyDescent="0.2">
      <c r="A230" s="364">
        <v>10</v>
      </c>
      <c r="B230" s="360" t="s">
        <v>614</v>
      </c>
      <c r="C230" s="379">
        <f>IF(C224=0,0,C228/C224)</f>
        <v>3.8666666666666667</v>
      </c>
      <c r="D230" s="379">
        <f>IF(LN_IG3=0,0,LN_IG6/LN_IG3)</f>
        <v>2.6666666666666665</v>
      </c>
      <c r="E230" s="379">
        <f t="shared" si="24"/>
        <v>-1.2000000000000002</v>
      </c>
      <c r="F230" s="362">
        <f t="shared" si="25"/>
        <v>-0.31034482758620696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676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616</v>
      </c>
      <c r="C233" s="361">
        <v>266626</v>
      </c>
      <c r="D233" s="361">
        <v>349831</v>
      </c>
      <c r="E233" s="361">
        <f>D233-C233</f>
        <v>83205</v>
      </c>
      <c r="F233" s="362">
        <f>IF(C233=0,0,E233/C233)</f>
        <v>0.31206634011686785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617</v>
      </c>
      <c r="C234" s="361">
        <v>91593</v>
      </c>
      <c r="D234" s="361">
        <v>92111</v>
      </c>
      <c r="E234" s="361">
        <f>D234-C234</f>
        <v>518</v>
      </c>
      <c r="F234" s="362">
        <f>IF(C234=0,0,E234/C234)</f>
        <v>5.6554540194119641E-3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677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623</v>
      </c>
      <c r="C237" s="361">
        <f>C221+C233</f>
        <v>750316</v>
      </c>
      <c r="D237" s="361">
        <f>LN_IG1+LN_IG9</f>
        <v>771804</v>
      </c>
      <c r="E237" s="361">
        <f>D237-C237</f>
        <v>21488</v>
      </c>
      <c r="F237" s="362">
        <f>IF(C237=0,0,E237/C237)</f>
        <v>2.8638600269753012E-2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624</v>
      </c>
      <c r="C238" s="361">
        <f>C222+C234</f>
        <v>281594</v>
      </c>
      <c r="D238" s="361">
        <f>LN_IG2+LN_IG10</f>
        <v>246515</v>
      </c>
      <c r="E238" s="361">
        <f>D238-C238</f>
        <v>-35079</v>
      </c>
      <c r="F238" s="362">
        <f>IF(C238=0,0,E238/C238)</f>
        <v>-0.12457296675355299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625</v>
      </c>
      <c r="C239" s="361">
        <f>C237-C238</f>
        <v>468722</v>
      </c>
      <c r="D239" s="361">
        <f>LN_IG13-LN_IG14</f>
        <v>525289</v>
      </c>
      <c r="E239" s="361">
        <f>D239-C239</f>
        <v>56567</v>
      </c>
      <c r="F239" s="362">
        <f>IF(C239=0,0,E239/C239)</f>
        <v>0.12068347549293611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678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679</v>
      </c>
      <c r="C243" s="361">
        <v>12404000</v>
      </c>
      <c r="D243" s="361">
        <v>7720000</v>
      </c>
      <c r="E243" s="353">
        <f>D243-C243</f>
        <v>-4684000</v>
      </c>
      <c r="F243" s="415">
        <f>IF(C243=0,0,E243/C243)</f>
        <v>-0.37762012254111577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680</v>
      </c>
      <c r="C244" s="361">
        <v>351813000</v>
      </c>
      <c r="D244" s="361">
        <v>382310000</v>
      </c>
      <c r="E244" s="353">
        <f>D244-C244</f>
        <v>30497000</v>
      </c>
      <c r="F244" s="415">
        <f>IF(C244=0,0,E244/C244)</f>
        <v>8.668525608775117E-2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681</v>
      </c>
      <c r="C245" s="400">
        <v>2541411</v>
      </c>
      <c r="D245" s="400">
        <v>0</v>
      </c>
      <c r="E245" s="400">
        <f>D245-C245</f>
        <v>-2541411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682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683</v>
      </c>
      <c r="C248" s="353">
        <v>7662000</v>
      </c>
      <c r="D248" s="353">
        <v>9025000</v>
      </c>
      <c r="E248" s="353">
        <f>D248-C248</f>
        <v>1363000</v>
      </c>
      <c r="F248" s="362">
        <f>IF(C248=0,0,E248/C248)</f>
        <v>0.17789089010702167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684</v>
      </c>
      <c r="C249" s="353">
        <v>30582008</v>
      </c>
      <c r="D249" s="353">
        <v>32811000</v>
      </c>
      <c r="E249" s="353">
        <f>D249-C249</f>
        <v>2228992</v>
      </c>
      <c r="F249" s="362">
        <f>IF(C249=0,0,E249/C249)</f>
        <v>7.2885730721148193E-2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685</v>
      </c>
      <c r="C250" s="353">
        <f>C248+C249</f>
        <v>38244008</v>
      </c>
      <c r="D250" s="353">
        <f>LN_IH4+LN_IH5</f>
        <v>41836000</v>
      </c>
      <c r="E250" s="353">
        <f>D250-C250</f>
        <v>3591992</v>
      </c>
      <c r="F250" s="362">
        <f>IF(C250=0,0,E250/C250)</f>
        <v>9.392300095743103E-2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686</v>
      </c>
      <c r="C251" s="353">
        <f>C250*C313</f>
        <v>13985709.536211705</v>
      </c>
      <c r="D251" s="353">
        <f>LN_IH6*LN_III10</f>
        <v>14635311.125353262</v>
      </c>
      <c r="E251" s="353">
        <f>D251-C251</f>
        <v>649601.58914155699</v>
      </c>
      <c r="F251" s="362">
        <f>IF(C251=0,0,E251/C251)</f>
        <v>4.6447524700810705E-2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687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623</v>
      </c>
      <c r="C254" s="353">
        <f>C188+C203</f>
        <v>148986499</v>
      </c>
      <c r="D254" s="353">
        <f>LN_IF23</f>
        <v>181716108</v>
      </c>
      <c r="E254" s="353">
        <f>D254-C254</f>
        <v>32729609</v>
      </c>
      <c r="F254" s="362">
        <f>IF(C254=0,0,E254/C254)</f>
        <v>0.2196817108911325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624</v>
      </c>
      <c r="C255" s="353">
        <f>C189+C204</f>
        <v>35183584</v>
      </c>
      <c r="D255" s="353">
        <f>LN_IF24</f>
        <v>44011839</v>
      </c>
      <c r="E255" s="353">
        <f>D255-C255</f>
        <v>8828255</v>
      </c>
      <c r="F255" s="362">
        <f>IF(C255=0,0,E255/C255)</f>
        <v>0.25091971869608282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688</v>
      </c>
      <c r="C256" s="353">
        <f>C254*C313</f>
        <v>54483878.881917804</v>
      </c>
      <c r="D256" s="353">
        <f>LN_IH8*LN_III10</f>
        <v>63568978.321739532</v>
      </c>
      <c r="E256" s="353">
        <f>D256-C256</f>
        <v>9085099.4398217276</v>
      </c>
      <c r="F256" s="362">
        <f>IF(C256=0,0,E256/C256)</f>
        <v>0.16674839652132228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689</v>
      </c>
      <c r="C257" s="353">
        <f>C256-C255</f>
        <v>19300294.881917804</v>
      </c>
      <c r="D257" s="353">
        <f>LN_IH10-LN_IH9</f>
        <v>19557139.321739532</v>
      </c>
      <c r="E257" s="353">
        <f>D257-C257</f>
        <v>256844.43982172757</v>
      </c>
      <c r="F257" s="362">
        <f>IF(C257=0,0,E257/C257)</f>
        <v>1.3307798735363459E-2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690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691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692</v>
      </c>
      <c r="C261" s="361">
        <f>C15+C42+C188+C221</f>
        <v>662252595</v>
      </c>
      <c r="D261" s="361">
        <f>LN_IA1+LN_IB1+LN_IF1+LN_IG1</f>
        <v>684144505</v>
      </c>
      <c r="E261" s="361">
        <f t="shared" ref="E261:E274" si="26">D261-C261</f>
        <v>21891910</v>
      </c>
      <c r="F261" s="415">
        <f t="shared" ref="F261:F274" si="27">IF(C261=0,0,E261/C261)</f>
        <v>3.3056737210671101E-2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693</v>
      </c>
      <c r="C262" s="361">
        <f>C16+C43+C189+C222</f>
        <v>245512758</v>
      </c>
      <c r="D262" s="361">
        <f>+LN_IA2+LN_IB2+LN_IF2+LN_IG2</f>
        <v>242577903</v>
      </c>
      <c r="E262" s="361">
        <f t="shared" si="26"/>
        <v>-2934855</v>
      </c>
      <c r="F262" s="415">
        <f t="shared" si="27"/>
        <v>-1.1953981633817987E-2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694</v>
      </c>
      <c r="C263" s="366">
        <f>IF(C261=0,0,C262/C261)</f>
        <v>0.37072373872691278</v>
      </c>
      <c r="D263" s="366">
        <f>IF(LN_IIA1=0,0,LN_IIA2/LN_IIA1)</f>
        <v>0.35457114867859679</v>
      </c>
      <c r="E263" s="367">
        <f t="shared" si="26"/>
        <v>-1.6152590048315985E-2</v>
      </c>
      <c r="F263" s="371">
        <f t="shared" si="27"/>
        <v>-4.3570422826940979E-2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695</v>
      </c>
      <c r="C264" s="369">
        <f>C18+C45+C191+C224</f>
        <v>21873</v>
      </c>
      <c r="D264" s="369">
        <f>LN_IA4+LN_IB4+LN_IF4+LN_IG3</f>
        <v>22100</v>
      </c>
      <c r="E264" s="369">
        <f t="shared" si="26"/>
        <v>227</v>
      </c>
      <c r="F264" s="415">
        <f t="shared" si="27"/>
        <v>1.037809171124217E-2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696</v>
      </c>
      <c r="C265" s="439">
        <f>IF(C264=0,0,C266/C264)</f>
        <v>1.3088669866959266</v>
      </c>
      <c r="D265" s="439">
        <f>IF(LN_IIA4=0,0,LN_IIA6/LN_IIA4)</f>
        <v>1.3074215158371041</v>
      </c>
      <c r="E265" s="439">
        <f t="shared" si="26"/>
        <v>-1.4454708588225174E-3</v>
      </c>
      <c r="F265" s="415">
        <f t="shared" si="27"/>
        <v>-1.1043680324395915E-3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697</v>
      </c>
      <c r="C266" s="376">
        <f>C20+C47+C193+C226</f>
        <v>28628.847600000001</v>
      </c>
      <c r="D266" s="376">
        <f>LN_IA6+LN_IB6+LN_IF6+LN_IG5</f>
        <v>28894.015500000001</v>
      </c>
      <c r="E266" s="376">
        <f t="shared" si="26"/>
        <v>265.16790000000037</v>
      </c>
      <c r="F266" s="415">
        <f t="shared" si="27"/>
        <v>9.2622624460790507E-3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698</v>
      </c>
      <c r="C267" s="361">
        <f>C27+C56+C203+C233</f>
        <v>266263033</v>
      </c>
      <c r="D267" s="361">
        <f>LN_IA11+LN_IB13+LN_IF14+LN_IG9</f>
        <v>320088865</v>
      </c>
      <c r="E267" s="361">
        <f t="shared" si="26"/>
        <v>53825832</v>
      </c>
      <c r="F267" s="415">
        <f t="shared" si="27"/>
        <v>0.20215285386612417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619</v>
      </c>
      <c r="C268" s="366">
        <f>IF(C261=0,0,C267/C261)</f>
        <v>0.4020566095328022</v>
      </c>
      <c r="D268" s="366">
        <f>IF(LN_IIA1=0,0,LN_IIA7/LN_IIA1)</f>
        <v>0.46786733308630463</v>
      </c>
      <c r="E268" s="367">
        <f t="shared" si="26"/>
        <v>6.5810723553502426E-2</v>
      </c>
      <c r="F268" s="371">
        <f t="shared" si="27"/>
        <v>0.1636852174373549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699</v>
      </c>
      <c r="C269" s="361">
        <f>C28+C57+C204+C234</f>
        <v>87084831</v>
      </c>
      <c r="D269" s="361">
        <f>LN_IA12+LN_IB14+LN_IF15+LN_IG10</f>
        <v>108749266</v>
      </c>
      <c r="E269" s="361">
        <f t="shared" si="26"/>
        <v>21664435</v>
      </c>
      <c r="F269" s="415">
        <f t="shared" si="27"/>
        <v>0.24877392252159278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618</v>
      </c>
      <c r="C270" s="366">
        <f>IF(C267=0,0,C269/C267)</f>
        <v>0.32706316764595705</v>
      </c>
      <c r="D270" s="366">
        <f>IF(LN_IIA7=0,0,LN_IIA9/LN_IIA7)</f>
        <v>0.33974710741656072</v>
      </c>
      <c r="E270" s="367">
        <f t="shared" si="26"/>
        <v>1.2683939770603669E-2</v>
      </c>
      <c r="F270" s="371">
        <f t="shared" si="27"/>
        <v>3.8781315126055163E-2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700</v>
      </c>
      <c r="C271" s="353">
        <f>C261+C267</f>
        <v>928515628</v>
      </c>
      <c r="D271" s="353">
        <f>LN_IIA1+LN_IIA7</f>
        <v>1004233370</v>
      </c>
      <c r="E271" s="353">
        <f t="shared" si="26"/>
        <v>75717742</v>
      </c>
      <c r="F271" s="415">
        <f t="shared" si="27"/>
        <v>8.1547084094959352E-2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701</v>
      </c>
      <c r="C272" s="353">
        <f>C262+C269</f>
        <v>332597589</v>
      </c>
      <c r="D272" s="353">
        <f>LN_IIA2+LN_IIA9</f>
        <v>351327169</v>
      </c>
      <c r="E272" s="353">
        <f t="shared" si="26"/>
        <v>18729580</v>
      </c>
      <c r="F272" s="415">
        <f t="shared" si="27"/>
        <v>5.6313035991370337E-2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702</v>
      </c>
      <c r="C273" s="366">
        <f>IF(C271=0,0,C272/C271)</f>
        <v>0.35820354442111768</v>
      </c>
      <c r="D273" s="366">
        <f>IF(LN_IIA11=0,0,LN_IIA12/LN_IIA11)</f>
        <v>0.34984614084274057</v>
      </c>
      <c r="E273" s="367">
        <f t="shared" si="26"/>
        <v>-8.3574035783771095E-3</v>
      </c>
      <c r="F273" s="371">
        <f t="shared" si="27"/>
        <v>-2.333143741467792E-2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122812</v>
      </c>
      <c r="D274" s="421">
        <f>LN_IA8+LN_IB10+LN_IF11+LN_IG6</f>
        <v>122440</v>
      </c>
      <c r="E274" s="442">
        <f t="shared" si="26"/>
        <v>-372</v>
      </c>
      <c r="F274" s="371">
        <f t="shared" si="27"/>
        <v>-3.0290199654756864E-3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703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704</v>
      </c>
      <c r="C277" s="361">
        <f>C15+C188+C221</f>
        <v>461334523</v>
      </c>
      <c r="D277" s="361">
        <f>LN_IA1+LN_IF1+LN_IG1</f>
        <v>492362185</v>
      </c>
      <c r="E277" s="361">
        <f t="shared" ref="E277:E291" si="28">D277-C277</f>
        <v>31027662</v>
      </c>
      <c r="F277" s="415">
        <f t="shared" ref="F277:F291" si="29">IF(C277=0,0,E277/C277)</f>
        <v>6.7256319336847031E-2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705</v>
      </c>
      <c r="C278" s="361">
        <f>C16+C189+C222</f>
        <v>146770775</v>
      </c>
      <c r="D278" s="361">
        <f>LN_IA2+LN_IF2+LN_IG2</f>
        <v>150731025</v>
      </c>
      <c r="E278" s="361">
        <f t="shared" si="28"/>
        <v>3960250</v>
      </c>
      <c r="F278" s="415">
        <f t="shared" si="29"/>
        <v>2.6982551533164555E-2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706</v>
      </c>
      <c r="C279" s="366">
        <f>IF(C277=0,0,C278/C277)</f>
        <v>0.31814392308116946</v>
      </c>
      <c r="D279" s="366">
        <f>IF(D277=0,0,LN_IIB2/D277)</f>
        <v>0.30613850858591019</v>
      </c>
      <c r="E279" s="367">
        <f t="shared" si="28"/>
        <v>-1.200541449525927E-2</v>
      </c>
      <c r="F279" s="371">
        <f t="shared" si="29"/>
        <v>-3.7735796990836366E-2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707</v>
      </c>
      <c r="C280" s="369">
        <f>C18+C191+C224</f>
        <v>13976</v>
      </c>
      <c r="D280" s="369">
        <f>LN_IA4+LN_IF4+LN_IG3</f>
        <v>14701</v>
      </c>
      <c r="E280" s="369">
        <f t="shared" si="28"/>
        <v>725</v>
      </c>
      <c r="F280" s="415">
        <f t="shared" si="29"/>
        <v>5.1874642243846594E-2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708</v>
      </c>
      <c r="C281" s="439">
        <f>IF(C280=0,0,C282/C280)</f>
        <v>1.3547860904407558</v>
      </c>
      <c r="D281" s="439">
        <f>IF(LN_IIB4=0,0,LN_IIB6/LN_IIB4)</f>
        <v>1.3429149309570778</v>
      </c>
      <c r="E281" s="439">
        <f t="shared" si="28"/>
        <v>-1.1871159483678007E-2</v>
      </c>
      <c r="F281" s="415">
        <f t="shared" si="29"/>
        <v>-8.7623865992128205E-3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709</v>
      </c>
      <c r="C282" s="376">
        <f>C20+C193+C226</f>
        <v>18934.490400000002</v>
      </c>
      <c r="D282" s="376">
        <f>LN_IA6+LN_IF6+LN_IG5</f>
        <v>19742.1924</v>
      </c>
      <c r="E282" s="376">
        <f t="shared" si="28"/>
        <v>807.7019999999975</v>
      </c>
      <c r="F282" s="415">
        <f t="shared" si="29"/>
        <v>4.2657709974597328E-2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710</v>
      </c>
      <c r="C283" s="361">
        <f>C27+C203+C233</f>
        <v>137864318</v>
      </c>
      <c r="D283" s="361">
        <f>LN_IA11+LN_IF14+LN_IG9</f>
        <v>171857365</v>
      </c>
      <c r="E283" s="361">
        <f t="shared" si="28"/>
        <v>33993047</v>
      </c>
      <c r="F283" s="415">
        <f t="shared" si="29"/>
        <v>0.24656885474891335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711</v>
      </c>
      <c r="C284" s="366">
        <f>IF(C277=0,0,C283/C277)</f>
        <v>0.29883806896454612</v>
      </c>
      <c r="D284" s="366">
        <f>IF(D277=0,0,LN_IIB7/D277)</f>
        <v>0.34904663728389296</v>
      </c>
      <c r="E284" s="367">
        <f t="shared" si="28"/>
        <v>5.0208568319346836E-2</v>
      </c>
      <c r="F284" s="371">
        <f t="shared" si="29"/>
        <v>0.16801262467434674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712</v>
      </c>
      <c r="C285" s="361">
        <f>C28+C204+C234</f>
        <v>36841652</v>
      </c>
      <c r="D285" s="361">
        <f>LN_IA12+LN_IF15+LN_IG10</f>
        <v>45084505</v>
      </c>
      <c r="E285" s="361">
        <f t="shared" si="28"/>
        <v>8242853</v>
      </c>
      <c r="F285" s="415">
        <f t="shared" si="29"/>
        <v>0.22373733403702961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713</v>
      </c>
      <c r="C286" s="366">
        <f>IF(C283=0,0,C285/C283)</f>
        <v>0.26723123527873255</v>
      </c>
      <c r="D286" s="366">
        <f>IF(LN_IIB7=0,0,LN_IIB9/LN_IIB7)</f>
        <v>0.26233676397866335</v>
      </c>
      <c r="E286" s="367">
        <f t="shared" si="28"/>
        <v>-4.8944713000692031E-3</v>
      </c>
      <c r="F286" s="371">
        <f t="shared" si="29"/>
        <v>-1.8315491057638078E-2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714</v>
      </c>
      <c r="C287" s="353">
        <f>C277+C283</f>
        <v>599198841</v>
      </c>
      <c r="D287" s="353">
        <f>D277+LN_IIB7</f>
        <v>664219550</v>
      </c>
      <c r="E287" s="353">
        <f t="shared" si="28"/>
        <v>65020709</v>
      </c>
      <c r="F287" s="415">
        <f t="shared" si="29"/>
        <v>0.10851274159924484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715</v>
      </c>
      <c r="C288" s="353">
        <f>C278+C285</f>
        <v>183612427</v>
      </c>
      <c r="D288" s="353">
        <f>LN_IIB2+LN_IIB9</f>
        <v>195815530</v>
      </c>
      <c r="E288" s="353">
        <f t="shared" si="28"/>
        <v>12203103</v>
      </c>
      <c r="F288" s="415">
        <f t="shared" si="29"/>
        <v>6.6461204175466831E-2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716</v>
      </c>
      <c r="C289" s="366">
        <f>IF(C287=0,0,C288/C287)</f>
        <v>0.30642987675605332</v>
      </c>
      <c r="D289" s="366">
        <f>IF(LN_IIB11=0,0,LN_IIB12/LN_IIB11)</f>
        <v>0.29480542992147701</v>
      </c>
      <c r="E289" s="367">
        <f t="shared" si="28"/>
        <v>-1.1624446834576307E-2</v>
      </c>
      <c r="F289" s="371">
        <f t="shared" si="29"/>
        <v>-3.7935096138913528E-2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87388</v>
      </c>
      <c r="D290" s="421">
        <f>LN_IA8+LN_IF11+LN_IG6</f>
        <v>90391</v>
      </c>
      <c r="E290" s="442">
        <f t="shared" si="28"/>
        <v>3003</v>
      </c>
      <c r="F290" s="371">
        <f t="shared" si="29"/>
        <v>3.4363985901954504E-2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717</v>
      </c>
      <c r="C291" s="361">
        <f>C287-C288</f>
        <v>415586414</v>
      </c>
      <c r="D291" s="429">
        <f>LN_IIB11-LN_IIB12</f>
        <v>468404020</v>
      </c>
      <c r="E291" s="353">
        <f t="shared" si="28"/>
        <v>52817606</v>
      </c>
      <c r="F291" s="415">
        <f t="shared" si="29"/>
        <v>0.12709175329297459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614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605</v>
      </c>
      <c r="C294" s="379">
        <f>IF(C18=0,0,C22/C18)</f>
        <v>6.3274193548387094</v>
      </c>
      <c r="D294" s="379">
        <f>IF(LN_IA4=0,0,LN_IA8/LN_IA4)</f>
        <v>6.2645611963793781</v>
      </c>
      <c r="E294" s="379">
        <f t="shared" ref="E294:E300" si="30">D294-C294</f>
        <v>-6.2858158459331293E-2</v>
      </c>
      <c r="F294" s="415">
        <f t="shared" ref="F294:F300" si="31">IF(C294=0,0,E294/C294)</f>
        <v>-9.934248851589448E-3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626</v>
      </c>
      <c r="C295" s="379">
        <f>IF(C45=0,0,C51/C45)</f>
        <v>4.4857540838293026</v>
      </c>
      <c r="D295" s="379">
        <f>IF(LN_IB4=0,0,(LN_IB10)/(LN_IB4))</f>
        <v>4.3315312880118935</v>
      </c>
      <c r="E295" s="379">
        <f t="shared" si="30"/>
        <v>-0.15422279581740916</v>
      </c>
      <c r="F295" s="415">
        <f t="shared" si="31"/>
        <v>-3.4380573017448061E-2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641</v>
      </c>
      <c r="C296" s="379">
        <f>IF(C86=0,0,C93/C86)</f>
        <v>5.2763671875</v>
      </c>
      <c r="D296" s="379">
        <f>IF(LN_IC4=0,0,LN_IC11/LN_IC4)</f>
        <v>4.5721493440968715</v>
      </c>
      <c r="E296" s="379">
        <f t="shared" si="30"/>
        <v>-0.70421784340312854</v>
      </c>
      <c r="F296" s="415">
        <f t="shared" si="31"/>
        <v>-0.1334664208115498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6.1870208105147864</v>
      </c>
      <c r="D297" s="379">
        <f>IF(LN_ID4=0,0,LN_ID11/LN_ID4)</f>
        <v>5.8997326203208553</v>
      </c>
      <c r="E297" s="379">
        <f t="shared" si="30"/>
        <v>-0.28728819019393104</v>
      </c>
      <c r="F297" s="415">
        <f t="shared" si="31"/>
        <v>-4.6434010647852894E-2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718</v>
      </c>
      <c r="C298" s="379">
        <f>IF(C156=0,0,C163/C156)</f>
        <v>5.1042780748663104</v>
      </c>
      <c r="D298" s="379">
        <f>IF(LN_IE4=0,0,LN_IE11/LN_IE4)</f>
        <v>6.5714285714285712</v>
      </c>
      <c r="E298" s="379">
        <f t="shared" si="30"/>
        <v>1.4671504965622608</v>
      </c>
      <c r="F298" s="415">
        <f t="shared" si="31"/>
        <v>0.28743545611015481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3.8666666666666667</v>
      </c>
      <c r="D299" s="379">
        <f>IF(LN_IG3=0,0,LN_IG6/LN_IG3)</f>
        <v>2.6666666666666665</v>
      </c>
      <c r="E299" s="379">
        <f t="shared" si="30"/>
        <v>-1.2000000000000002</v>
      </c>
      <c r="F299" s="415">
        <f t="shared" si="31"/>
        <v>-0.31034482758620696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719</v>
      </c>
      <c r="C300" s="379">
        <f>IF(C264=0,0,C274/C264)</f>
        <v>5.614776208110456</v>
      </c>
      <c r="D300" s="379">
        <f>IF(LN_IIA4=0,0,LN_IIA14/LN_IIA4)</f>
        <v>5.5402714932126695</v>
      </c>
      <c r="E300" s="379">
        <f t="shared" si="30"/>
        <v>-7.4504714897786428E-2</v>
      </c>
      <c r="F300" s="415">
        <f t="shared" si="31"/>
        <v>-1.3269400620128997E-2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720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714</v>
      </c>
      <c r="C304" s="353">
        <f>C35+C66+C214+C221+C233</f>
        <v>928515628</v>
      </c>
      <c r="D304" s="353">
        <f>LN_IIA11</f>
        <v>1004233370</v>
      </c>
      <c r="E304" s="353">
        <f t="shared" ref="E304:E316" si="32">D304-C304</f>
        <v>75717742</v>
      </c>
      <c r="F304" s="362">
        <f>IF(C304=0,0,E304/C304)</f>
        <v>8.1547084094959352E-2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717</v>
      </c>
      <c r="C305" s="353">
        <f>C291</f>
        <v>415586414</v>
      </c>
      <c r="D305" s="353">
        <f>LN_IIB14</f>
        <v>468404020</v>
      </c>
      <c r="E305" s="353">
        <f t="shared" si="32"/>
        <v>52817606</v>
      </c>
      <c r="F305" s="362">
        <f>IF(C305=0,0,E305/C305)</f>
        <v>0.12709175329297459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721</v>
      </c>
      <c r="C306" s="353">
        <f>C250</f>
        <v>38244008</v>
      </c>
      <c r="D306" s="353">
        <f>LN_IH6</f>
        <v>41836000</v>
      </c>
      <c r="E306" s="353">
        <f t="shared" si="32"/>
        <v>3591992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722</v>
      </c>
      <c r="C307" s="353">
        <f>C73-C74</f>
        <v>128483481</v>
      </c>
      <c r="D307" s="353">
        <f>LN_IB32-LN_IB33</f>
        <v>131133749</v>
      </c>
      <c r="E307" s="353">
        <f t="shared" si="32"/>
        <v>2650268</v>
      </c>
      <c r="F307" s="362">
        <f t="shared" ref="F307:F316" si="33">IF(C307=0,0,E307/C307)</f>
        <v>2.062730538877601E-2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723</v>
      </c>
      <c r="C308" s="353">
        <v>9187986</v>
      </c>
      <c r="D308" s="353">
        <v>11552884</v>
      </c>
      <c r="E308" s="353">
        <f t="shared" si="32"/>
        <v>2364898</v>
      </c>
      <c r="F308" s="362">
        <f t="shared" si="33"/>
        <v>0.25739024852671738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724</v>
      </c>
      <c r="C309" s="353">
        <f>C305+C307+C308+C306</f>
        <v>591501889</v>
      </c>
      <c r="D309" s="353">
        <f>LN_III2+LN_III3+LN_III4+LN_III5</f>
        <v>652926653</v>
      </c>
      <c r="E309" s="353">
        <f t="shared" si="32"/>
        <v>61424764</v>
      </c>
      <c r="F309" s="362">
        <f t="shared" si="33"/>
        <v>0.10384542322230859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725</v>
      </c>
      <c r="C310" s="353">
        <f>C304-C309</f>
        <v>337013739</v>
      </c>
      <c r="D310" s="353">
        <f>LN_III1-LN_III6</f>
        <v>351306717</v>
      </c>
      <c r="E310" s="353">
        <f t="shared" si="32"/>
        <v>14292978</v>
      </c>
      <c r="F310" s="362">
        <f t="shared" si="33"/>
        <v>4.2410668604819103E-2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726</v>
      </c>
      <c r="C311" s="353">
        <f>C245</f>
        <v>2541411</v>
      </c>
      <c r="D311" s="353">
        <f>LN_IH3</f>
        <v>0</v>
      </c>
      <c r="E311" s="353">
        <f t="shared" si="32"/>
        <v>-2541411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727</v>
      </c>
      <c r="C312" s="353">
        <f>C310+C311</f>
        <v>339555150</v>
      </c>
      <c r="D312" s="353">
        <f>LN_III7+LN_III8</f>
        <v>351306717</v>
      </c>
      <c r="E312" s="353">
        <f t="shared" si="32"/>
        <v>11751567</v>
      </c>
      <c r="F312" s="362">
        <f t="shared" si="33"/>
        <v>3.4608713783313254E-2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728</v>
      </c>
      <c r="C313" s="448">
        <f>IF(C304=0,0,C312/C304)</f>
        <v>0.36569675270990698</v>
      </c>
      <c r="D313" s="448">
        <f>IF(LN_III1=0,0,LN_III9/LN_III1)</f>
        <v>0.34982577505863999</v>
      </c>
      <c r="E313" s="448">
        <f t="shared" si="32"/>
        <v>-1.5870977651266993E-2</v>
      </c>
      <c r="F313" s="362">
        <f t="shared" si="33"/>
        <v>-4.3399285155416252E-2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686</v>
      </c>
      <c r="C314" s="353">
        <f>C306*C313</f>
        <v>13985709.536211705</v>
      </c>
      <c r="D314" s="353">
        <f>D313*LN_III5</f>
        <v>14635311.125353262</v>
      </c>
      <c r="E314" s="353">
        <f t="shared" si="32"/>
        <v>649601.58914155699</v>
      </c>
      <c r="F314" s="362">
        <f t="shared" si="33"/>
        <v>4.6447524700810705E-2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689</v>
      </c>
      <c r="C315" s="353">
        <f>(C214*C313)-C215</f>
        <v>19300294.881917804</v>
      </c>
      <c r="D315" s="353">
        <f>D313*LN_IH8-LN_IH9</f>
        <v>19557139.321739532</v>
      </c>
      <c r="E315" s="353">
        <f t="shared" si="32"/>
        <v>256844.43982172757</v>
      </c>
      <c r="F315" s="362">
        <f t="shared" si="33"/>
        <v>1.3307798735363459E-2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729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730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731</v>
      </c>
      <c r="C318" s="353">
        <f>C314+C315+C316</f>
        <v>33286004.418129511</v>
      </c>
      <c r="D318" s="353">
        <f>D314+D315+D316</f>
        <v>34192450.447092794</v>
      </c>
      <c r="E318" s="353">
        <f>D318-C318</f>
        <v>906446.0289632827</v>
      </c>
      <c r="F318" s="362">
        <f>IF(C318=0,0,E318/C318)</f>
        <v>2.7232046765864725E-2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732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7963828.1873244084</v>
      </c>
      <c r="D322" s="353">
        <f>LN_ID22</f>
        <v>6892991.580775734</v>
      </c>
      <c r="E322" s="353">
        <f>LN_IV2-C322</f>
        <v>-1070836.6065486744</v>
      </c>
      <c r="F322" s="362">
        <f>IF(C322=0,0,E322/C322)</f>
        <v>-0.13446254506759284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718</v>
      </c>
      <c r="C323" s="353">
        <f>C162+C176</f>
        <v>4063200.6956070648</v>
      </c>
      <c r="D323" s="353">
        <f>LN_IE10+LN_IE22</f>
        <v>-367518.76770254754</v>
      </c>
      <c r="E323" s="353">
        <f>LN_IV3-C323</f>
        <v>-4430719.4633096121</v>
      </c>
      <c r="F323" s="362">
        <f>IF(C323=0,0,E323/C323)</f>
        <v>-1.090450557389373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733</v>
      </c>
      <c r="C324" s="353">
        <f>C92+C106</f>
        <v>19032400.908103798</v>
      </c>
      <c r="D324" s="353">
        <f>LN_IC10+LN_IC22</f>
        <v>17988297.423182156</v>
      </c>
      <c r="E324" s="353">
        <f>LN_IV1-C324</f>
        <v>-1044103.4849216416</v>
      </c>
      <c r="F324" s="362">
        <f>IF(C324=0,0,E324/C324)</f>
        <v>-5.4859262893998478E-2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734</v>
      </c>
      <c r="C325" s="429">
        <f>C324+C322+C323</f>
        <v>31059429.791035272</v>
      </c>
      <c r="D325" s="429">
        <f>LN_IV1+LN_IV2+LN_IV3</f>
        <v>24513770.236255344</v>
      </c>
      <c r="E325" s="353">
        <f>LN_IV4-C325</f>
        <v>-6545659.5547799282</v>
      </c>
      <c r="F325" s="362">
        <f>IF(C325=0,0,E325/C325)</f>
        <v>-0.21074628860923941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735</v>
      </c>
      <c r="B327" s="446" t="s">
        <v>736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737</v>
      </c>
      <c r="C329" s="431">
        <v>15226266</v>
      </c>
      <c r="D329" s="431">
        <v>18452227</v>
      </c>
      <c r="E329" s="431">
        <f t="shared" ref="E329:E335" si="34">D329-C329</f>
        <v>3225961</v>
      </c>
      <c r="F329" s="462">
        <f t="shared" ref="F329:F335" si="35">IF(C329=0,0,E329/C329)</f>
        <v>0.21186816255541574</v>
      </c>
    </row>
    <row r="330" spans="1:22" s="333" customFormat="1" ht="11.25" customHeight="1" x14ac:dyDescent="0.2">
      <c r="A330" s="364">
        <v>2</v>
      </c>
      <c r="B330" s="360" t="s">
        <v>738</v>
      </c>
      <c r="C330" s="429">
        <v>23537405</v>
      </c>
      <c r="D330" s="429">
        <v>37747172</v>
      </c>
      <c r="E330" s="431">
        <f t="shared" si="34"/>
        <v>14209767</v>
      </c>
      <c r="F330" s="463">
        <f t="shared" si="35"/>
        <v>0.60371000966334221</v>
      </c>
    </row>
    <row r="331" spans="1:22" s="333" customFormat="1" ht="11.25" customHeight="1" x14ac:dyDescent="0.2">
      <c r="A331" s="339">
        <v>3</v>
      </c>
      <c r="B331" s="360" t="s">
        <v>739</v>
      </c>
      <c r="C331" s="429">
        <v>358676000</v>
      </c>
      <c r="D331" s="429">
        <v>389074000</v>
      </c>
      <c r="E331" s="431">
        <f t="shared" si="34"/>
        <v>30398000</v>
      </c>
      <c r="F331" s="462">
        <f t="shared" si="35"/>
        <v>8.4750582698591481E-2</v>
      </c>
    </row>
    <row r="332" spans="1:22" s="333" customFormat="1" ht="11.25" customHeight="1" x14ac:dyDescent="0.2">
      <c r="A332" s="364">
        <v>4</v>
      </c>
      <c r="B332" s="360" t="s">
        <v>740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741</v>
      </c>
      <c r="C333" s="429">
        <v>928516000</v>
      </c>
      <c r="D333" s="429">
        <v>1004233000</v>
      </c>
      <c r="E333" s="431">
        <f t="shared" si="34"/>
        <v>75717000</v>
      </c>
      <c r="F333" s="462">
        <f t="shared" si="35"/>
        <v>8.154625229936803E-2</v>
      </c>
    </row>
    <row r="334" spans="1:22" s="333" customFormat="1" ht="11.25" customHeight="1" x14ac:dyDescent="0.2">
      <c r="A334" s="339">
        <v>6</v>
      </c>
      <c r="B334" s="360" t="s">
        <v>742</v>
      </c>
      <c r="C334" s="429">
        <v>-9455404</v>
      </c>
      <c r="D334" s="429">
        <v>0</v>
      </c>
      <c r="E334" s="429">
        <f t="shared" si="34"/>
        <v>9455404</v>
      </c>
      <c r="F334" s="463">
        <f t="shared" si="35"/>
        <v>-1</v>
      </c>
    </row>
    <row r="335" spans="1:22" s="333" customFormat="1" ht="11.25" customHeight="1" x14ac:dyDescent="0.2">
      <c r="A335" s="364">
        <v>7</v>
      </c>
      <c r="B335" s="360" t="s">
        <v>743</v>
      </c>
      <c r="C335" s="429">
        <v>28788604</v>
      </c>
      <c r="D335" s="429">
        <v>41836165</v>
      </c>
      <c r="E335" s="429">
        <f t="shared" si="34"/>
        <v>13047561</v>
      </c>
      <c r="F335" s="462">
        <f t="shared" si="35"/>
        <v>0.45321964899722128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FILING&amp;RSAINT VINCENT`S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596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744</v>
      </c>
      <c r="B5" s="710"/>
      <c r="C5" s="710"/>
      <c r="D5" s="710"/>
      <c r="E5" s="710"/>
    </row>
    <row r="6" spans="1:5" s="338" customFormat="1" ht="15.75" customHeight="1" x14ac:dyDescent="0.25">
      <c r="A6" s="710" t="s">
        <v>745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746</v>
      </c>
      <c r="D9" s="494" t="s">
        <v>747</v>
      </c>
      <c r="E9" s="495" t="s">
        <v>748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749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750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626</v>
      </c>
      <c r="C14" s="513">
        <v>200918072</v>
      </c>
      <c r="D14" s="513">
        <v>191782320</v>
      </c>
      <c r="E14" s="514">
        <f t="shared" ref="E14:E22" si="0">D14-C14</f>
        <v>-9135752</v>
      </c>
    </row>
    <row r="15" spans="1:5" s="506" customFormat="1" x14ac:dyDescent="0.2">
      <c r="A15" s="512">
        <v>2</v>
      </c>
      <c r="B15" s="511" t="s">
        <v>605</v>
      </c>
      <c r="C15" s="513">
        <v>359183423</v>
      </c>
      <c r="D15" s="515">
        <v>377212835</v>
      </c>
      <c r="E15" s="514">
        <f t="shared" si="0"/>
        <v>18029412</v>
      </c>
    </row>
    <row r="16" spans="1:5" s="506" customFormat="1" x14ac:dyDescent="0.2">
      <c r="A16" s="512">
        <v>3</v>
      </c>
      <c r="B16" s="511" t="s">
        <v>751</v>
      </c>
      <c r="C16" s="513">
        <v>101667410</v>
      </c>
      <c r="D16" s="515">
        <v>114727377</v>
      </c>
      <c r="E16" s="514">
        <f t="shared" si="0"/>
        <v>13059967</v>
      </c>
    </row>
    <row r="17" spans="1:5" s="506" customFormat="1" x14ac:dyDescent="0.2">
      <c r="A17" s="512">
        <v>4</v>
      </c>
      <c r="B17" s="511" t="s">
        <v>114</v>
      </c>
      <c r="C17" s="513">
        <v>90621119</v>
      </c>
      <c r="D17" s="515">
        <v>113630882</v>
      </c>
      <c r="E17" s="514">
        <f t="shared" si="0"/>
        <v>23009763</v>
      </c>
    </row>
    <row r="18" spans="1:5" s="506" customFormat="1" x14ac:dyDescent="0.2">
      <c r="A18" s="512">
        <v>5</v>
      </c>
      <c r="B18" s="511" t="s">
        <v>718</v>
      </c>
      <c r="C18" s="513">
        <v>11046291</v>
      </c>
      <c r="D18" s="515">
        <v>1096495</v>
      </c>
      <c r="E18" s="514">
        <f t="shared" si="0"/>
        <v>-9949796</v>
      </c>
    </row>
    <row r="19" spans="1:5" s="506" customFormat="1" x14ac:dyDescent="0.2">
      <c r="A19" s="512">
        <v>6</v>
      </c>
      <c r="B19" s="511" t="s">
        <v>418</v>
      </c>
      <c r="C19" s="513">
        <v>483690</v>
      </c>
      <c r="D19" s="515">
        <v>421973</v>
      </c>
      <c r="E19" s="514">
        <f t="shared" si="0"/>
        <v>-61717</v>
      </c>
    </row>
    <row r="20" spans="1:5" s="506" customFormat="1" x14ac:dyDescent="0.2">
      <c r="A20" s="512">
        <v>7</v>
      </c>
      <c r="B20" s="511" t="s">
        <v>733</v>
      </c>
      <c r="C20" s="513">
        <v>18013248</v>
      </c>
      <c r="D20" s="515">
        <v>19174537</v>
      </c>
      <c r="E20" s="514">
        <f t="shared" si="0"/>
        <v>1161289</v>
      </c>
    </row>
    <row r="21" spans="1:5" s="506" customFormat="1" x14ac:dyDescent="0.2">
      <c r="A21" s="512"/>
      <c r="B21" s="516" t="s">
        <v>752</v>
      </c>
      <c r="C21" s="517">
        <f>SUM(C15+C16+C19)</f>
        <v>461334523</v>
      </c>
      <c r="D21" s="517">
        <f>SUM(D15+D16+D19)</f>
        <v>492362185</v>
      </c>
      <c r="E21" s="517">
        <f t="shared" si="0"/>
        <v>31027662</v>
      </c>
    </row>
    <row r="22" spans="1:5" s="506" customFormat="1" x14ac:dyDescent="0.2">
      <c r="A22" s="512"/>
      <c r="B22" s="516" t="s">
        <v>692</v>
      </c>
      <c r="C22" s="517">
        <f>SUM(C14+C21)</f>
        <v>662252595</v>
      </c>
      <c r="D22" s="517">
        <f>SUM(D14+D21)</f>
        <v>684144505</v>
      </c>
      <c r="E22" s="517">
        <f t="shared" si="0"/>
        <v>21891910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753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626</v>
      </c>
      <c r="C25" s="513">
        <v>128398715</v>
      </c>
      <c r="D25" s="513">
        <v>148231500</v>
      </c>
      <c r="E25" s="514">
        <f t="shared" ref="E25:E33" si="1">D25-C25</f>
        <v>19832785</v>
      </c>
    </row>
    <row r="26" spans="1:5" s="506" customFormat="1" x14ac:dyDescent="0.2">
      <c r="A26" s="512">
        <v>2</v>
      </c>
      <c r="B26" s="511" t="s">
        <v>605</v>
      </c>
      <c r="C26" s="513">
        <v>90278603</v>
      </c>
      <c r="D26" s="515">
        <v>104518803</v>
      </c>
      <c r="E26" s="514">
        <f t="shared" si="1"/>
        <v>14240200</v>
      </c>
    </row>
    <row r="27" spans="1:5" s="506" customFormat="1" x14ac:dyDescent="0.2">
      <c r="A27" s="512">
        <v>3</v>
      </c>
      <c r="B27" s="511" t="s">
        <v>751</v>
      </c>
      <c r="C27" s="513">
        <v>47319089</v>
      </c>
      <c r="D27" s="515">
        <v>66988731</v>
      </c>
      <c r="E27" s="514">
        <f t="shared" si="1"/>
        <v>19669642</v>
      </c>
    </row>
    <row r="28" spans="1:5" s="506" customFormat="1" x14ac:dyDescent="0.2">
      <c r="A28" s="512">
        <v>4</v>
      </c>
      <c r="B28" s="511" t="s">
        <v>114</v>
      </c>
      <c r="C28" s="513">
        <v>40364564</v>
      </c>
      <c r="D28" s="515">
        <v>66478356</v>
      </c>
      <c r="E28" s="514">
        <f t="shared" si="1"/>
        <v>26113792</v>
      </c>
    </row>
    <row r="29" spans="1:5" s="506" customFormat="1" x14ac:dyDescent="0.2">
      <c r="A29" s="512">
        <v>5</v>
      </c>
      <c r="B29" s="511" t="s">
        <v>718</v>
      </c>
      <c r="C29" s="513">
        <v>6954525</v>
      </c>
      <c r="D29" s="515">
        <v>510375</v>
      </c>
      <c r="E29" s="514">
        <f t="shared" si="1"/>
        <v>-6444150</v>
      </c>
    </row>
    <row r="30" spans="1:5" s="506" customFormat="1" x14ac:dyDescent="0.2">
      <c r="A30" s="512">
        <v>6</v>
      </c>
      <c r="B30" s="511" t="s">
        <v>418</v>
      </c>
      <c r="C30" s="513">
        <v>266626</v>
      </c>
      <c r="D30" s="515">
        <v>349831</v>
      </c>
      <c r="E30" s="514">
        <f t="shared" si="1"/>
        <v>83205</v>
      </c>
    </row>
    <row r="31" spans="1:5" s="506" customFormat="1" x14ac:dyDescent="0.2">
      <c r="A31" s="512">
        <v>7</v>
      </c>
      <c r="B31" s="511" t="s">
        <v>733</v>
      </c>
      <c r="C31" s="514">
        <v>22035587</v>
      </c>
      <c r="D31" s="518">
        <v>25074092</v>
      </c>
      <c r="E31" s="514">
        <f t="shared" si="1"/>
        <v>3038505</v>
      </c>
    </row>
    <row r="32" spans="1:5" s="506" customFormat="1" x14ac:dyDescent="0.2">
      <c r="A32" s="512"/>
      <c r="B32" s="516" t="s">
        <v>754</v>
      </c>
      <c r="C32" s="517">
        <f>SUM(C26+C27+C30)</f>
        <v>137864318</v>
      </c>
      <c r="D32" s="517">
        <f>SUM(D26+D27+D30)</f>
        <v>171857365</v>
      </c>
      <c r="E32" s="517">
        <f t="shared" si="1"/>
        <v>33993047</v>
      </c>
    </row>
    <row r="33" spans="1:5" s="506" customFormat="1" x14ac:dyDescent="0.2">
      <c r="A33" s="512"/>
      <c r="B33" s="516" t="s">
        <v>698</v>
      </c>
      <c r="C33" s="517">
        <f>SUM(C25+C32)</f>
        <v>266263033</v>
      </c>
      <c r="D33" s="517">
        <f>SUM(D25+D32)</f>
        <v>320088865</v>
      </c>
      <c r="E33" s="517">
        <f t="shared" si="1"/>
        <v>53825832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623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755</v>
      </c>
      <c r="C36" s="514">
        <f t="shared" ref="C36:D42" si="2">C14+C25</f>
        <v>329316787</v>
      </c>
      <c r="D36" s="514">
        <f t="shared" si="2"/>
        <v>340013820</v>
      </c>
      <c r="E36" s="514">
        <f t="shared" ref="E36:E44" si="3">D36-C36</f>
        <v>10697033</v>
      </c>
    </row>
    <row r="37" spans="1:5" s="506" customFormat="1" x14ac:dyDescent="0.2">
      <c r="A37" s="512">
        <v>2</v>
      </c>
      <c r="B37" s="511" t="s">
        <v>756</v>
      </c>
      <c r="C37" s="514">
        <f t="shared" si="2"/>
        <v>449462026</v>
      </c>
      <c r="D37" s="514">
        <f t="shared" si="2"/>
        <v>481731638</v>
      </c>
      <c r="E37" s="514">
        <f t="shared" si="3"/>
        <v>32269612</v>
      </c>
    </row>
    <row r="38" spans="1:5" s="506" customFormat="1" x14ac:dyDescent="0.2">
      <c r="A38" s="512">
        <v>3</v>
      </c>
      <c r="B38" s="511" t="s">
        <v>757</v>
      </c>
      <c r="C38" s="514">
        <f t="shared" si="2"/>
        <v>148986499</v>
      </c>
      <c r="D38" s="514">
        <f t="shared" si="2"/>
        <v>181716108</v>
      </c>
      <c r="E38" s="514">
        <f t="shared" si="3"/>
        <v>32729609</v>
      </c>
    </row>
    <row r="39" spans="1:5" s="506" customFormat="1" x14ac:dyDescent="0.2">
      <c r="A39" s="512">
        <v>4</v>
      </c>
      <c r="B39" s="511" t="s">
        <v>758</v>
      </c>
      <c r="C39" s="514">
        <f t="shared" si="2"/>
        <v>130985683</v>
      </c>
      <c r="D39" s="514">
        <f t="shared" si="2"/>
        <v>180109238</v>
      </c>
      <c r="E39" s="514">
        <f t="shared" si="3"/>
        <v>49123555</v>
      </c>
    </row>
    <row r="40" spans="1:5" s="506" customFormat="1" x14ac:dyDescent="0.2">
      <c r="A40" s="512">
        <v>5</v>
      </c>
      <c r="B40" s="511" t="s">
        <v>759</v>
      </c>
      <c r="C40" s="514">
        <f t="shared" si="2"/>
        <v>18000816</v>
      </c>
      <c r="D40" s="514">
        <f t="shared" si="2"/>
        <v>1606870</v>
      </c>
      <c r="E40" s="514">
        <f t="shared" si="3"/>
        <v>-16393946</v>
      </c>
    </row>
    <row r="41" spans="1:5" s="506" customFormat="1" x14ac:dyDescent="0.2">
      <c r="A41" s="512">
        <v>6</v>
      </c>
      <c r="B41" s="511" t="s">
        <v>760</v>
      </c>
      <c r="C41" s="514">
        <f t="shared" si="2"/>
        <v>750316</v>
      </c>
      <c r="D41" s="514">
        <f t="shared" si="2"/>
        <v>771804</v>
      </c>
      <c r="E41" s="514">
        <f t="shared" si="3"/>
        <v>21488</v>
      </c>
    </row>
    <row r="42" spans="1:5" s="506" customFormat="1" x14ac:dyDescent="0.2">
      <c r="A42" s="512">
        <v>7</v>
      </c>
      <c r="B42" s="511" t="s">
        <v>761</v>
      </c>
      <c r="C42" s="514">
        <f t="shared" si="2"/>
        <v>40048835</v>
      </c>
      <c r="D42" s="514">
        <f t="shared" si="2"/>
        <v>44248629</v>
      </c>
      <c r="E42" s="514">
        <f t="shared" si="3"/>
        <v>4199794</v>
      </c>
    </row>
    <row r="43" spans="1:5" s="506" customFormat="1" x14ac:dyDescent="0.2">
      <c r="A43" s="512"/>
      <c r="B43" s="516" t="s">
        <v>762</v>
      </c>
      <c r="C43" s="517">
        <f>SUM(C37+C38+C41)</f>
        <v>599198841</v>
      </c>
      <c r="D43" s="517">
        <f>SUM(D37+D38+D41)</f>
        <v>664219550</v>
      </c>
      <c r="E43" s="517">
        <f t="shared" si="3"/>
        <v>65020709</v>
      </c>
    </row>
    <row r="44" spans="1:5" s="506" customFormat="1" x14ac:dyDescent="0.2">
      <c r="A44" s="512"/>
      <c r="B44" s="516" t="s">
        <v>700</v>
      </c>
      <c r="C44" s="517">
        <f>SUM(C36+C43)</f>
        <v>928515628</v>
      </c>
      <c r="D44" s="517">
        <f>SUM(D36+D43)</f>
        <v>1004233370</v>
      </c>
      <c r="E44" s="517">
        <f t="shared" si="3"/>
        <v>75717742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763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626</v>
      </c>
      <c r="C47" s="513">
        <v>98741983</v>
      </c>
      <c r="D47" s="513">
        <v>91846878</v>
      </c>
      <c r="E47" s="514">
        <f t="shared" ref="E47:E55" si="4">D47-C47</f>
        <v>-6895105</v>
      </c>
    </row>
    <row r="48" spans="1:5" s="506" customFormat="1" x14ac:dyDescent="0.2">
      <c r="A48" s="512">
        <v>2</v>
      </c>
      <c r="B48" s="511" t="s">
        <v>605</v>
      </c>
      <c r="C48" s="513">
        <v>122330717</v>
      </c>
      <c r="D48" s="515">
        <v>124807371</v>
      </c>
      <c r="E48" s="514">
        <f t="shared" si="4"/>
        <v>2476654</v>
      </c>
    </row>
    <row r="49" spans="1:5" s="506" customFormat="1" x14ac:dyDescent="0.2">
      <c r="A49" s="512">
        <v>3</v>
      </c>
      <c r="B49" s="511" t="s">
        <v>751</v>
      </c>
      <c r="C49" s="513">
        <v>24250057</v>
      </c>
      <c r="D49" s="515">
        <v>25769250</v>
      </c>
      <c r="E49" s="514">
        <f t="shared" si="4"/>
        <v>1519193</v>
      </c>
    </row>
    <row r="50" spans="1:5" s="506" customFormat="1" x14ac:dyDescent="0.2">
      <c r="A50" s="512">
        <v>4</v>
      </c>
      <c r="B50" s="511" t="s">
        <v>114</v>
      </c>
      <c r="C50" s="513">
        <v>24004368</v>
      </c>
      <c r="D50" s="515">
        <v>25234223</v>
      </c>
      <c r="E50" s="514">
        <f t="shared" si="4"/>
        <v>1229855</v>
      </c>
    </row>
    <row r="51" spans="1:5" s="506" customFormat="1" x14ac:dyDescent="0.2">
      <c r="A51" s="512">
        <v>5</v>
      </c>
      <c r="B51" s="511" t="s">
        <v>718</v>
      </c>
      <c r="C51" s="513">
        <v>245689</v>
      </c>
      <c r="D51" s="515">
        <v>535027</v>
      </c>
      <c r="E51" s="514">
        <f t="shared" si="4"/>
        <v>289338</v>
      </c>
    </row>
    <row r="52" spans="1:5" s="506" customFormat="1" x14ac:dyDescent="0.2">
      <c r="A52" s="512">
        <v>6</v>
      </c>
      <c r="B52" s="511" t="s">
        <v>418</v>
      </c>
      <c r="C52" s="513">
        <v>190001</v>
      </c>
      <c r="D52" s="515">
        <v>154404</v>
      </c>
      <c r="E52" s="514">
        <f t="shared" si="4"/>
        <v>-35597</v>
      </c>
    </row>
    <row r="53" spans="1:5" s="506" customFormat="1" x14ac:dyDescent="0.2">
      <c r="A53" s="512">
        <v>7</v>
      </c>
      <c r="B53" s="511" t="s">
        <v>733</v>
      </c>
      <c r="C53" s="513">
        <v>1010117</v>
      </c>
      <c r="D53" s="515">
        <v>856333</v>
      </c>
      <c r="E53" s="514">
        <f t="shared" si="4"/>
        <v>-153784</v>
      </c>
    </row>
    <row r="54" spans="1:5" s="506" customFormat="1" x14ac:dyDescent="0.2">
      <c r="A54" s="512"/>
      <c r="B54" s="516" t="s">
        <v>764</v>
      </c>
      <c r="C54" s="517">
        <f>SUM(C48+C49+C52)</f>
        <v>146770775</v>
      </c>
      <c r="D54" s="517">
        <f>SUM(D48+D49+D52)</f>
        <v>150731025</v>
      </c>
      <c r="E54" s="517">
        <f t="shared" si="4"/>
        <v>3960250</v>
      </c>
    </row>
    <row r="55" spans="1:5" s="506" customFormat="1" x14ac:dyDescent="0.2">
      <c r="A55" s="512"/>
      <c r="B55" s="516" t="s">
        <v>693</v>
      </c>
      <c r="C55" s="517">
        <f>SUM(C47+C54)</f>
        <v>245512758</v>
      </c>
      <c r="D55" s="517">
        <f>SUM(D47+D54)</f>
        <v>242577903</v>
      </c>
      <c r="E55" s="517">
        <f t="shared" si="4"/>
        <v>-2934855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765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626</v>
      </c>
      <c r="C58" s="513">
        <v>50243179</v>
      </c>
      <c r="D58" s="513">
        <v>63664761</v>
      </c>
      <c r="E58" s="514">
        <f t="shared" ref="E58:E66" si="5">D58-C58</f>
        <v>13421582</v>
      </c>
    </row>
    <row r="59" spans="1:5" s="506" customFormat="1" x14ac:dyDescent="0.2">
      <c r="A59" s="512">
        <v>2</v>
      </c>
      <c r="B59" s="511" t="s">
        <v>605</v>
      </c>
      <c r="C59" s="513">
        <v>25816532</v>
      </c>
      <c r="D59" s="515">
        <v>26749805</v>
      </c>
      <c r="E59" s="514">
        <f t="shared" si="5"/>
        <v>933273</v>
      </c>
    </row>
    <row r="60" spans="1:5" s="506" customFormat="1" x14ac:dyDescent="0.2">
      <c r="A60" s="512">
        <v>3</v>
      </c>
      <c r="B60" s="511" t="s">
        <v>751</v>
      </c>
      <c r="C60" s="513">
        <f>C61+C62</f>
        <v>10933527</v>
      </c>
      <c r="D60" s="515">
        <f>D61+D62</f>
        <v>18242589</v>
      </c>
      <c r="E60" s="514">
        <f t="shared" si="5"/>
        <v>7309062</v>
      </c>
    </row>
    <row r="61" spans="1:5" s="506" customFormat="1" x14ac:dyDescent="0.2">
      <c r="A61" s="512">
        <v>4</v>
      </c>
      <c r="B61" s="511" t="s">
        <v>114</v>
      </c>
      <c r="C61" s="513">
        <v>8879166</v>
      </c>
      <c r="D61" s="515">
        <v>18046336</v>
      </c>
      <c r="E61" s="514">
        <f t="shared" si="5"/>
        <v>9167170</v>
      </c>
    </row>
    <row r="62" spans="1:5" s="506" customFormat="1" x14ac:dyDescent="0.2">
      <c r="A62" s="512">
        <v>5</v>
      </c>
      <c r="B62" s="511" t="s">
        <v>718</v>
      </c>
      <c r="C62" s="513">
        <v>2054361</v>
      </c>
      <c r="D62" s="515">
        <v>196253</v>
      </c>
      <c r="E62" s="514">
        <f t="shared" si="5"/>
        <v>-1858108</v>
      </c>
    </row>
    <row r="63" spans="1:5" s="506" customFormat="1" x14ac:dyDescent="0.2">
      <c r="A63" s="512">
        <v>6</v>
      </c>
      <c r="B63" s="511" t="s">
        <v>418</v>
      </c>
      <c r="C63" s="513">
        <v>91593</v>
      </c>
      <c r="D63" s="515">
        <v>92111</v>
      </c>
      <c r="E63" s="514">
        <f t="shared" si="5"/>
        <v>518</v>
      </c>
    </row>
    <row r="64" spans="1:5" s="506" customFormat="1" x14ac:dyDescent="0.2">
      <c r="A64" s="512">
        <v>7</v>
      </c>
      <c r="B64" s="511" t="s">
        <v>733</v>
      </c>
      <c r="C64" s="513">
        <v>1818473</v>
      </c>
      <c r="D64" s="515">
        <v>1803958</v>
      </c>
      <c r="E64" s="514">
        <f t="shared" si="5"/>
        <v>-14515</v>
      </c>
    </row>
    <row r="65" spans="1:5" s="506" customFormat="1" x14ac:dyDescent="0.2">
      <c r="A65" s="512"/>
      <c r="B65" s="516" t="s">
        <v>766</v>
      </c>
      <c r="C65" s="517">
        <f>SUM(C59+C60+C63)</f>
        <v>36841652</v>
      </c>
      <c r="D65" s="517">
        <f>SUM(D59+D60+D63)</f>
        <v>45084505</v>
      </c>
      <c r="E65" s="517">
        <f t="shared" si="5"/>
        <v>8242853</v>
      </c>
    </row>
    <row r="66" spans="1:5" s="506" customFormat="1" x14ac:dyDescent="0.2">
      <c r="A66" s="512"/>
      <c r="B66" s="516" t="s">
        <v>699</v>
      </c>
      <c r="C66" s="517">
        <f>SUM(C58+C65)</f>
        <v>87084831</v>
      </c>
      <c r="D66" s="517">
        <f>SUM(D58+D65)</f>
        <v>108749266</v>
      </c>
      <c r="E66" s="517">
        <f t="shared" si="5"/>
        <v>21664435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624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755</v>
      </c>
      <c r="C69" s="514">
        <f t="shared" ref="C69:D75" si="6">C47+C58</f>
        <v>148985162</v>
      </c>
      <c r="D69" s="514">
        <f t="shared" si="6"/>
        <v>155511639</v>
      </c>
      <c r="E69" s="514">
        <f t="shared" ref="E69:E77" si="7">D69-C69</f>
        <v>6526477</v>
      </c>
    </row>
    <row r="70" spans="1:5" s="506" customFormat="1" x14ac:dyDescent="0.2">
      <c r="A70" s="512">
        <v>2</v>
      </c>
      <c r="B70" s="511" t="s">
        <v>756</v>
      </c>
      <c r="C70" s="514">
        <f t="shared" si="6"/>
        <v>148147249</v>
      </c>
      <c r="D70" s="514">
        <f t="shared" si="6"/>
        <v>151557176</v>
      </c>
      <c r="E70" s="514">
        <f t="shared" si="7"/>
        <v>3409927</v>
      </c>
    </row>
    <row r="71" spans="1:5" s="506" customFormat="1" x14ac:dyDescent="0.2">
      <c r="A71" s="512">
        <v>3</v>
      </c>
      <c r="B71" s="511" t="s">
        <v>757</v>
      </c>
      <c r="C71" s="514">
        <f t="shared" si="6"/>
        <v>35183584</v>
      </c>
      <c r="D71" s="514">
        <f t="shared" si="6"/>
        <v>44011839</v>
      </c>
      <c r="E71" s="514">
        <f t="shared" si="7"/>
        <v>8828255</v>
      </c>
    </row>
    <row r="72" spans="1:5" s="506" customFormat="1" x14ac:dyDescent="0.2">
      <c r="A72" s="512">
        <v>4</v>
      </c>
      <c r="B72" s="511" t="s">
        <v>758</v>
      </c>
      <c r="C72" s="514">
        <f t="shared" si="6"/>
        <v>32883534</v>
      </c>
      <c r="D72" s="514">
        <f t="shared" si="6"/>
        <v>43280559</v>
      </c>
      <c r="E72" s="514">
        <f t="shared" si="7"/>
        <v>10397025</v>
      </c>
    </row>
    <row r="73" spans="1:5" s="506" customFormat="1" x14ac:dyDescent="0.2">
      <c r="A73" s="512">
        <v>5</v>
      </c>
      <c r="B73" s="511" t="s">
        <v>759</v>
      </c>
      <c r="C73" s="514">
        <f t="shared" si="6"/>
        <v>2300050</v>
      </c>
      <c r="D73" s="514">
        <f t="shared" si="6"/>
        <v>731280</v>
      </c>
      <c r="E73" s="514">
        <f t="shared" si="7"/>
        <v>-1568770</v>
      </c>
    </row>
    <row r="74" spans="1:5" s="506" customFormat="1" x14ac:dyDescent="0.2">
      <c r="A74" s="512">
        <v>6</v>
      </c>
      <c r="B74" s="511" t="s">
        <v>760</v>
      </c>
      <c r="C74" s="514">
        <f t="shared" si="6"/>
        <v>281594</v>
      </c>
      <c r="D74" s="514">
        <f t="shared" si="6"/>
        <v>246515</v>
      </c>
      <c r="E74" s="514">
        <f t="shared" si="7"/>
        <v>-35079</v>
      </c>
    </row>
    <row r="75" spans="1:5" s="506" customFormat="1" x14ac:dyDescent="0.2">
      <c r="A75" s="512">
        <v>7</v>
      </c>
      <c r="B75" s="511" t="s">
        <v>761</v>
      </c>
      <c r="C75" s="514">
        <f t="shared" si="6"/>
        <v>2828590</v>
      </c>
      <c r="D75" s="514">
        <f t="shared" si="6"/>
        <v>2660291</v>
      </c>
      <c r="E75" s="514">
        <f t="shared" si="7"/>
        <v>-168299</v>
      </c>
    </row>
    <row r="76" spans="1:5" s="506" customFormat="1" x14ac:dyDescent="0.2">
      <c r="A76" s="512"/>
      <c r="B76" s="516" t="s">
        <v>767</v>
      </c>
      <c r="C76" s="517">
        <f>SUM(C70+C71+C74)</f>
        <v>183612427</v>
      </c>
      <c r="D76" s="517">
        <f>SUM(D70+D71+D74)</f>
        <v>195815530</v>
      </c>
      <c r="E76" s="517">
        <f t="shared" si="7"/>
        <v>12203103</v>
      </c>
    </row>
    <row r="77" spans="1:5" s="506" customFormat="1" x14ac:dyDescent="0.2">
      <c r="A77" s="512"/>
      <c r="B77" s="516" t="s">
        <v>701</v>
      </c>
      <c r="C77" s="517">
        <f>SUM(C69+C76)</f>
        <v>332597589</v>
      </c>
      <c r="D77" s="517">
        <f>SUM(D69+D76)</f>
        <v>351327169</v>
      </c>
      <c r="E77" s="517">
        <f t="shared" si="7"/>
        <v>18729580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768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769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626</v>
      </c>
      <c r="C83" s="523">
        <f t="shared" ref="C83:D89" si="8">IF(C$44=0,0,C14/C$44)</f>
        <v>0.21638631159366981</v>
      </c>
      <c r="D83" s="523">
        <f t="shared" si="8"/>
        <v>0.19097385700297931</v>
      </c>
      <c r="E83" s="523">
        <f t="shared" ref="E83:E91" si="9">D83-C83</f>
        <v>-2.5412454590690498E-2</v>
      </c>
    </row>
    <row r="84" spans="1:5" s="506" customFormat="1" x14ac:dyDescent="0.2">
      <c r="A84" s="512">
        <v>2</v>
      </c>
      <c r="B84" s="511" t="s">
        <v>605</v>
      </c>
      <c r="C84" s="523">
        <f t="shared" si="8"/>
        <v>0.38683616319272118</v>
      </c>
      <c r="D84" s="523">
        <f t="shared" si="8"/>
        <v>0.37562268519318376</v>
      </c>
      <c r="E84" s="523">
        <f t="shared" si="9"/>
        <v>-1.1213477999537425E-2</v>
      </c>
    </row>
    <row r="85" spans="1:5" s="506" customFormat="1" x14ac:dyDescent="0.2">
      <c r="A85" s="512">
        <v>3</v>
      </c>
      <c r="B85" s="511" t="s">
        <v>751</v>
      </c>
      <c r="C85" s="523">
        <f t="shared" si="8"/>
        <v>0.1094945598481623</v>
      </c>
      <c r="D85" s="523">
        <f t="shared" si="8"/>
        <v>0.11424374097427174</v>
      </c>
      <c r="E85" s="523">
        <f t="shared" si="9"/>
        <v>4.7491811261094474E-3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9.7597839247138662E-2</v>
      </c>
      <c r="D86" s="523">
        <f t="shared" si="8"/>
        <v>0.11315186827539897</v>
      </c>
      <c r="E86" s="523">
        <f t="shared" si="9"/>
        <v>1.5554029028260308E-2</v>
      </c>
    </row>
    <row r="87" spans="1:5" s="506" customFormat="1" x14ac:dyDescent="0.2">
      <c r="A87" s="512">
        <v>5</v>
      </c>
      <c r="B87" s="511" t="s">
        <v>718</v>
      </c>
      <c r="C87" s="523">
        <f t="shared" si="8"/>
        <v>1.1896720601023637E-2</v>
      </c>
      <c r="D87" s="523">
        <f t="shared" si="8"/>
        <v>1.091872698872773E-3</v>
      </c>
      <c r="E87" s="523">
        <f t="shared" si="9"/>
        <v>-1.0804847902150864E-2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5.2092822717680746E-4</v>
      </c>
      <c r="D88" s="523">
        <f t="shared" si="8"/>
        <v>4.2019416263771437E-4</v>
      </c>
      <c r="E88" s="523">
        <f t="shared" si="9"/>
        <v>-1.0073406453909309E-4</v>
      </c>
    </row>
    <row r="89" spans="1:5" s="506" customFormat="1" x14ac:dyDescent="0.2">
      <c r="A89" s="512">
        <v>7</v>
      </c>
      <c r="B89" s="511" t="s">
        <v>733</v>
      </c>
      <c r="C89" s="523">
        <f t="shared" si="8"/>
        <v>1.9400048267146669E-2</v>
      </c>
      <c r="D89" s="523">
        <f t="shared" si="8"/>
        <v>1.9093706276659579E-2</v>
      </c>
      <c r="E89" s="523">
        <f t="shared" si="9"/>
        <v>-3.0634199048708982E-4</v>
      </c>
    </row>
    <row r="90" spans="1:5" s="506" customFormat="1" x14ac:dyDescent="0.2">
      <c r="A90" s="512"/>
      <c r="B90" s="516" t="s">
        <v>770</v>
      </c>
      <c r="C90" s="524">
        <f>SUM(C84+C85+C88)</f>
        <v>0.4968516512680603</v>
      </c>
      <c r="D90" s="524">
        <f>SUM(D84+D85+D88)</f>
        <v>0.49028662033009324</v>
      </c>
      <c r="E90" s="525">
        <f t="shared" si="9"/>
        <v>-6.5650309379670646E-3</v>
      </c>
    </row>
    <row r="91" spans="1:5" s="506" customFormat="1" x14ac:dyDescent="0.2">
      <c r="A91" s="512"/>
      <c r="B91" s="516" t="s">
        <v>771</v>
      </c>
      <c r="C91" s="524">
        <f>SUM(C83+C90)</f>
        <v>0.71323796286173013</v>
      </c>
      <c r="D91" s="524">
        <f>SUM(D83+D90)</f>
        <v>0.6812604773330726</v>
      </c>
      <c r="E91" s="525">
        <f t="shared" si="9"/>
        <v>-3.1977485528657534E-2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772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626</v>
      </c>
      <c r="C95" s="523">
        <f t="shared" ref="C95:D101" si="10">IF(C$44=0,0,C25/C$44)</f>
        <v>0.13828384911147668</v>
      </c>
      <c r="D95" s="523">
        <f t="shared" si="10"/>
        <v>0.14760662653542372</v>
      </c>
      <c r="E95" s="523">
        <f t="shared" ref="E95:E103" si="11">D95-C95</f>
        <v>9.3227774239470484E-3</v>
      </c>
    </row>
    <row r="96" spans="1:5" s="506" customFormat="1" x14ac:dyDescent="0.2">
      <c r="A96" s="512">
        <v>2</v>
      </c>
      <c r="B96" s="511" t="s">
        <v>605</v>
      </c>
      <c r="C96" s="523">
        <f t="shared" si="10"/>
        <v>9.7228953695112169E-2</v>
      </c>
      <c r="D96" s="523">
        <f t="shared" si="10"/>
        <v>0.10407820146426722</v>
      </c>
      <c r="E96" s="523">
        <f t="shared" si="11"/>
        <v>6.849247769155048E-3</v>
      </c>
    </row>
    <row r="97" spans="1:5" s="506" customFormat="1" x14ac:dyDescent="0.2">
      <c r="A97" s="512">
        <v>3</v>
      </c>
      <c r="B97" s="511" t="s">
        <v>751</v>
      </c>
      <c r="C97" s="523">
        <f t="shared" si="10"/>
        <v>5.0962081383513345E-2</v>
      </c>
      <c r="D97" s="523">
        <f t="shared" si="10"/>
        <v>6.6706338388257305E-2</v>
      </c>
      <c r="E97" s="523">
        <f t="shared" si="11"/>
        <v>1.574425700474396E-2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4.3472142829673516E-2</v>
      </c>
      <c r="D98" s="523">
        <f t="shared" si="10"/>
        <v>6.6198114886383427E-2</v>
      </c>
      <c r="E98" s="523">
        <f t="shared" si="11"/>
        <v>2.2725972056709912E-2</v>
      </c>
    </row>
    <row r="99" spans="1:5" s="506" customFormat="1" x14ac:dyDescent="0.2">
      <c r="A99" s="512">
        <v>5</v>
      </c>
      <c r="B99" s="511" t="s">
        <v>718</v>
      </c>
      <c r="C99" s="523">
        <f t="shared" si="10"/>
        <v>7.489938553839828E-3</v>
      </c>
      <c r="D99" s="523">
        <f t="shared" si="10"/>
        <v>5.0822350187387224E-4</v>
      </c>
      <c r="E99" s="523">
        <f t="shared" si="11"/>
        <v>-6.9817150519659553E-3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2.8715294816771789E-4</v>
      </c>
      <c r="D100" s="523">
        <f t="shared" si="10"/>
        <v>3.4835627897925758E-4</v>
      </c>
      <c r="E100" s="523">
        <f t="shared" si="11"/>
        <v>6.1203330811539691E-5</v>
      </c>
    </row>
    <row r="101" spans="1:5" s="506" customFormat="1" x14ac:dyDescent="0.2">
      <c r="A101" s="512">
        <v>7</v>
      </c>
      <c r="B101" s="511" t="s">
        <v>733</v>
      </c>
      <c r="C101" s="523">
        <f t="shared" si="10"/>
        <v>2.3732058282598986E-2</v>
      </c>
      <c r="D101" s="523">
        <f t="shared" si="10"/>
        <v>2.496839156022071E-2</v>
      </c>
      <c r="E101" s="523">
        <f t="shared" si="11"/>
        <v>1.2363332776217234E-3</v>
      </c>
    </row>
    <row r="102" spans="1:5" s="506" customFormat="1" x14ac:dyDescent="0.2">
      <c r="A102" s="512"/>
      <c r="B102" s="516" t="s">
        <v>773</v>
      </c>
      <c r="C102" s="524">
        <f>SUM(C96+C97+C100)</f>
        <v>0.14847818802679325</v>
      </c>
      <c r="D102" s="524">
        <f>SUM(D96+D97+D100)</f>
        <v>0.17113289613150376</v>
      </c>
      <c r="E102" s="525">
        <f t="shared" si="11"/>
        <v>2.2654708104710514E-2</v>
      </c>
    </row>
    <row r="103" spans="1:5" s="506" customFormat="1" x14ac:dyDescent="0.2">
      <c r="A103" s="512"/>
      <c r="B103" s="516" t="s">
        <v>774</v>
      </c>
      <c r="C103" s="524">
        <f>SUM(C95+C102)</f>
        <v>0.28676203713826992</v>
      </c>
      <c r="D103" s="524">
        <f>SUM(D95+D102)</f>
        <v>0.31873952266692751</v>
      </c>
      <c r="E103" s="525">
        <f t="shared" si="11"/>
        <v>3.197748552865759E-2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775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776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626</v>
      </c>
      <c r="C109" s="523">
        <f t="shared" ref="C109:D115" si="12">IF(C$77=0,0,C47/C$77)</f>
        <v>0.29688123505910319</v>
      </c>
      <c r="D109" s="523">
        <f t="shared" si="12"/>
        <v>0.26142833832472545</v>
      </c>
      <c r="E109" s="523">
        <f t="shared" ref="E109:E117" si="13">D109-C109</f>
        <v>-3.5452896734377737E-2</v>
      </c>
    </row>
    <row r="110" spans="1:5" s="506" customFormat="1" x14ac:dyDescent="0.2">
      <c r="A110" s="512">
        <v>2</v>
      </c>
      <c r="B110" s="511" t="s">
        <v>605</v>
      </c>
      <c r="C110" s="523">
        <f t="shared" si="12"/>
        <v>0.36780398008236914</v>
      </c>
      <c r="D110" s="523">
        <f t="shared" si="12"/>
        <v>0.3552454293678608</v>
      </c>
      <c r="E110" s="523">
        <f t="shared" si="13"/>
        <v>-1.2558550714508343E-2</v>
      </c>
    </row>
    <row r="111" spans="1:5" s="506" customFormat="1" x14ac:dyDescent="0.2">
      <c r="A111" s="512">
        <v>3</v>
      </c>
      <c r="B111" s="511" t="s">
        <v>751</v>
      </c>
      <c r="C111" s="523">
        <f t="shared" si="12"/>
        <v>7.2911102792149227E-2</v>
      </c>
      <c r="D111" s="523">
        <f t="shared" si="12"/>
        <v>7.3348298320759814E-2</v>
      </c>
      <c r="E111" s="523">
        <f t="shared" si="13"/>
        <v>4.3719552861058719E-4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7.2172405314699983E-2</v>
      </c>
      <c r="D112" s="523">
        <f t="shared" si="12"/>
        <v>7.1825424352535625E-2</v>
      </c>
      <c r="E112" s="523">
        <f t="shared" si="13"/>
        <v>-3.4698096216435881E-4</v>
      </c>
    </row>
    <row r="113" spans="1:5" s="506" customFormat="1" x14ac:dyDescent="0.2">
      <c r="A113" s="512">
        <v>5</v>
      </c>
      <c r="B113" s="511" t="s">
        <v>718</v>
      </c>
      <c r="C113" s="523">
        <f t="shared" si="12"/>
        <v>7.3869747744924276E-4</v>
      </c>
      <c r="D113" s="523">
        <f t="shared" si="12"/>
        <v>1.5228739682241882E-3</v>
      </c>
      <c r="E113" s="523">
        <f t="shared" si="13"/>
        <v>7.8417649077494546E-4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5.7126391255951051E-4</v>
      </c>
      <c r="D114" s="523">
        <f t="shared" si="12"/>
        <v>4.39487786952224E-4</v>
      </c>
      <c r="E114" s="523">
        <f t="shared" si="13"/>
        <v>-1.3177612560728651E-4</v>
      </c>
    </row>
    <row r="115" spans="1:5" s="506" customFormat="1" x14ac:dyDescent="0.2">
      <c r="A115" s="512">
        <v>7</v>
      </c>
      <c r="B115" s="511" t="s">
        <v>733</v>
      </c>
      <c r="C115" s="523">
        <f t="shared" si="12"/>
        <v>3.0370544868862535E-3</v>
      </c>
      <c r="D115" s="523">
        <f t="shared" si="12"/>
        <v>2.4374232213165386E-3</v>
      </c>
      <c r="E115" s="523">
        <f t="shared" si="13"/>
        <v>-5.9963126556971487E-4</v>
      </c>
    </row>
    <row r="116" spans="1:5" s="506" customFormat="1" x14ac:dyDescent="0.2">
      <c r="A116" s="512"/>
      <c r="B116" s="516" t="s">
        <v>770</v>
      </c>
      <c r="C116" s="524">
        <f>SUM(C110+C111+C114)</f>
        <v>0.4412863467870779</v>
      </c>
      <c r="D116" s="524">
        <f>SUM(D110+D111+D114)</f>
        <v>0.42903321547557283</v>
      </c>
      <c r="E116" s="525">
        <f t="shared" si="13"/>
        <v>-1.2253131311505072E-2</v>
      </c>
    </row>
    <row r="117" spans="1:5" s="506" customFormat="1" x14ac:dyDescent="0.2">
      <c r="A117" s="512"/>
      <c r="B117" s="516" t="s">
        <v>771</v>
      </c>
      <c r="C117" s="524">
        <f>SUM(C109+C116)</f>
        <v>0.73816758184618103</v>
      </c>
      <c r="D117" s="524">
        <f>SUM(D109+D116)</f>
        <v>0.69046155380029828</v>
      </c>
      <c r="E117" s="525">
        <f t="shared" si="13"/>
        <v>-4.7706028045882753E-2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777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626</v>
      </c>
      <c r="C121" s="523">
        <f t="shared" ref="C121:D127" si="14">IF(C$77=0,0,C58/C$77)</f>
        <v>0.1510629681684193</v>
      </c>
      <c r="D121" s="523">
        <f t="shared" si="14"/>
        <v>0.18121217661933797</v>
      </c>
      <c r="E121" s="523">
        <f t="shared" ref="E121:E129" si="15">D121-C121</f>
        <v>3.0149208450918674E-2</v>
      </c>
    </row>
    <row r="122" spans="1:5" s="506" customFormat="1" x14ac:dyDescent="0.2">
      <c r="A122" s="512">
        <v>2</v>
      </c>
      <c r="B122" s="511" t="s">
        <v>605</v>
      </c>
      <c r="C122" s="523">
        <f t="shared" si="14"/>
        <v>7.7620923463759678E-2</v>
      </c>
      <c r="D122" s="523">
        <f t="shared" si="14"/>
        <v>7.613930080084412E-2</v>
      </c>
      <c r="E122" s="523">
        <f t="shared" si="15"/>
        <v>-1.4816226629155577E-3</v>
      </c>
    </row>
    <row r="123" spans="1:5" s="506" customFormat="1" x14ac:dyDescent="0.2">
      <c r="A123" s="512">
        <v>3</v>
      </c>
      <c r="B123" s="511" t="s">
        <v>751</v>
      </c>
      <c r="C123" s="523">
        <f t="shared" si="14"/>
        <v>3.2873139678712464E-2</v>
      </c>
      <c r="D123" s="523">
        <f t="shared" si="14"/>
        <v>5.1924788657605928E-2</v>
      </c>
      <c r="E123" s="523">
        <f t="shared" si="15"/>
        <v>1.9051648978893464E-2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2.6696423226327117E-2</v>
      </c>
      <c r="D124" s="523">
        <f t="shared" si="14"/>
        <v>5.1366183979924422E-2</v>
      </c>
      <c r="E124" s="523">
        <f t="shared" si="15"/>
        <v>2.4669760753597305E-2</v>
      </c>
    </row>
    <row r="125" spans="1:5" s="506" customFormat="1" x14ac:dyDescent="0.2">
      <c r="A125" s="512">
        <v>5</v>
      </c>
      <c r="B125" s="511" t="s">
        <v>718</v>
      </c>
      <c r="C125" s="523">
        <f t="shared" si="14"/>
        <v>6.1767164523853476E-3</v>
      </c>
      <c r="D125" s="523">
        <f t="shared" si="14"/>
        <v>5.5860467768150323E-4</v>
      </c>
      <c r="E125" s="523">
        <f t="shared" si="15"/>
        <v>-5.6181117747038448E-3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2.7538684292747535E-4</v>
      </c>
      <c r="D126" s="523">
        <f t="shared" si="14"/>
        <v>2.6218012191365705E-4</v>
      </c>
      <c r="E126" s="523">
        <f t="shared" si="15"/>
        <v>-1.3206721013818293E-5</v>
      </c>
    </row>
    <row r="127" spans="1:5" s="506" customFormat="1" x14ac:dyDescent="0.2">
      <c r="A127" s="512">
        <v>7</v>
      </c>
      <c r="B127" s="511" t="s">
        <v>733</v>
      </c>
      <c r="C127" s="523">
        <f t="shared" si="14"/>
        <v>5.4674870177726992E-3</v>
      </c>
      <c r="D127" s="523">
        <f t="shared" si="14"/>
        <v>5.1346954041006721E-3</v>
      </c>
      <c r="E127" s="523">
        <f t="shared" si="15"/>
        <v>-3.3279161367202707E-4</v>
      </c>
    </row>
    <row r="128" spans="1:5" s="506" customFormat="1" x14ac:dyDescent="0.2">
      <c r="A128" s="512"/>
      <c r="B128" s="516" t="s">
        <v>773</v>
      </c>
      <c r="C128" s="524">
        <f>SUM(C122+C123+C126)</f>
        <v>0.11076944998539963</v>
      </c>
      <c r="D128" s="524">
        <f>SUM(D122+D123+D126)</f>
        <v>0.12832626958036369</v>
      </c>
      <c r="E128" s="525">
        <f t="shared" si="15"/>
        <v>1.7556819594964065E-2</v>
      </c>
    </row>
    <row r="129" spans="1:5" s="506" customFormat="1" x14ac:dyDescent="0.2">
      <c r="A129" s="512"/>
      <c r="B129" s="516" t="s">
        <v>774</v>
      </c>
      <c r="C129" s="524">
        <f>SUM(C121+C128)</f>
        <v>0.26183241815381891</v>
      </c>
      <c r="D129" s="524">
        <f>SUM(D121+D128)</f>
        <v>0.30953844619970167</v>
      </c>
      <c r="E129" s="525">
        <f t="shared" si="15"/>
        <v>4.7706028045882753E-2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778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779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780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626</v>
      </c>
      <c r="C137" s="530">
        <v>7897</v>
      </c>
      <c r="D137" s="530">
        <v>7399</v>
      </c>
      <c r="E137" s="531">
        <f t="shared" ref="E137:E145" si="16">D137-C137</f>
        <v>-498</v>
      </c>
    </row>
    <row r="138" spans="1:5" s="506" customFormat="1" x14ac:dyDescent="0.2">
      <c r="A138" s="512">
        <v>2</v>
      </c>
      <c r="B138" s="511" t="s">
        <v>605</v>
      </c>
      <c r="C138" s="530">
        <v>9920</v>
      </c>
      <c r="D138" s="530">
        <v>10164</v>
      </c>
      <c r="E138" s="531">
        <f t="shared" si="16"/>
        <v>244</v>
      </c>
    </row>
    <row r="139" spans="1:5" s="506" customFormat="1" x14ac:dyDescent="0.2">
      <c r="A139" s="512">
        <v>3</v>
      </c>
      <c r="B139" s="511" t="s">
        <v>751</v>
      </c>
      <c r="C139" s="530">
        <f>C140+C141</f>
        <v>4026</v>
      </c>
      <c r="D139" s="530">
        <f>D140+D141</f>
        <v>4516</v>
      </c>
      <c r="E139" s="531">
        <f t="shared" si="16"/>
        <v>490</v>
      </c>
    </row>
    <row r="140" spans="1:5" s="506" customFormat="1" x14ac:dyDescent="0.2">
      <c r="A140" s="512">
        <v>4</v>
      </c>
      <c r="B140" s="511" t="s">
        <v>114</v>
      </c>
      <c r="C140" s="530">
        <v>3652</v>
      </c>
      <c r="D140" s="530">
        <v>4488</v>
      </c>
      <c r="E140" s="531">
        <f t="shared" si="16"/>
        <v>836</v>
      </c>
    </row>
    <row r="141" spans="1:5" s="506" customFormat="1" x14ac:dyDescent="0.2">
      <c r="A141" s="512">
        <v>5</v>
      </c>
      <c r="B141" s="511" t="s">
        <v>718</v>
      </c>
      <c r="C141" s="530">
        <v>374</v>
      </c>
      <c r="D141" s="530">
        <v>28</v>
      </c>
      <c r="E141" s="531">
        <f t="shared" si="16"/>
        <v>-346</v>
      </c>
    </row>
    <row r="142" spans="1:5" s="506" customFormat="1" x14ac:dyDescent="0.2">
      <c r="A142" s="512">
        <v>6</v>
      </c>
      <c r="B142" s="511" t="s">
        <v>418</v>
      </c>
      <c r="C142" s="530">
        <v>30</v>
      </c>
      <c r="D142" s="530">
        <v>21</v>
      </c>
      <c r="E142" s="531">
        <f t="shared" si="16"/>
        <v>-9</v>
      </c>
    </row>
    <row r="143" spans="1:5" s="506" customFormat="1" x14ac:dyDescent="0.2">
      <c r="A143" s="512">
        <v>7</v>
      </c>
      <c r="B143" s="511" t="s">
        <v>733</v>
      </c>
      <c r="C143" s="530">
        <v>1024</v>
      </c>
      <c r="D143" s="530">
        <v>991</v>
      </c>
      <c r="E143" s="531">
        <f t="shared" si="16"/>
        <v>-33</v>
      </c>
    </row>
    <row r="144" spans="1:5" s="506" customFormat="1" x14ac:dyDescent="0.2">
      <c r="A144" s="512"/>
      <c r="B144" s="516" t="s">
        <v>781</v>
      </c>
      <c r="C144" s="532">
        <f>SUM(C138+C139+C142)</f>
        <v>13976</v>
      </c>
      <c r="D144" s="532">
        <f>SUM(D138+D139+D142)</f>
        <v>14701</v>
      </c>
      <c r="E144" s="533">
        <f t="shared" si="16"/>
        <v>725</v>
      </c>
    </row>
    <row r="145" spans="1:5" s="506" customFormat="1" x14ac:dyDescent="0.2">
      <c r="A145" s="512"/>
      <c r="B145" s="516" t="s">
        <v>695</v>
      </c>
      <c r="C145" s="532">
        <f>SUM(C137+C144)</f>
        <v>21873</v>
      </c>
      <c r="D145" s="532">
        <f>SUM(D137+D144)</f>
        <v>22100</v>
      </c>
      <c r="E145" s="533">
        <f t="shared" si="16"/>
        <v>227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626</v>
      </c>
      <c r="C149" s="534">
        <v>35424</v>
      </c>
      <c r="D149" s="534">
        <v>32049</v>
      </c>
      <c r="E149" s="531">
        <f t="shared" ref="E149:E157" si="17">D149-C149</f>
        <v>-3375</v>
      </c>
    </row>
    <row r="150" spans="1:5" s="506" customFormat="1" x14ac:dyDescent="0.2">
      <c r="A150" s="512">
        <v>2</v>
      </c>
      <c r="B150" s="511" t="s">
        <v>605</v>
      </c>
      <c r="C150" s="534">
        <v>62768</v>
      </c>
      <c r="D150" s="534">
        <v>63673</v>
      </c>
      <c r="E150" s="531">
        <f t="shared" si="17"/>
        <v>905</v>
      </c>
    </row>
    <row r="151" spans="1:5" s="506" customFormat="1" x14ac:dyDescent="0.2">
      <c r="A151" s="512">
        <v>3</v>
      </c>
      <c r="B151" s="511" t="s">
        <v>751</v>
      </c>
      <c r="C151" s="534">
        <f>C152+C153</f>
        <v>24504</v>
      </c>
      <c r="D151" s="534">
        <f>D152+D153</f>
        <v>26662</v>
      </c>
      <c r="E151" s="531">
        <f t="shared" si="17"/>
        <v>2158</v>
      </c>
    </row>
    <row r="152" spans="1:5" s="506" customFormat="1" x14ac:dyDescent="0.2">
      <c r="A152" s="512">
        <v>4</v>
      </c>
      <c r="B152" s="511" t="s">
        <v>114</v>
      </c>
      <c r="C152" s="534">
        <v>22595</v>
      </c>
      <c r="D152" s="534">
        <v>26478</v>
      </c>
      <c r="E152" s="531">
        <f t="shared" si="17"/>
        <v>3883</v>
      </c>
    </row>
    <row r="153" spans="1:5" s="506" customFormat="1" x14ac:dyDescent="0.2">
      <c r="A153" s="512">
        <v>5</v>
      </c>
      <c r="B153" s="511" t="s">
        <v>718</v>
      </c>
      <c r="C153" s="535">
        <v>1909</v>
      </c>
      <c r="D153" s="534">
        <v>184</v>
      </c>
      <c r="E153" s="531">
        <f t="shared" si="17"/>
        <v>-1725</v>
      </c>
    </row>
    <row r="154" spans="1:5" s="506" customFormat="1" x14ac:dyDescent="0.2">
      <c r="A154" s="512">
        <v>6</v>
      </c>
      <c r="B154" s="511" t="s">
        <v>418</v>
      </c>
      <c r="C154" s="534">
        <v>116</v>
      </c>
      <c r="D154" s="534">
        <v>56</v>
      </c>
      <c r="E154" s="531">
        <f t="shared" si="17"/>
        <v>-60</v>
      </c>
    </row>
    <row r="155" spans="1:5" s="506" customFormat="1" x14ac:dyDescent="0.2">
      <c r="A155" s="512">
        <v>7</v>
      </c>
      <c r="B155" s="511" t="s">
        <v>733</v>
      </c>
      <c r="C155" s="534">
        <v>5403</v>
      </c>
      <c r="D155" s="534">
        <v>4531</v>
      </c>
      <c r="E155" s="531">
        <f t="shared" si="17"/>
        <v>-872</v>
      </c>
    </row>
    <row r="156" spans="1:5" s="506" customFormat="1" x14ac:dyDescent="0.2">
      <c r="A156" s="512"/>
      <c r="B156" s="516" t="s">
        <v>782</v>
      </c>
      <c r="C156" s="532">
        <f>SUM(C150+C151+C154)</f>
        <v>87388</v>
      </c>
      <c r="D156" s="532">
        <f>SUM(D150+D151+D154)</f>
        <v>90391</v>
      </c>
      <c r="E156" s="533">
        <f t="shared" si="17"/>
        <v>3003</v>
      </c>
    </row>
    <row r="157" spans="1:5" s="506" customFormat="1" x14ac:dyDescent="0.2">
      <c r="A157" s="512"/>
      <c r="B157" s="516" t="s">
        <v>783</v>
      </c>
      <c r="C157" s="532">
        <f>SUM(C149+C156)</f>
        <v>122812</v>
      </c>
      <c r="D157" s="532">
        <f>SUM(D149+D156)</f>
        <v>122440</v>
      </c>
      <c r="E157" s="533">
        <f t="shared" si="17"/>
        <v>-372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784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626</v>
      </c>
      <c r="C161" s="536">
        <f t="shared" ref="C161:D169" si="18">IF(C137=0,0,C149/C137)</f>
        <v>4.4857540838293026</v>
      </c>
      <c r="D161" s="536">
        <f t="shared" si="18"/>
        <v>4.3315312880118935</v>
      </c>
      <c r="E161" s="537">
        <f t="shared" ref="E161:E169" si="19">D161-C161</f>
        <v>-0.15422279581740916</v>
      </c>
    </row>
    <row r="162" spans="1:5" s="506" customFormat="1" x14ac:dyDescent="0.2">
      <c r="A162" s="512">
        <v>2</v>
      </c>
      <c r="B162" s="511" t="s">
        <v>605</v>
      </c>
      <c r="C162" s="536">
        <f t="shared" si="18"/>
        <v>6.3274193548387094</v>
      </c>
      <c r="D162" s="536">
        <f t="shared" si="18"/>
        <v>6.2645611963793781</v>
      </c>
      <c r="E162" s="537">
        <f t="shared" si="19"/>
        <v>-6.2858158459331293E-2</v>
      </c>
    </row>
    <row r="163" spans="1:5" s="506" customFormat="1" x14ac:dyDescent="0.2">
      <c r="A163" s="512">
        <v>3</v>
      </c>
      <c r="B163" s="511" t="s">
        <v>751</v>
      </c>
      <c r="C163" s="536">
        <f t="shared" si="18"/>
        <v>6.0864381520119224</v>
      </c>
      <c r="D163" s="536">
        <f t="shared" si="18"/>
        <v>5.903897254207263</v>
      </c>
      <c r="E163" s="537">
        <f t="shared" si="19"/>
        <v>-0.18254089780465943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6.1870208105147864</v>
      </c>
      <c r="D164" s="536">
        <f t="shared" si="18"/>
        <v>5.8997326203208553</v>
      </c>
      <c r="E164" s="537">
        <f t="shared" si="19"/>
        <v>-0.28728819019393104</v>
      </c>
    </row>
    <row r="165" spans="1:5" s="506" customFormat="1" x14ac:dyDescent="0.2">
      <c r="A165" s="512">
        <v>5</v>
      </c>
      <c r="B165" s="511" t="s">
        <v>718</v>
      </c>
      <c r="C165" s="536">
        <f t="shared" si="18"/>
        <v>5.1042780748663104</v>
      </c>
      <c r="D165" s="536">
        <f t="shared" si="18"/>
        <v>6.5714285714285712</v>
      </c>
      <c r="E165" s="537">
        <f t="shared" si="19"/>
        <v>1.4671504965622608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3.8666666666666667</v>
      </c>
      <c r="D166" s="536">
        <f t="shared" si="18"/>
        <v>2.6666666666666665</v>
      </c>
      <c r="E166" s="537">
        <f t="shared" si="19"/>
        <v>-1.2000000000000002</v>
      </c>
    </row>
    <row r="167" spans="1:5" s="506" customFormat="1" x14ac:dyDescent="0.2">
      <c r="A167" s="512">
        <v>7</v>
      </c>
      <c r="B167" s="511" t="s">
        <v>733</v>
      </c>
      <c r="C167" s="536">
        <f t="shared" si="18"/>
        <v>5.2763671875</v>
      </c>
      <c r="D167" s="536">
        <f t="shared" si="18"/>
        <v>4.5721493440968715</v>
      </c>
      <c r="E167" s="537">
        <f t="shared" si="19"/>
        <v>-0.70421784340312854</v>
      </c>
    </row>
    <row r="168" spans="1:5" s="506" customFormat="1" x14ac:dyDescent="0.2">
      <c r="A168" s="512"/>
      <c r="B168" s="516" t="s">
        <v>785</v>
      </c>
      <c r="C168" s="538">
        <f t="shared" si="18"/>
        <v>6.2527189467658841</v>
      </c>
      <c r="D168" s="538">
        <f t="shared" si="18"/>
        <v>6.1486293449425213</v>
      </c>
      <c r="E168" s="539">
        <f t="shared" si="19"/>
        <v>-0.1040896018233628</v>
      </c>
    </row>
    <row r="169" spans="1:5" s="506" customFormat="1" x14ac:dyDescent="0.2">
      <c r="A169" s="512"/>
      <c r="B169" s="516" t="s">
        <v>719</v>
      </c>
      <c r="C169" s="538">
        <f t="shared" si="18"/>
        <v>5.614776208110456</v>
      </c>
      <c r="D169" s="538">
        <f t="shared" si="18"/>
        <v>5.5402714932126695</v>
      </c>
      <c r="E169" s="539">
        <f t="shared" si="19"/>
        <v>-7.4504714897786428E-2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786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626</v>
      </c>
      <c r="C173" s="541">
        <f t="shared" ref="C173:D181" si="20">IF(C137=0,0,C203/C137)</f>
        <v>1.2276</v>
      </c>
      <c r="D173" s="541">
        <f t="shared" si="20"/>
        <v>1.2369000000000001</v>
      </c>
      <c r="E173" s="542">
        <f t="shared" ref="E173:E181" si="21">D173-C173</f>
        <v>9.300000000000086E-3</v>
      </c>
    </row>
    <row r="174" spans="1:5" s="506" customFormat="1" x14ac:dyDescent="0.2">
      <c r="A174" s="512">
        <v>2</v>
      </c>
      <c r="B174" s="511" t="s">
        <v>605</v>
      </c>
      <c r="C174" s="541">
        <f t="shared" si="20"/>
        <v>1.5162</v>
      </c>
      <c r="D174" s="541">
        <f t="shared" si="20"/>
        <v>1.4971000000000001</v>
      </c>
      <c r="E174" s="542">
        <f t="shared" si="21"/>
        <v>-1.9099999999999895E-2</v>
      </c>
    </row>
    <row r="175" spans="1:5" s="506" customFormat="1" x14ac:dyDescent="0.2">
      <c r="A175" s="512">
        <v>0</v>
      </c>
      <c r="B175" s="511" t="s">
        <v>751</v>
      </c>
      <c r="C175" s="541">
        <f t="shared" si="20"/>
        <v>0.9611213114754098</v>
      </c>
      <c r="D175" s="541">
        <f t="shared" si="20"/>
        <v>0.99570690876882195</v>
      </c>
      <c r="E175" s="542">
        <f t="shared" si="21"/>
        <v>3.4585597293412151E-2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0.9274</v>
      </c>
      <c r="D176" s="541">
        <f t="shared" si="20"/>
        <v>0.99539999999999995</v>
      </c>
      <c r="E176" s="542">
        <f t="shared" si="21"/>
        <v>6.7999999999999949E-2</v>
      </c>
    </row>
    <row r="177" spans="1:5" s="506" customFormat="1" x14ac:dyDescent="0.2">
      <c r="A177" s="512">
        <v>5</v>
      </c>
      <c r="B177" s="511" t="s">
        <v>718</v>
      </c>
      <c r="C177" s="541">
        <f t="shared" si="20"/>
        <v>1.2904</v>
      </c>
      <c r="D177" s="541">
        <f t="shared" si="20"/>
        <v>1.0448999999999999</v>
      </c>
      <c r="E177" s="542">
        <f t="shared" si="21"/>
        <v>-0.24550000000000005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0.81040000000000001</v>
      </c>
      <c r="D178" s="541">
        <f t="shared" si="20"/>
        <v>1.3835999999999999</v>
      </c>
      <c r="E178" s="542">
        <f t="shared" si="21"/>
        <v>0.57319999999999993</v>
      </c>
    </row>
    <row r="179" spans="1:5" s="506" customFormat="1" x14ac:dyDescent="0.2">
      <c r="A179" s="512">
        <v>7</v>
      </c>
      <c r="B179" s="511" t="s">
        <v>733</v>
      </c>
      <c r="C179" s="541">
        <f t="shared" si="20"/>
        <v>1.0674999999999999</v>
      </c>
      <c r="D179" s="541">
        <f t="shared" si="20"/>
        <v>1.026</v>
      </c>
      <c r="E179" s="542">
        <f t="shared" si="21"/>
        <v>-4.149999999999987E-2</v>
      </c>
    </row>
    <row r="180" spans="1:5" s="506" customFormat="1" x14ac:dyDescent="0.2">
      <c r="A180" s="512"/>
      <c r="B180" s="516" t="s">
        <v>787</v>
      </c>
      <c r="C180" s="543">
        <f t="shared" si="20"/>
        <v>1.3547860904407558</v>
      </c>
      <c r="D180" s="543">
        <f t="shared" si="20"/>
        <v>1.3429149309570778</v>
      </c>
      <c r="E180" s="544">
        <f t="shared" si="21"/>
        <v>-1.1871159483678007E-2</v>
      </c>
    </row>
    <row r="181" spans="1:5" s="506" customFormat="1" x14ac:dyDescent="0.2">
      <c r="A181" s="512"/>
      <c r="B181" s="516" t="s">
        <v>696</v>
      </c>
      <c r="C181" s="543">
        <f t="shared" si="20"/>
        <v>1.3088669866959266</v>
      </c>
      <c r="D181" s="543">
        <f t="shared" si="20"/>
        <v>1.3074215158371041</v>
      </c>
      <c r="E181" s="544">
        <f t="shared" si="21"/>
        <v>-1.4454708588225174E-3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788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789</v>
      </c>
      <c r="C185" s="513">
        <v>314090520</v>
      </c>
      <c r="D185" s="513">
        <v>321561592</v>
      </c>
      <c r="E185" s="514">
        <f>D185-C185</f>
        <v>7471072</v>
      </c>
    </row>
    <row r="186" spans="1:5" s="506" customFormat="1" ht="25.5" x14ac:dyDescent="0.2">
      <c r="A186" s="512">
        <v>2</v>
      </c>
      <c r="B186" s="511" t="s">
        <v>790</v>
      </c>
      <c r="C186" s="513">
        <v>185607039</v>
      </c>
      <c r="D186" s="513">
        <v>190427843</v>
      </c>
      <c r="E186" s="514">
        <f>D186-C186</f>
        <v>4820804</v>
      </c>
    </row>
    <row r="187" spans="1:5" s="506" customFormat="1" x14ac:dyDescent="0.2">
      <c r="A187" s="512"/>
      <c r="B187" s="511" t="s">
        <v>638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722</v>
      </c>
      <c r="C188" s="546">
        <f>+C185-C186</f>
        <v>128483481</v>
      </c>
      <c r="D188" s="546">
        <f>+D185-D186</f>
        <v>131133749</v>
      </c>
      <c r="E188" s="514">
        <f t="shared" ref="E188:E197" si="22">D188-C188</f>
        <v>2650268</v>
      </c>
    </row>
    <row r="189" spans="1:5" s="506" customFormat="1" x14ac:dyDescent="0.2">
      <c r="A189" s="512">
        <v>4</v>
      </c>
      <c r="B189" s="511" t="s">
        <v>640</v>
      </c>
      <c r="C189" s="547">
        <f>IF(C185=0,0,+C188/C185)</f>
        <v>0.40906513510818476</v>
      </c>
      <c r="D189" s="547">
        <f>IF(D185=0,0,+D188/D185)</f>
        <v>0.40780289767939698</v>
      </c>
      <c r="E189" s="523">
        <f t="shared" si="22"/>
        <v>-1.2622374287877824E-3</v>
      </c>
    </row>
    <row r="190" spans="1:5" s="506" customFormat="1" x14ac:dyDescent="0.2">
      <c r="A190" s="512">
        <v>5</v>
      </c>
      <c r="B190" s="511" t="s">
        <v>737</v>
      </c>
      <c r="C190" s="513">
        <v>15226266</v>
      </c>
      <c r="D190" s="513">
        <v>18452227</v>
      </c>
      <c r="E190" s="546">
        <f t="shared" si="22"/>
        <v>3225961</v>
      </c>
    </row>
    <row r="191" spans="1:5" s="506" customFormat="1" x14ac:dyDescent="0.2">
      <c r="A191" s="512">
        <v>6</v>
      </c>
      <c r="B191" s="511" t="s">
        <v>723</v>
      </c>
      <c r="C191" s="513">
        <v>9187986</v>
      </c>
      <c r="D191" s="513">
        <v>11552884</v>
      </c>
      <c r="E191" s="546">
        <f t="shared" si="22"/>
        <v>2364898</v>
      </c>
    </row>
    <row r="192" spans="1:5" ht="29.25" x14ac:dyDescent="0.2">
      <c r="A192" s="512">
        <v>7</v>
      </c>
      <c r="B192" s="548" t="s">
        <v>791</v>
      </c>
      <c r="C192" s="513">
        <v>2541411</v>
      </c>
      <c r="D192" s="513">
        <v>0</v>
      </c>
      <c r="E192" s="546">
        <f t="shared" si="22"/>
        <v>-2541411</v>
      </c>
    </row>
    <row r="193" spans="1:5" s="506" customFormat="1" x14ac:dyDescent="0.2">
      <c r="A193" s="512">
        <v>8</v>
      </c>
      <c r="B193" s="511" t="s">
        <v>792</v>
      </c>
      <c r="C193" s="513">
        <v>7662000</v>
      </c>
      <c r="D193" s="513">
        <v>9025000</v>
      </c>
      <c r="E193" s="546">
        <f t="shared" si="22"/>
        <v>1363000</v>
      </c>
    </row>
    <row r="194" spans="1:5" s="506" customFormat="1" x14ac:dyDescent="0.2">
      <c r="A194" s="512">
        <v>9</v>
      </c>
      <c r="B194" s="511" t="s">
        <v>793</v>
      </c>
      <c r="C194" s="513">
        <v>30582008</v>
      </c>
      <c r="D194" s="513">
        <v>32811000</v>
      </c>
      <c r="E194" s="546">
        <f t="shared" si="22"/>
        <v>2228992</v>
      </c>
    </row>
    <row r="195" spans="1:5" s="506" customFormat="1" x14ac:dyDescent="0.2">
      <c r="A195" s="512">
        <v>10</v>
      </c>
      <c r="B195" s="511" t="s">
        <v>794</v>
      </c>
      <c r="C195" s="513">
        <f>+C193+C194</f>
        <v>38244008</v>
      </c>
      <c r="D195" s="513">
        <f>+D193+D194</f>
        <v>41836000</v>
      </c>
      <c r="E195" s="549">
        <f t="shared" si="22"/>
        <v>3591992</v>
      </c>
    </row>
    <row r="196" spans="1:5" s="506" customFormat="1" x14ac:dyDescent="0.2">
      <c r="A196" s="512">
        <v>11</v>
      </c>
      <c r="B196" s="511" t="s">
        <v>795</v>
      </c>
      <c r="C196" s="513">
        <v>314090520</v>
      </c>
      <c r="D196" s="513">
        <v>321561592</v>
      </c>
      <c r="E196" s="546">
        <f t="shared" si="22"/>
        <v>7471072</v>
      </c>
    </row>
    <row r="197" spans="1:5" s="506" customFormat="1" x14ac:dyDescent="0.2">
      <c r="A197" s="512">
        <v>12</v>
      </c>
      <c r="B197" s="511" t="s">
        <v>680</v>
      </c>
      <c r="C197" s="513">
        <v>351813000</v>
      </c>
      <c r="D197" s="513">
        <v>382310000</v>
      </c>
      <c r="E197" s="546">
        <f t="shared" si="22"/>
        <v>30497000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796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797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626</v>
      </c>
      <c r="C203" s="553">
        <v>9694.3572000000004</v>
      </c>
      <c r="D203" s="553">
        <v>9151.8231000000014</v>
      </c>
      <c r="E203" s="554">
        <f t="shared" ref="E203:E211" si="23">D203-C203</f>
        <v>-542.53409999999894</v>
      </c>
    </row>
    <row r="204" spans="1:5" s="506" customFormat="1" x14ac:dyDescent="0.2">
      <c r="A204" s="512">
        <v>2</v>
      </c>
      <c r="B204" s="511" t="s">
        <v>605</v>
      </c>
      <c r="C204" s="553">
        <v>15040.704</v>
      </c>
      <c r="D204" s="553">
        <v>15216.5244</v>
      </c>
      <c r="E204" s="554">
        <f t="shared" si="23"/>
        <v>175.82040000000052</v>
      </c>
    </row>
    <row r="205" spans="1:5" s="506" customFormat="1" x14ac:dyDescent="0.2">
      <c r="A205" s="512">
        <v>3</v>
      </c>
      <c r="B205" s="511" t="s">
        <v>751</v>
      </c>
      <c r="C205" s="553">
        <f>C206+C207</f>
        <v>3869.4744000000001</v>
      </c>
      <c r="D205" s="553">
        <f>D206+D207</f>
        <v>4496.6124</v>
      </c>
      <c r="E205" s="554">
        <f t="shared" si="23"/>
        <v>627.13799999999992</v>
      </c>
    </row>
    <row r="206" spans="1:5" s="506" customFormat="1" x14ac:dyDescent="0.2">
      <c r="A206" s="512">
        <v>4</v>
      </c>
      <c r="B206" s="511" t="s">
        <v>114</v>
      </c>
      <c r="C206" s="553">
        <v>3386.8647999999998</v>
      </c>
      <c r="D206" s="553">
        <v>4467.3552</v>
      </c>
      <c r="E206" s="554">
        <f t="shared" si="23"/>
        <v>1080.4904000000001</v>
      </c>
    </row>
    <row r="207" spans="1:5" s="506" customFormat="1" x14ac:dyDescent="0.2">
      <c r="A207" s="512">
        <v>5</v>
      </c>
      <c r="B207" s="511" t="s">
        <v>718</v>
      </c>
      <c r="C207" s="553">
        <v>482.6096</v>
      </c>
      <c r="D207" s="553">
        <v>29.257199999999997</v>
      </c>
      <c r="E207" s="554">
        <f t="shared" si="23"/>
        <v>-453.35239999999999</v>
      </c>
    </row>
    <row r="208" spans="1:5" s="506" customFormat="1" x14ac:dyDescent="0.2">
      <c r="A208" s="512">
        <v>6</v>
      </c>
      <c r="B208" s="511" t="s">
        <v>418</v>
      </c>
      <c r="C208" s="553">
        <v>24.312000000000001</v>
      </c>
      <c r="D208" s="553">
        <v>29.055599999999998</v>
      </c>
      <c r="E208" s="554">
        <f t="shared" si="23"/>
        <v>4.7435999999999972</v>
      </c>
    </row>
    <row r="209" spans="1:5" s="506" customFormat="1" x14ac:dyDescent="0.2">
      <c r="A209" s="512">
        <v>7</v>
      </c>
      <c r="B209" s="511" t="s">
        <v>733</v>
      </c>
      <c r="C209" s="553">
        <v>1093.1199999999999</v>
      </c>
      <c r="D209" s="553">
        <v>1016.7660000000001</v>
      </c>
      <c r="E209" s="554">
        <f t="shared" si="23"/>
        <v>-76.353999999999814</v>
      </c>
    </row>
    <row r="210" spans="1:5" s="506" customFormat="1" x14ac:dyDescent="0.2">
      <c r="A210" s="512"/>
      <c r="B210" s="516" t="s">
        <v>798</v>
      </c>
      <c r="C210" s="555">
        <f>C204+C205+C208</f>
        <v>18934.490400000002</v>
      </c>
      <c r="D210" s="555">
        <f>D204+D205+D208</f>
        <v>19742.1924</v>
      </c>
      <c r="E210" s="556">
        <f t="shared" si="23"/>
        <v>807.7019999999975</v>
      </c>
    </row>
    <row r="211" spans="1:5" s="506" customFormat="1" x14ac:dyDescent="0.2">
      <c r="A211" s="512"/>
      <c r="B211" s="516" t="s">
        <v>697</v>
      </c>
      <c r="C211" s="555">
        <f>C210+C203</f>
        <v>28628.847600000001</v>
      </c>
      <c r="D211" s="555">
        <f>D210+D203</f>
        <v>28894.015500000001</v>
      </c>
      <c r="E211" s="556">
        <f t="shared" si="23"/>
        <v>265.16790000000037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799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626</v>
      </c>
      <c r="C215" s="557">
        <f>IF(C14*C137=0,0,C25/C14*C137)</f>
        <v>5046.6572880263357</v>
      </c>
      <c r="D215" s="557">
        <f>IF(D14*D137=0,0,D25/D14*D137)</f>
        <v>5718.8007137467102</v>
      </c>
      <c r="E215" s="557">
        <f t="shared" ref="E215:E223" si="24">D215-C215</f>
        <v>672.14342572037458</v>
      </c>
    </row>
    <row r="216" spans="1:5" s="506" customFormat="1" x14ac:dyDescent="0.2">
      <c r="A216" s="512">
        <v>2</v>
      </c>
      <c r="B216" s="511" t="s">
        <v>605</v>
      </c>
      <c r="C216" s="557">
        <f>IF(C15*C138=0,0,C26/C15*C138)</f>
        <v>2493.3326106199506</v>
      </c>
      <c r="D216" s="557">
        <f>IF(D15*D138=0,0,D26/D15*D138)</f>
        <v>2816.2591914243853</v>
      </c>
      <c r="E216" s="557">
        <f t="shared" si="24"/>
        <v>322.92658080443471</v>
      </c>
    </row>
    <row r="217" spans="1:5" s="506" customFormat="1" x14ac:dyDescent="0.2">
      <c r="A217" s="512">
        <v>3</v>
      </c>
      <c r="B217" s="511" t="s">
        <v>751</v>
      </c>
      <c r="C217" s="557">
        <f>C218+C219</f>
        <v>1862.1410361742251</v>
      </c>
      <c r="D217" s="557">
        <f>D218+D219</f>
        <v>2638.682331501217</v>
      </c>
      <c r="E217" s="557">
        <f t="shared" si="24"/>
        <v>776.54129532699199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1626.6780785172161</v>
      </c>
      <c r="D218" s="557">
        <f t="shared" si="25"/>
        <v>2625.6494403343627</v>
      </c>
      <c r="E218" s="557">
        <f t="shared" si="24"/>
        <v>998.97136181714654</v>
      </c>
    </row>
    <row r="219" spans="1:5" s="506" customFormat="1" x14ac:dyDescent="0.2">
      <c r="A219" s="512">
        <v>5</v>
      </c>
      <c r="B219" s="511" t="s">
        <v>718</v>
      </c>
      <c r="C219" s="557">
        <f t="shared" si="25"/>
        <v>235.46295765700904</v>
      </c>
      <c r="D219" s="557">
        <f t="shared" si="25"/>
        <v>13.032891166854386</v>
      </c>
      <c r="E219" s="557">
        <f t="shared" si="24"/>
        <v>-222.43006649015464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16.536996836816968</v>
      </c>
      <c r="D220" s="557">
        <f t="shared" si="25"/>
        <v>17.409765553720263</v>
      </c>
      <c r="E220" s="557">
        <f t="shared" si="24"/>
        <v>0.87276871690329472</v>
      </c>
    </row>
    <row r="221" spans="1:5" s="506" customFormat="1" x14ac:dyDescent="0.2">
      <c r="A221" s="512">
        <v>7</v>
      </c>
      <c r="B221" s="511" t="s">
        <v>733</v>
      </c>
      <c r="C221" s="557">
        <f t="shared" si="25"/>
        <v>1252.6581040798417</v>
      </c>
      <c r="D221" s="557">
        <f t="shared" si="25"/>
        <v>1295.9074407898349</v>
      </c>
      <c r="E221" s="557">
        <f t="shared" si="24"/>
        <v>43.249336709993258</v>
      </c>
    </row>
    <row r="222" spans="1:5" s="506" customFormat="1" x14ac:dyDescent="0.2">
      <c r="A222" s="512"/>
      <c r="B222" s="516" t="s">
        <v>800</v>
      </c>
      <c r="C222" s="558">
        <f>C216+C218+C219+C220</f>
        <v>4372.0106436309925</v>
      </c>
      <c r="D222" s="558">
        <f>D216+D218+D219+D220</f>
        <v>5472.3512884793236</v>
      </c>
      <c r="E222" s="558">
        <f t="shared" si="24"/>
        <v>1100.3406448483311</v>
      </c>
    </row>
    <row r="223" spans="1:5" s="506" customFormat="1" x14ac:dyDescent="0.2">
      <c r="A223" s="512"/>
      <c r="B223" s="516" t="s">
        <v>801</v>
      </c>
      <c r="C223" s="558">
        <f>C215+C222</f>
        <v>9418.6679316573282</v>
      </c>
      <c r="D223" s="558">
        <f>D215+D222</f>
        <v>11191.152002226034</v>
      </c>
      <c r="E223" s="558">
        <f t="shared" si="24"/>
        <v>1772.4840705687056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802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626</v>
      </c>
      <c r="C227" s="560">
        <f t="shared" ref="C227:D235" si="26">IF(C203=0,0,C47/C203)</f>
        <v>10185.511113619787</v>
      </c>
      <c r="D227" s="560">
        <f t="shared" si="26"/>
        <v>10035.91054988814</v>
      </c>
      <c r="E227" s="560">
        <f t="shared" ref="E227:E235" si="27">D227-C227</f>
        <v>-149.60056373164662</v>
      </c>
    </row>
    <row r="228" spans="1:5" s="506" customFormat="1" x14ac:dyDescent="0.2">
      <c r="A228" s="512">
        <v>2</v>
      </c>
      <c r="B228" s="511" t="s">
        <v>605</v>
      </c>
      <c r="C228" s="560">
        <f t="shared" si="26"/>
        <v>8133.3105817387277</v>
      </c>
      <c r="D228" s="560">
        <f t="shared" si="26"/>
        <v>8202.0944940619938</v>
      </c>
      <c r="E228" s="560">
        <f t="shared" si="27"/>
        <v>68.783912323266122</v>
      </c>
    </row>
    <row r="229" spans="1:5" s="506" customFormat="1" x14ac:dyDescent="0.2">
      <c r="A229" s="512">
        <v>3</v>
      </c>
      <c r="B229" s="511" t="s">
        <v>751</v>
      </c>
      <c r="C229" s="560">
        <f t="shared" si="26"/>
        <v>6267.015747668469</v>
      </c>
      <c r="D229" s="560">
        <f t="shared" si="26"/>
        <v>5730.8141568973124</v>
      </c>
      <c r="E229" s="560">
        <f t="shared" si="27"/>
        <v>-536.20159077115659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7087.4892909808505</v>
      </c>
      <c r="D230" s="560">
        <f t="shared" si="26"/>
        <v>5648.5821857191922</v>
      </c>
      <c r="E230" s="560">
        <f t="shared" si="27"/>
        <v>-1438.9071052616582</v>
      </c>
    </row>
    <row r="231" spans="1:5" s="506" customFormat="1" x14ac:dyDescent="0.2">
      <c r="A231" s="512">
        <v>5</v>
      </c>
      <c r="B231" s="511" t="s">
        <v>718</v>
      </c>
      <c r="C231" s="560">
        <f t="shared" si="26"/>
        <v>509.08436135543099</v>
      </c>
      <c r="D231" s="560">
        <f t="shared" si="26"/>
        <v>18287.019947226669</v>
      </c>
      <c r="E231" s="560">
        <f t="shared" si="27"/>
        <v>17777.935585871237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7815.1118789075354</v>
      </c>
      <c r="D232" s="560">
        <f t="shared" si="26"/>
        <v>5314.0874736711685</v>
      </c>
      <c r="E232" s="560">
        <f t="shared" si="27"/>
        <v>-2501.0244052363669</v>
      </c>
    </row>
    <row r="233" spans="1:5" s="506" customFormat="1" x14ac:dyDescent="0.2">
      <c r="A233" s="512">
        <v>7</v>
      </c>
      <c r="B233" s="511" t="s">
        <v>733</v>
      </c>
      <c r="C233" s="560">
        <f t="shared" si="26"/>
        <v>924.06780591334905</v>
      </c>
      <c r="D233" s="560">
        <f t="shared" si="26"/>
        <v>842.21246579842352</v>
      </c>
      <c r="E233" s="560">
        <f t="shared" si="27"/>
        <v>-81.855340114925525</v>
      </c>
    </row>
    <row r="234" spans="1:5" x14ac:dyDescent="0.2">
      <c r="A234" s="512"/>
      <c r="B234" s="516" t="s">
        <v>803</v>
      </c>
      <c r="C234" s="561">
        <f t="shared" si="26"/>
        <v>7751.5038376739194</v>
      </c>
      <c r="D234" s="561">
        <f t="shared" si="26"/>
        <v>7634.9689004145257</v>
      </c>
      <c r="E234" s="561">
        <f t="shared" si="27"/>
        <v>-116.5349372593937</v>
      </c>
    </row>
    <row r="235" spans="1:5" s="506" customFormat="1" x14ac:dyDescent="0.2">
      <c r="A235" s="512"/>
      <c r="B235" s="516" t="s">
        <v>804</v>
      </c>
      <c r="C235" s="561">
        <f t="shared" si="26"/>
        <v>8575.7122127402708</v>
      </c>
      <c r="D235" s="561">
        <f t="shared" si="26"/>
        <v>8395.4375604180041</v>
      </c>
      <c r="E235" s="561">
        <f t="shared" si="27"/>
        <v>-180.27465232226677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805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626</v>
      </c>
      <c r="C239" s="560">
        <f t="shared" ref="C239:D247" si="28">IF(C215=0,0,C58/C215)</f>
        <v>9955.7342875662707</v>
      </c>
      <c r="D239" s="560">
        <f t="shared" si="28"/>
        <v>11132.537080189599</v>
      </c>
      <c r="E239" s="562">
        <f t="shared" ref="E239:E247" si="29">D239-C239</f>
        <v>1176.8027926233281</v>
      </c>
    </row>
    <row r="240" spans="1:5" s="506" customFormat="1" x14ac:dyDescent="0.2">
      <c r="A240" s="512">
        <v>2</v>
      </c>
      <c r="B240" s="511" t="s">
        <v>605</v>
      </c>
      <c r="C240" s="560">
        <f t="shared" si="28"/>
        <v>10354.227065429866</v>
      </c>
      <c r="D240" s="560">
        <f t="shared" si="28"/>
        <v>9498.3462748933616</v>
      </c>
      <c r="E240" s="562">
        <f t="shared" si="29"/>
        <v>-855.88079053650472</v>
      </c>
    </row>
    <row r="241" spans="1:5" x14ac:dyDescent="0.2">
      <c r="A241" s="512">
        <v>3</v>
      </c>
      <c r="B241" s="511" t="s">
        <v>751</v>
      </c>
      <c r="C241" s="560">
        <f t="shared" si="28"/>
        <v>5871.4816910232357</v>
      </c>
      <c r="D241" s="560">
        <f t="shared" si="28"/>
        <v>6913.5222463938289</v>
      </c>
      <c r="E241" s="562">
        <f t="shared" si="29"/>
        <v>1042.0405553705932</v>
      </c>
    </row>
    <row r="242" spans="1:5" x14ac:dyDescent="0.2">
      <c r="A242" s="512">
        <v>4</v>
      </c>
      <c r="B242" s="511" t="s">
        <v>114</v>
      </c>
      <c r="C242" s="560">
        <f t="shared" si="28"/>
        <v>5458.4653947594379</v>
      </c>
      <c r="D242" s="560">
        <f t="shared" si="28"/>
        <v>6873.0942230056016</v>
      </c>
      <c r="E242" s="562">
        <f t="shared" si="29"/>
        <v>1414.6288282461637</v>
      </c>
    </row>
    <row r="243" spans="1:5" x14ac:dyDescent="0.2">
      <c r="A243" s="512">
        <v>5</v>
      </c>
      <c r="B243" s="511" t="s">
        <v>718</v>
      </c>
      <c r="C243" s="560">
        <f t="shared" si="28"/>
        <v>8724.7736138289674</v>
      </c>
      <c r="D243" s="560">
        <f t="shared" si="28"/>
        <v>15058.285800706764</v>
      </c>
      <c r="E243" s="562">
        <f t="shared" si="29"/>
        <v>6333.5121868777969</v>
      </c>
    </row>
    <row r="244" spans="1:5" x14ac:dyDescent="0.2">
      <c r="A244" s="512">
        <v>6</v>
      </c>
      <c r="B244" s="511" t="s">
        <v>418</v>
      </c>
      <c r="C244" s="560">
        <f t="shared" si="28"/>
        <v>5538.671918717605</v>
      </c>
      <c r="D244" s="560">
        <f t="shared" si="28"/>
        <v>5290.7662493086791</v>
      </c>
      <c r="E244" s="562">
        <f t="shared" si="29"/>
        <v>-247.90566940892586</v>
      </c>
    </row>
    <row r="245" spans="1:5" x14ac:dyDescent="0.2">
      <c r="A245" s="512">
        <v>7</v>
      </c>
      <c r="B245" s="511" t="s">
        <v>733</v>
      </c>
      <c r="C245" s="560">
        <f t="shared" si="28"/>
        <v>1451.6914025282149</v>
      </c>
      <c r="D245" s="560">
        <f t="shared" si="28"/>
        <v>1392.0423197049602</v>
      </c>
      <c r="E245" s="562">
        <f t="shared" si="29"/>
        <v>-59.64908282325473</v>
      </c>
    </row>
    <row r="246" spans="1:5" ht="25.5" x14ac:dyDescent="0.2">
      <c r="A246" s="512"/>
      <c r="B246" s="516" t="s">
        <v>806</v>
      </c>
      <c r="C246" s="561">
        <f t="shared" si="28"/>
        <v>8426.7068410891807</v>
      </c>
      <c r="D246" s="561">
        <f t="shared" si="28"/>
        <v>8238.5984786675199</v>
      </c>
      <c r="E246" s="563">
        <f t="shared" si="29"/>
        <v>-188.10836242166079</v>
      </c>
    </row>
    <row r="247" spans="1:5" x14ac:dyDescent="0.2">
      <c r="A247" s="512"/>
      <c r="B247" s="516" t="s">
        <v>807</v>
      </c>
      <c r="C247" s="561">
        <f t="shared" si="28"/>
        <v>9245.9816644874936</v>
      </c>
      <c r="D247" s="561">
        <f t="shared" si="28"/>
        <v>9717.4326627293303</v>
      </c>
      <c r="E247" s="563">
        <f t="shared" si="29"/>
        <v>471.45099824183671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735</v>
      </c>
      <c r="B249" s="550" t="s">
        <v>732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7963828.1873244084</v>
      </c>
      <c r="D251" s="546">
        <f>((IF((IF(D15=0,0,D26/D15)*D138)=0,0,D59/(IF(D15=0,0,D26/D15)*D138)))-(IF((IF(D17=0,0,D28/D17)*D140)=0,0,D61/(IF(D17=0,0,D28/D17)*D140))))*(IF(D17=0,0,D28/D17)*D140)</f>
        <v>6892991.580775734</v>
      </c>
      <c r="E251" s="546">
        <f>D251-C251</f>
        <v>-1070836.6065486744</v>
      </c>
    </row>
    <row r="252" spans="1:5" x14ac:dyDescent="0.2">
      <c r="A252" s="512">
        <v>2</v>
      </c>
      <c r="B252" s="511" t="s">
        <v>718</v>
      </c>
      <c r="C252" s="546">
        <f>IF(C231=0,0,(C228-C231)*C207)+IF(C243=0,0,(C240-C243)*C219)</f>
        <v>4063200.6956070648</v>
      </c>
      <c r="D252" s="546">
        <f>IF(D231=0,0,(D228-D231)*D207)+IF(D243=0,0,(D240-D243)*D219)</f>
        <v>-367518.76770254754</v>
      </c>
      <c r="E252" s="546">
        <f>D252-C252</f>
        <v>-4430719.4633096121</v>
      </c>
    </row>
    <row r="253" spans="1:5" x14ac:dyDescent="0.2">
      <c r="A253" s="512">
        <v>3</v>
      </c>
      <c r="B253" s="511" t="s">
        <v>733</v>
      </c>
      <c r="C253" s="546">
        <f>IF(C233=0,0,(C228-C233)*C209+IF(C221=0,0,(C240-C245)*C221))</f>
        <v>19032400.908103798</v>
      </c>
      <c r="D253" s="546">
        <f>IF(D233=0,0,(D228-D233)*D209+IF(D221=0,0,(D240-D245)*D221))</f>
        <v>17988297.423182156</v>
      </c>
      <c r="E253" s="546">
        <f>D253-C253</f>
        <v>-1044103.4849216416</v>
      </c>
    </row>
    <row r="254" spans="1:5" ht="15" customHeight="1" x14ac:dyDescent="0.2">
      <c r="A254" s="512"/>
      <c r="B254" s="516" t="s">
        <v>734</v>
      </c>
      <c r="C254" s="564">
        <f>+C251+C252+C253</f>
        <v>31059429.791035272</v>
      </c>
      <c r="D254" s="564">
        <f>+D251+D252+D253</f>
        <v>24513770.23625534</v>
      </c>
      <c r="E254" s="564">
        <f>D254-C254</f>
        <v>-6545659.5547799319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808</v>
      </c>
      <c r="B256" s="550" t="s">
        <v>809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700</v>
      </c>
      <c r="C258" s="546">
        <f>+C44</f>
        <v>928515628</v>
      </c>
      <c r="D258" s="549">
        <f>+D44</f>
        <v>1004233370</v>
      </c>
      <c r="E258" s="546">
        <f t="shared" ref="E258:E271" si="30">D258-C258</f>
        <v>75717742</v>
      </c>
    </row>
    <row r="259" spans="1:5" x14ac:dyDescent="0.2">
      <c r="A259" s="512">
        <v>2</v>
      </c>
      <c r="B259" s="511" t="s">
        <v>717</v>
      </c>
      <c r="C259" s="546">
        <f>+(C43-C76)</f>
        <v>415586414</v>
      </c>
      <c r="D259" s="549">
        <f>+(D43-D76)</f>
        <v>468404020</v>
      </c>
      <c r="E259" s="546">
        <f t="shared" si="30"/>
        <v>52817606</v>
      </c>
    </row>
    <row r="260" spans="1:5" x14ac:dyDescent="0.2">
      <c r="A260" s="512">
        <v>3</v>
      </c>
      <c r="B260" s="511" t="s">
        <v>721</v>
      </c>
      <c r="C260" s="546">
        <f>C195</f>
        <v>38244008</v>
      </c>
      <c r="D260" s="546">
        <f>D195</f>
        <v>41836000</v>
      </c>
      <c r="E260" s="546">
        <f t="shared" si="30"/>
        <v>3591992</v>
      </c>
    </row>
    <row r="261" spans="1:5" x14ac:dyDescent="0.2">
      <c r="A261" s="512">
        <v>4</v>
      </c>
      <c r="B261" s="511" t="s">
        <v>722</v>
      </c>
      <c r="C261" s="546">
        <f>C188</f>
        <v>128483481</v>
      </c>
      <c r="D261" s="546">
        <f>D188</f>
        <v>131133749</v>
      </c>
      <c r="E261" s="546">
        <f t="shared" si="30"/>
        <v>2650268</v>
      </c>
    </row>
    <row r="262" spans="1:5" x14ac:dyDescent="0.2">
      <c r="A262" s="512">
        <v>5</v>
      </c>
      <c r="B262" s="511" t="s">
        <v>723</v>
      </c>
      <c r="C262" s="546">
        <f>C191</f>
        <v>9187986</v>
      </c>
      <c r="D262" s="546">
        <f>D191</f>
        <v>11552884</v>
      </c>
      <c r="E262" s="546">
        <f t="shared" si="30"/>
        <v>2364898</v>
      </c>
    </row>
    <row r="263" spans="1:5" x14ac:dyDescent="0.2">
      <c r="A263" s="512">
        <v>6</v>
      </c>
      <c r="B263" s="511" t="s">
        <v>724</v>
      </c>
      <c r="C263" s="546">
        <f>+C259+C260+C261+C262</f>
        <v>591501889</v>
      </c>
      <c r="D263" s="546">
        <f>+D259+D260+D261+D262</f>
        <v>652926653</v>
      </c>
      <c r="E263" s="546">
        <f t="shared" si="30"/>
        <v>61424764</v>
      </c>
    </row>
    <row r="264" spans="1:5" x14ac:dyDescent="0.2">
      <c r="A264" s="512">
        <v>7</v>
      </c>
      <c r="B264" s="511" t="s">
        <v>624</v>
      </c>
      <c r="C264" s="546">
        <f>+C258-C263</f>
        <v>337013739</v>
      </c>
      <c r="D264" s="546">
        <f>+D258-D263</f>
        <v>351306717</v>
      </c>
      <c r="E264" s="546">
        <f t="shared" si="30"/>
        <v>14292978</v>
      </c>
    </row>
    <row r="265" spans="1:5" x14ac:dyDescent="0.2">
      <c r="A265" s="512">
        <v>8</v>
      </c>
      <c r="B265" s="511" t="s">
        <v>810</v>
      </c>
      <c r="C265" s="565">
        <f>C192</f>
        <v>2541411</v>
      </c>
      <c r="D265" s="565">
        <f>D192</f>
        <v>0</v>
      </c>
      <c r="E265" s="546">
        <f t="shared" si="30"/>
        <v>-2541411</v>
      </c>
    </row>
    <row r="266" spans="1:5" x14ac:dyDescent="0.2">
      <c r="A266" s="512">
        <v>9</v>
      </c>
      <c r="B266" s="511" t="s">
        <v>811</v>
      </c>
      <c r="C266" s="546">
        <f>+C264+C265</f>
        <v>339555150</v>
      </c>
      <c r="D266" s="546">
        <f>+D264+D265</f>
        <v>351306717</v>
      </c>
      <c r="E266" s="565">
        <f t="shared" si="30"/>
        <v>11751567</v>
      </c>
    </row>
    <row r="267" spans="1:5" x14ac:dyDescent="0.2">
      <c r="A267" s="512">
        <v>10</v>
      </c>
      <c r="B267" s="511" t="s">
        <v>812</v>
      </c>
      <c r="C267" s="566">
        <f>IF(C258=0,0,C266/C258)</f>
        <v>0.36569675270990698</v>
      </c>
      <c r="D267" s="566">
        <f>IF(D258=0,0,D266/D258)</f>
        <v>0.34982577505863999</v>
      </c>
      <c r="E267" s="567">
        <f t="shared" si="30"/>
        <v>-1.5870977651266993E-2</v>
      </c>
    </row>
    <row r="268" spans="1:5" x14ac:dyDescent="0.2">
      <c r="A268" s="512">
        <v>11</v>
      </c>
      <c r="B268" s="511" t="s">
        <v>686</v>
      </c>
      <c r="C268" s="546">
        <f>+C260*C267</f>
        <v>13985709.536211705</v>
      </c>
      <c r="D268" s="568">
        <f>+D260*D267</f>
        <v>14635311.125353262</v>
      </c>
      <c r="E268" s="546">
        <f t="shared" si="30"/>
        <v>649601.58914155699</v>
      </c>
    </row>
    <row r="269" spans="1:5" x14ac:dyDescent="0.2">
      <c r="A269" s="512">
        <v>12</v>
      </c>
      <c r="B269" s="511" t="s">
        <v>813</v>
      </c>
      <c r="C269" s="546">
        <f>((C17+C18+C28+C29)*C267)-(C50+C51+C61+C62)</f>
        <v>19300294.881917804</v>
      </c>
      <c r="D269" s="568">
        <f>((D17+D18+D28+D29)*D267)-(D50+D51+D61+D62)</f>
        <v>19557139.321739532</v>
      </c>
      <c r="E269" s="546">
        <f t="shared" si="30"/>
        <v>256844.43982172757</v>
      </c>
    </row>
    <row r="270" spans="1:5" s="569" customFormat="1" x14ac:dyDescent="0.2">
      <c r="A270" s="570">
        <v>13</v>
      </c>
      <c r="B270" s="571" t="s">
        <v>814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815</v>
      </c>
      <c r="C271" s="546">
        <f>+C268+C269+C270</f>
        <v>33286004.418129511</v>
      </c>
      <c r="D271" s="546">
        <f>+D268+D269+D270</f>
        <v>34192450.447092794</v>
      </c>
      <c r="E271" s="549">
        <f t="shared" si="30"/>
        <v>906446.0289632827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816</v>
      </c>
      <c r="B273" s="550" t="s">
        <v>817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818</v>
      </c>
      <c r="C275" s="340"/>
      <c r="D275" s="340"/>
      <c r="E275" s="520"/>
    </row>
    <row r="276" spans="1:5" x14ac:dyDescent="0.2">
      <c r="A276" s="512">
        <v>1</v>
      </c>
      <c r="B276" s="511" t="s">
        <v>626</v>
      </c>
      <c r="C276" s="547">
        <f t="shared" ref="C276:D284" si="31">IF(C14=0,0,+C47/C14)</f>
        <v>0.49145396438006833</v>
      </c>
      <c r="D276" s="547">
        <f t="shared" si="31"/>
        <v>0.47891212286930307</v>
      </c>
      <c r="E276" s="574">
        <f t="shared" ref="E276:E284" si="32">D276-C276</f>
        <v>-1.2541841510765261E-2</v>
      </c>
    </row>
    <row r="277" spans="1:5" x14ac:dyDescent="0.2">
      <c r="A277" s="512">
        <v>2</v>
      </c>
      <c r="B277" s="511" t="s">
        <v>605</v>
      </c>
      <c r="C277" s="547">
        <f t="shared" si="31"/>
        <v>0.34058007459882134</v>
      </c>
      <c r="D277" s="547">
        <f t="shared" si="31"/>
        <v>0.33086724368750603</v>
      </c>
      <c r="E277" s="574">
        <f t="shared" si="32"/>
        <v>-9.7128309113153066E-3</v>
      </c>
    </row>
    <row r="278" spans="1:5" x14ac:dyDescent="0.2">
      <c r="A278" s="512">
        <v>3</v>
      </c>
      <c r="B278" s="511" t="s">
        <v>751</v>
      </c>
      <c r="C278" s="547">
        <f t="shared" si="31"/>
        <v>0.23852340686164819</v>
      </c>
      <c r="D278" s="547">
        <f t="shared" si="31"/>
        <v>0.22461290995958183</v>
      </c>
      <c r="E278" s="574">
        <f t="shared" si="32"/>
        <v>-1.391049690206636E-2</v>
      </c>
    </row>
    <row r="279" spans="1:5" x14ac:dyDescent="0.2">
      <c r="A279" s="512">
        <v>4</v>
      </c>
      <c r="B279" s="511" t="s">
        <v>114</v>
      </c>
      <c r="C279" s="547">
        <f t="shared" si="31"/>
        <v>0.26488712857319718</v>
      </c>
      <c r="D279" s="547">
        <f t="shared" si="31"/>
        <v>0.22207187479192497</v>
      </c>
      <c r="E279" s="574">
        <f t="shared" si="32"/>
        <v>-4.2815253781272211E-2</v>
      </c>
    </row>
    <row r="280" spans="1:5" x14ac:dyDescent="0.2">
      <c r="A280" s="512">
        <v>5</v>
      </c>
      <c r="B280" s="511" t="s">
        <v>718</v>
      </c>
      <c r="C280" s="547">
        <f t="shared" si="31"/>
        <v>2.2241764226562565E-2</v>
      </c>
      <c r="D280" s="547">
        <f t="shared" si="31"/>
        <v>0.48794294547626754</v>
      </c>
      <c r="E280" s="574">
        <f t="shared" si="32"/>
        <v>0.465701181249705</v>
      </c>
    </row>
    <row r="281" spans="1:5" x14ac:dyDescent="0.2">
      <c r="A281" s="512">
        <v>6</v>
      </c>
      <c r="B281" s="511" t="s">
        <v>418</v>
      </c>
      <c r="C281" s="547">
        <f t="shared" si="31"/>
        <v>0.39281564638508137</v>
      </c>
      <c r="D281" s="547">
        <f t="shared" si="31"/>
        <v>0.36590966720619567</v>
      </c>
      <c r="E281" s="574">
        <f t="shared" si="32"/>
        <v>-2.6905979178885708E-2</v>
      </c>
    </row>
    <row r="282" spans="1:5" x14ac:dyDescent="0.2">
      <c r="A282" s="512">
        <v>7</v>
      </c>
      <c r="B282" s="511" t="s">
        <v>733</v>
      </c>
      <c r="C282" s="547">
        <f t="shared" si="31"/>
        <v>5.6076338925661821E-2</v>
      </c>
      <c r="D282" s="547">
        <f t="shared" si="31"/>
        <v>4.4659904956244834E-2</v>
      </c>
      <c r="E282" s="574">
        <f t="shared" si="32"/>
        <v>-1.1416433969416988E-2</v>
      </c>
    </row>
    <row r="283" spans="1:5" ht="29.25" customHeight="1" x14ac:dyDescent="0.2">
      <c r="A283" s="512"/>
      <c r="B283" s="516" t="s">
        <v>819</v>
      </c>
      <c r="C283" s="575">
        <f t="shared" si="31"/>
        <v>0.31814392308116946</v>
      </c>
      <c r="D283" s="575">
        <f t="shared" si="31"/>
        <v>0.30613850858591019</v>
      </c>
      <c r="E283" s="576">
        <f t="shared" si="32"/>
        <v>-1.200541449525927E-2</v>
      </c>
    </row>
    <row r="284" spans="1:5" x14ac:dyDescent="0.2">
      <c r="A284" s="512"/>
      <c r="B284" s="516" t="s">
        <v>820</v>
      </c>
      <c r="C284" s="575">
        <f t="shared" si="31"/>
        <v>0.37072373872691278</v>
      </c>
      <c r="D284" s="575">
        <f t="shared" si="31"/>
        <v>0.35457114867859679</v>
      </c>
      <c r="E284" s="576">
        <f t="shared" si="32"/>
        <v>-1.6152590048315985E-2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821</v>
      </c>
      <c r="C286" s="520"/>
      <c r="D286" s="520"/>
      <c r="E286" s="520"/>
    </row>
    <row r="287" spans="1:5" x14ac:dyDescent="0.2">
      <c r="A287" s="512">
        <v>1</v>
      </c>
      <c r="B287" s="511" t="s">
        <v>626</v>
      </c>
      <c r="C287" s="547">
        <f t="shared" ref="C287:D295" si="33">IF(C25=0,0,+C58/C25)</f>
        <v>0.39130593324084278</v>
      </c>
      <c r="D287" s="547">
        <f t="shared" si="33"/>
        <v>0.42949549184889851</v>
      </c>
      <c r="E287" s="574">
        <f t="shared" ref="E287:E295" si="34">D287-C287</f>
        <v>3.8189558608055729E-2</v>
      </c>
    </row>
    <row r="288" spans="1:5" x14ac:dyDescent="0.2">
      <c r="A288" s="512">
        <v>2</v>
      </c>
      <c r="B288" s="511" t="s">
        <v>605</v>
      </c>
      <c r="C288" s="547">
        <f t="shared" si="33"/>
        <v>0.28596512509171196</v>
      </c>
      <c r="D288" s="547">
        <f t="shared" si="33"/>
        <v>0.25593294442914738</v>
      </c>
      <c r="E288" s="574">
        <f t="shared" si="34"/>
        <v>-3.0032180662564578E-2</v>
      </c>
    </row>
    <row r="289" spans="1:5" x14ac:dyDescent="0.2">
      <c r="A289" s="512">
        <v>3</v>
      </c>
      <c r="B289" s="511" t="s">
        <v>751</v>
      </c>
      <c r="C289" s="547">
        <f t="shared" si="33"/>
        <v>0.2310595413195719</v>
      </c>
      <c r="D289" s="547">
        <f t="shared" si="33"/>
        <v>0.27232325090618598</v>
      </c>
      <c r="E289" s="574">
        <f t="shared" si="34"/>
        <v>4.1263709586614072E-2</v>
      </c>
    </row>
    <row r="290" spans="1:5" x14ac:dyDescent="0.2">
      <c r="A290" s="512">
        <v>4</v>
      </c>
      <c r="B290" s="511" t="s">
        <v>114</v>
      </c>
      <c r="C290" s="547">
        <f t="shared" si="33"/>
        <v>0.21997428239284339</v>
      </c>
      <c r="D290" s="547">
        <f t="shared" si="33"/>
        <v>0.27146182736528562</v>
      </c>
      <c r="E290" s="574">
        <f t="shared" si="34"/>
        <v>5.1487544972442234E-2</v>
      </c>
    </row>
    <row r="291" spans="1:5" x14ac:dyDescent="0.2">
      <c r="A291" s="512">
        <v>5</v>
      </c>
      <c r="B291" s="511" t="s">
        <v>718</v>
      </c>
      <c r="C291" s="547">
        <f t="shared" si="33"/>
        <v>0.29539918254661535</v>
      </c>
      <c r="D291" s="547">
        <f t="shared" si="33"/>
        <v>0.38452706343374971</v>
      </c>
      <c r="E291" s="574">
        <f t="shared" si="34"/>
        <v>8.9127880887134359E-2</v>
      </c>
    </row>
    <row r="292" spans="1:5" x14ac:dyDescent="0.2">
      <c r="A292" s="512">
        <v>6</v>
      </c>
      <c r="B292" s="511" t="s">
        <v>418</v>
      </c>
      <c r="C292" s="547">
        <f t="shared" si="33"/>
        <v>0.34352613773600477</v>
      </c>
      <c r="D292" s="547">
        <f t="shared" si="33"/>
        <v>0.26330142268695456</v>
      </c>
      <c r="E292" s="574">
        <f t="shared" si="34"/>
        <v>-8.022471504905021E-2</v>
      </c>
    </row>
    <row r="293" spans="1:5" x14ac:dyDescent="0.2">
      <c r="A293" s="512">
        <v>7</v>
      </c>
      <c r="B293" s="511" t="s">
        <v>733</v>
      </c>
      <c r="C293" s="547">
        <f t="shared" si="33"/>
        <v>8.2524372960883677E-2</v>
      </c>
      <c r="D293" s="547">
        <f t="shared" si="33"/>
        <v>7.1945097752692297E-2</v>
      </c>
      <c r="E293" s="574">
        <f t="shared" si="34"/>
        <v>-1.057927520819138E-2</v>
      </c>
    </row>
    <row r="294" spans="1:5" ht="29.25" customHeight="1" x14ac:dyDescent="0.2">
      <c r="A294" s="512"/>
      <c r="B294" s="516" t="s">
        <v>822</v>
      </c>
      <c r="C294" s="575">
        <f t="shared" si="33"/>
        <v>0.26723123527873255</v>
      </c>
      <c r="D294" s="575">
        <f t="shared" si="33"/>
        <v>0.26233676397866335</v>
      </c>
      <c r="E294" s="576">
        <f t="shared" si="34"/>
        <v>-4.8944713000692031E-3</v>
      </c>
    </row>
    <row r="295" spans="1:5" x14ac:dyDescent="0.2">
      <c r="A295" s="512"/>
      <c r="B295" s="516" t="s">
        <v>823</v>
      </c>
      <c r="C295" s="575">
        <f t="shared" si="33"/>
        <v>0.32706316764595705</v>
      </c>
      <c r="D295" s="575">
        <f t="shared" si="33"/>
        <v>0.33974710741656072</v>
      </c>
      <c r="E295" s="576">
        <f t="shared" si="34"/>
        <v>1.2683939770603669E-2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824</v>
      </c>
      <c r="B297" s="501" t="s">
        <v>825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826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624</v>
      </c>
      <c r="C301" s="514">
        <f>+C48+C47+C50+C51+C52+C59+C58+C61+C62+C63</f>
        <v>332597589</v>
      </c>
      <c r="D301" s="514">
        <f>+D48+D47+D50+D51+D52+D59+D58+D61+D62+D63</f>
        <v>351327169</v>
      </c>
      <c r="E301" s="514">
        <f>D301-C301</f>
        <v>18729580</v>
      </c>
    </row>
    <row r="302" spans="1:5" ht="25.5" x14ac:dyDescent="0.2">
      <c r="A302" s="512">
        <v>2</v>
      </c>
      <c r="B302" s="511" t="s">
        <v>827</v>
      </c>
      <c r="C302" s="546">
        <f>C265</f>
        <v>2541411</v>
      </c>
      <c r="D302" s="546">
        <f>D265</f>
        <v>0</v>
      </c>
      <c r="E302" s="514">
        <f>D302-C302</f>
        <v>-2541411</v>
      </c>
    </row>
    <row r="303" spans="1:5" x14ac:dyDescent="0.2">
      <c r="A303" s="512"/>
      <c r="B303" s="516" t="s">
        <v>828</v>
      </c>
      <c r="C303" s="517">
        <f>+C301+C302</f>
        <v>335139000</v>
      </c>
      <c r="D303" s="517">
        <f>+D301+D302</f>
        <v>351327169</v>
      </c>
      <c r="E303" s="517">
        <f>D303-C303</f>
        <v>16188169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829</v>
      </c>
      <c r="C305" s="513">
        <v>23537405</v>
      </c>
      <c r="D305" s="578">
        <v>37747172</v>
      </c>
      <c r="E305" s="579">
        <f>D305-C305</f>
        <v>14209767</v>
      </c>
    </row>
    <row r="306" spans="1:5" x14ac:dyDescent="0.2">
      <c r="A306" s="512">
        <v>4</v>
      </c>
      <c r="B306" s="516" t="s">
        <v>830</v>
      </c>
      <c r="C306" s="580">
        <f>+C303+C305</f>
        <v>358676405</v>
      </c>
      <c r="D306" s="580">
        <f>+D303+D305</f>
        <v>389074341</v>
      </c>
      <c r="E306" s="580">
        <f>D306-C306</f>
        <v>30397936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831</v>
      </c>
      <c r="C308" s="513">
        <v>358676000</v>
      </c>
      <c r="D308" s="513">
        <v>389074000</v>
      </c>
      <c r="E308" s="514">
        <f>D308-C308</f>
        <v>30398000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832</v>
      </c>
      <c r="C310" s="581">
        <f>C306-C308</f>
        <v>405</v>
      </c>
      <c r="D310" s="582">
        <f>D306-D308</f>
        <v>341</v>
      </c>
      <c r="E310" s="580">
        <f>D310-C310</f>
        <v>-64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833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834</v>
      </c>
      <c r="C314" s="514">
        <f>+C14+C15+C16+C19+C25+C26+C27+C30</f>
        <v>928515628</v>
      </c>
      <c r="D314" s="514">
        <f>+D14+D15+D16+D19+D25+D26+D27+D30</f>
        <v>1004233370</v>
      </c>
      <c r="E314" s="514">
        <f>D314-C314</f>
        <v>75717742</v>
      </c>
    </row>
    <row r="315" spans="1:5" x14ac:dyDescent="0.2">
      <c r="A315" s="512">
        <v>2</v>
      </c>
      <c r="B315" s="583" t="s">
        <v>835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836</v>
      </c>
      <c r="C316" s="581">
        <f>C314+C315</f>
        <v>928515628</v>
      </c>
      <c r="D316" s="581">
        <f>D314+D315</f>
        <v>1004233370</v>
      </c>
      <c r="E316" s="517">
        <f>D316-C316</f>
        <v>75717742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837</v>
      </c>
      <c r="C318" s="513">
        <v>928516000</v>
      </c>
      <c r="D318" s="513">
        <v>1004233000</v>
      </c>
      <c r="E318" s="514">
        <f>D318-C318</f>
        <v>75717000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832</v>
      </c>
      <c r="C320" s="581">
        <f>C316-C318</f>
        <v>-372</v>
      </c>
      <c r="D320" s="581">
        <f>D316-D318</f>
        <v>370</v>
      </c>
      <c r="E320" s="517">
        <f>D320-C320</f>
        <v>742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838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839</v>
      </c>
      <c r="C324" s="513">
        <f>+C193+C194</f>
        <v>38244008</v>
      </c>
      <c r="D324" s="513">
        <f>+D193+D194</f>
        <v>41836000</v>
      </c>
      <c r="E324" s="514">
        <f>D324-C324</f>
        <v>3591992</v>
      </c>
    </row>
    <row r="325" spans="1:5" x14ac:dyDescent="0.2">
      <c r="A325" s="512">
        <v>2</v>
      </c>
      <c r="B325" s="511" t="s">
        <v>840</v>
      </c>
      <c r="C325" s="513">
        <v>-9455404</v>
      </c>
      <c r="D325" s="513">
        <v>0</v>
      </c>
      <c r="E325" s="514">
        <f>D325-C325</f>
        <v>9455404</v>
      </c>
    </row>
    <row r="326" spans="1:5" x14ac:dyDescent="0.2">
      <c r="A326" s="512"/>
      <c r="B326" s="516" t="s">
        <v>841</v>
      </c>
      <c r="C326" s="581">
        <f>C324+C325</f>
        <v>28788604</v>
      </c>
      <c r="D326" s="581">
        <f>D324+D325</f>
        <v>41836000</v>
      </c>
      <c r="E326" s="517">
        <f>D326-C326</f>
        <v>13047396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842</v>
      </c>
      <c r="C328" s="513">
        <v>28788604</v>
      </c>
      <c r="D328" s="513">
        <v>41836165</v>
      </c>
      <c r="E328" s="514">
        <f>D328-C328</f>
        <v>13047561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843</v>
      </c>
      <c r="C330" s="581">
        <f>C326-C328</f>
        <v>0</v>
      </c>
      <c r="D330" s="581">
        <f>D326-D328</f>
        <v>-165</v>
      </c>
      <c r="E330" s="517">
        <f>D330-C330</f>
        <v>-165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FILING&amp;RSAINT VINCENT`S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596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844</v>
      </c>
      <c r="B5" s="696"/>
      <c r="C5" s="697"/>
      <c r="D5" s="585"/>
    </row>
    <row r="6" spans="1:58" s="338" customFormat="1" ht="15.75" customHeight="1" x14ac:dyDescent="0.25">
      <c r="A6" s="695" t="s">
        <v>845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846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847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750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626</v>
      </c>
      <c r="C14" s="513">
        <v>191782320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605</v>
      </c>
      <c r="C15" s="515">
        <v>377212835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751</v>
      </c>
      <c r="C16" s="515">
        <v>114727377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113630882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718</v>
      </c>
      <c r="C18" s="515">
        <v>1096495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421973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733</v>
      </c>
      <c r="C20" s="515">
        <v>19174537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752</v>
      </c>
      <c r="C21" s="517">
        <f>SUM(C15+C16+C19)</f>
        <v>492362185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692</v>
      </c>
      <c r="C22" s="517">
        <f>SUM(C14+C21)</f>
        <v>684144505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753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626</v>
      </c>
      <c r="C25" s="513">
        <v>148231500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605</v>
      </c>
      <c r="C26" s="515">
        <v>104518803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751</v>
      </c>
      <c r="C27" s="515">
        <v>66988731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66478356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718</v>
      </c>
      <c r="C29" s="515">
        <v>510375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349831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733</v>
      </c>
      <c r="C31" s="518">
        <v>25074092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754</v>
      </c>
      <c r="C32" s="517">
        <f>SUM(C26+C27+C30)</f>
        <v>171857365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698</v>
      </c>
      <c r="C33" s="517">
        <f>SUM(C25+C32)</f>
        <v>320088865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623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848</v>
      </c>
      <c r="C36" s="514">
        <f>SUM(C14+C25)</f>
        <v>340013820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849</v>
      </c>
      <c r="C37" s="518">
        <f>SUM(C21+C32)</f>
        <v>664219550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623</v>
      </c>
      <c r="C38" s="517">
        <f>SUM(+C36+C37)</f>
        <v>1004233370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763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626</v>
      </c>
      <c r="C41" s="513">
        <v>91846878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605</v>
      </c>
      <c r="C42" s="515">
        <v>124807371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751</v>
      </c>
      <c r="C43" s="515">
        <v>25769250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25234223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718</v>
      </c>
      <c r="C45" s="515">
        <v>535027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154404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733</v>
      </c>
      <c r="C47" s="515">
        <v>856333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764</v>
      </c>
      <c r="C48" s="517">
        <f>SUM(C42+C43+C46)</f>
        <v>150731025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693</v>
      </c>
      <c r="C49" s="517">
        <f>SUM(C41+C48)</f>
        <v>242577903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765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626</v>
      </c>
      <c r="C52" s="513">
        <v>63664761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605</v>
      </c>
      <c r="C53" s="515">
        <v>26749805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751</v>
      </c>
      <c r="C54" s="515">
        <v>18242589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18046336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718</v>
      </c>
      <c r="C56" s="515">
        <v>196253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92111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733</v>
      </c>
      <c r="C58" s="515">
        <v>1803958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766</v>
      </c>
      <c r="C59" s="517">
        <f>SUM(C53+C54+C57)</f>
        <v>45084505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699</v>
      </c>
      <c r="C60" s="517">
        <f>SUM(C52+C59)</f>
        <v>108749266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624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850</v>
      </c>
      <c r="C63" s="514">
        <f>SUM(C41+C52)</f>
        <v>155511639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851</v>
      </c>
      <c r="C64" s="518">
        <f>SUM(C48+C59)</f>
        <v>195815530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624</v>
      </c>
      <c r="C65" s="517">
        <f>SUM(+C63+C64)</f>
        <v>351327169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852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853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626</v>
      </c>
      <c r="C70" s="530">
        <v>7399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605</v>
      </c>
      <c r="C71" s="530">
        <v>10164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751</v>
      </c>
      <c r="C72" s="530">
        <v>4516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4488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718</v>
      </c>
      <c r="C74" s="530">
        <v>28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21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733</v>
      </c>
      <c r="C76" s="545">
        <v>991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781</v>
      </c>
      <c r="C77" s="532">
        <f>SUM(C71+C72+C75)</f>
        <v>14701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695</v>
      </c>
      <c r="C78" s="596">
        <f>SUM(C70+C77)</f>
        <v>22100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786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626</v>
      </c>
      <c r="C81" s="541">
        <v>1.2369000000000001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605</v>
      </c>
      <c r="C82" s="541">
        <v>1.4971000000000001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751</v>
      </c>
      <c r="C83" s="541">
        <f>((C73*C84)+(C74*C85))/(C73+C74)</f>
        <v>0.99570690876882195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0.99539999999999995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718</v>
      </c>
      <c r="C85" s="541">
        <v>1.0448999999999999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1.3835999999999999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733</v>
      </c>
      <c r="C87" s="541">
        <v>1.026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787</v>
      </c>
      <c r="C88" s="543">
        <f>((C71*C82)+(C73*C84)+(C74*C85)+(C75*C86))/(C71+C73+C74+C75)</f>
        <v>1.3429149309570778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696</v>
      </c>
      <c r="C89" s="543">
        <f>((C70*C81)+(C71*C82)+(C73*C84)+(C74*C85)+(C75*C86))/(C70+C71+C73+C74+C75)</f>
        <v>1.3074215158371041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788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789</v>
      </c>
      <c r="C92" s="513">
        <v>321561592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790</v>
      </c>
      <c r="C93" s="546">
        <v>190427843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638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722</v>
      </c>
      <c r="C95" s="513">
        <f>+C92-C93</f>
        <v>131133749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640</v>
      </c>
      <c r="C96" s="597">
        <f>(+C92-C93)/C92</f>
        <v>0.40780289767939698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737</v>
      </c>
      <c r="C98" s="513">
        <v>18452227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723</v>
      </c>
      <c r="C99" s="513">
        <v>11552884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854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792</v>
      </c>
      <c r="C103" s="513">
        <v>9025000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793</v>
      </c>
      <c r="C104" s="513">
        <v>32811000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794</v>
      </c>
      <c r="C105" s="578">
        <f>+C103+C104</f>
        <v>41836000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795</v>
      </c>
      <c r="C107" s="513">
        <v>7720000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680</v>
      </c>
      <c r="C108" s="513">
        <v>382310000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825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826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624</v>
      </c>
      <c r="C114" s="514">
        <f>+C65</f>
        <v>351327169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827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828</v>
      </c>
      <c r="C116" s="517">
        <f>+C114+C115</f>
        <v>351327169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829</v>
      </c>
      <c r="C118" s="578">
        <v>37747172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830</v>
      </c>
      <c r="C119" s="580">
        <f>+C116+C118</f>
        <v>389074341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831</v>
      </c>
      <c r="C121" s="513">
        <v>389074000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832</v>
      </c>
      <c r="C123" s="582">
        <f>C119-C121</f>
        <v>341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833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834</v>
      </c>
      <c r="C127" s="514">
        <f>+C38</f>
        <v>1004233370</v>
      </c>
      <c r="D127" s="588"/>
      <c r="AR127" s="507"/>
    </row>
    <row r="128" spans="1:58" s="506" customFormat="1" x14ac:dyDescent="0.2">
      <c r="A128" s="512">
        <v>2</v>
      </c>
      <c r="B128" s="583" t="s">
        <v>835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836</v>
      </c>
      <c r="C129" s="581">
        <f>C127+C128</f>
        <v>1004233370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837</v>
      </c>
      <c r="C131" s="513">
        <v>1004233000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832</v>
      </c>
      <c r="C133" s="581">
        <f>C129-C131</f>
        <v>370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838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839</v>
      </c>
      <c r="C137" s="513">
        <f>C105</f>
        <v>41836000</v>
      </c>
      <c r="D137" s="588"/>
      <c r="AR137" s="507"/>
    </row>
    <row r="138" spans="1:44" s="506" customFormat="1" x14ac:dyDescent="0.2">
      <c r="A138" s="512">
        <v>2</v>
      </c>
      <c r="B138" s="511" t="s">
        <v>855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841</v>
      </c>
      <c r="C139" s="581">
        <f>C137+C138</f>
        <v>41836000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856</v>
      </c>
      <c r="C141" s="513">
        <v>41836165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843</v>
      </c>
      <c r="C143" s="581">
        <f>C139-C141</f>
        <v>-165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FILING&amp;RSAINT VINCENT`S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857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600</v>
      </c>
      <c r="D8" s="35" t="s">
        <v>600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602</v>
      </c>
      <c r="D9" s="607" t="s">
        <v>603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858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859</v>
      </c>
      <c r="C12" s="49">
        <v>2781</v>
      </c>
      <c r="D12" s="49">
        <v>2496</v>
      </c>
      <c r="E12" s="49">
        <f>+D12-C12</f>
        <v>-285</v>
      </c>
      <c r="F12" s="70">
        <f>IF(C12=0,0,+E12/C12)</f>
        <v>-0.10248112189859762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860</v>
      </c>
      <c r="C13" s="49">
        <v>2653</v>
      </c>
      <c r="D13" s="49">
        <v>2440</v>
      </c>
      <c r="E13" s="49">
        <f>+D13-C13</f>
        <v>-213</v>
      </c>
      <c r="F13" s="70">
        <f>IF(C13=0,0,+E13/C13)</f>
        <v>-8.0286468149264989E-2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861</v>
      </c>
      <c r="C15" s="51">
        <v>7662000</v>
      </c>
      <c r="D15" s="51">
        <v>9025000</v>
      </c>
      <c r="E15" s="51">
        <f>+D15-C15</f>
        <v>1363000</v>
      </c>
      <c r="F15" s="70">
        <f>IF(C15=0,0,+E15/C15)</f>
        <v>0.17789089010702167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862</v>
      </c>
      <c r="C16" s="27">
        <f>IF(C13=0,0,+C15/+C13)</f>
        <v>2888.0512627214475</v>
      </c>
      <c r="D16" s="27">
        <f>IF(D13=0,0,+D15/+D13)</f>
        <v>3698.7704918032787</v>
      </c>
      <c r="E16" s="27">
        <f>+D16-C16</f>
        <v>810.71922908183114</v>
      </c>
      <c r="F16" s="28">
        <f>IF(C16=0,0,+E16/C16)</f>
        <v>0.28071497190734768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863</v>
      </c>
      <c r="C18" s="210">
        <v>0.39656999999999998</v>
      </c>
      <c r="D18" s="210">
        <v>0.37390299999999999</v>
      </c>
      <c r="E18" s="210">
        <f>+D18-C18</f>
        <v>-2.2666999999999993E-2</v>
      </c>
      <c r="F18" s="70">
        <f>IF(C18=0,0,+E18/C18)</f>
        <v>-5.7157626648510963E-2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864</v>
      </c>
      <c r="C19" s="27">
        <f>+C15*C18</f>
        <v>3038519.34</v>
      </c>
      <c r="D19" s="27">
        <f>+D15*D18</f>
        <v>3374474.5749999997</v>
      </c>
      <c r="E19" s="27">
        <f>+D19-C19</f>
        <v>335955.23499999987</v>
      </c>
      <c r="F19" s="28">
        <f>IF(C19=0,0,+E19/C19)</f>
        <v>0.1105654423776022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865</v>
      </c>
      <c r="C20" s="27">
        <f>IF(C13=0,0,+C19/C13)</f>
        <v>1145.3144892574444</v>
      </c>
      <c r="D20" s="27">
        <f>IF(D13=0,0,+D19/D13)</f>
        <v>1382.9813831967213</v>
      </c>
      <c r="E20" s="27">
        <f>+D20-C20</f>
        <v>237.66689393927686</v>
      </c>
      <c r="F20" s="28">
        <f>IF(C20=0,0,+E20/C20)</f>
        <v>0.20751234369990929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866</v>
      </c>
      <c r="C22" s="51">
        <v>1848739</v>
      </c>
      <c r="D22" s="51">
        <v>2204488</v>
      </c>
      <c r="E22" s="51">
        <f>+D22-C22</f>
        <v>355749</v>
      </c>
      <c r="F22" s="70">
        <f>IF(C22=0,0,+E22/C22)</f>
        <v>0.19242791978748758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867</v>
      </c>
      <c r="C23" s="49">
        <v>4487566</v>
      </c>
      <c r="D23" s="49">
        <v>5254296</v>
      </c>
      <c r="E23" s="49">
        <f>+D23-C23</f>
        <v>766730</v>
      </c>
      <c r="F23" s="70">
        <f>IF(C23=0,0,+E23/C23)</f>
        <v>0.17085654004865888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868</v>
      </c>
      <c r="C24" s="49">
        <v>1325695</v>
      </c>
      <c r="D24" s="49">
        <v>1566216</v>
      </c>
      <c r="E24" s="49">
        <f>+D24-C24</f>
        <v>240521</v>
      </c>
      <c r="F24" s="70">
        <f>IF(C24=0,0,+E24/C24)</f>
        <v>0.18143011778727383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861</v>
      </c>
      <c r="C25" s="27">
        <f>+C22+C23+C24</f>
        <v>7662000</v>
      </c>
      <c r="D25" s="27">
        <f>+D22+D23+D24</f>
        <v>9025000</v>
      </c>
      <c r="E25" s="27">
        <f>+E22+E23+E24</f>
        <v>1363000</v>
      </c>
      <c r="F25" s="28">
        <f>IF(C25=0,0,+E25/C25)</f>
        <v>0.17789089010702167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869</v>
      </c>
      <c r="C27" s="49">
        <v>320</v>
      </c>
      <c r="D27" s="49">
        <v>426</v>
      </c>
      <c r="E27" s="49">
        <f>+D27-C27</f>
        <v>106</v>
      </c>
      <c r="F27" s="70">
        <f>IF(C27=0,0,+E27/C27)</f>
        <v>0.33124999999999999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870</v>
      </c>
      <c r="C28" s="49">
        <v>72</v>
      </c>
      <c r="D28" s="49">
        <v>72</v>
      </c>
      <c r="E28" s="49">
        <f>+D28-C28</f>
        <v>0</v>
      </c>
      <c r="F28" s="70">
        <f>IF(C28=0,0,+E28/C28)</f>
        <v>0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871</v>
      </c>
      <c r="C29" s="49">
        <v>880</v>
      </c>
      <c r="D29" s="49">
        <v>903</v>
      </c>
      <c r="E29" s="49">
        <f>+D29-C29</f>
        <v>23</v>
      </c>
      <c r="F29" s="70">
        <f>IF(C29=0,0,+E29/C29)</f>
        <v>2.6136363636363635E-2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872</v>
      </c>
      <c r="C30" s="49">
        <v>6834</v>
      </c>
      <c r="D30" s="49">
        <v>7071</v>
      </c>
      <c r="E30" s="49">
        <f>+D30-C30</f>
        <v>237</v>
      </c>
      <c r="F30" s="70">
        <f>IF(C30=0,0,+E30/C30)</f>
        <v>3.4679543459174712E-2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873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874</v>
      </c>
      <c r="C33" s="51">
        <v>13393972</v>
      </c>
      <c r="D33" s="51">
        <v>16070000</v>
      </c>
      <c r="E33" s="51">
        <f>+D33-C33</f>
        <v>2676028</v>
      </c>
      <c r="F33" s="70">
        <f>IF(C33=0,0,+E33/C33)</f>
        <v>0.19979345932632978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875</v>
      </c>
      <c r="C34" s="49">
        <v>9092355</v>
      </c>
      <c r="D34" s="49">
        <v>7390000</v>
      </c>
      <c r="E34" s="49">
        <f>+D34-C34</f>
        <v>-1702355</v>
      </c>
      <c r="F34" s="70">
        <f>IF(C34=0,0,+E34/C34)</f>
        <v>-0.18722927118441812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876</v>
      </c>
      <c r="C35" s="49">
        <v>8095681</v>
      </c>
      <c r="D35" s="49">
        <v>9351000</v>
      </c>
      <c r="E35" s="49">
        <f>+D35-C35</f>
        <v>1255319</v>
      </c>
      <c r="F35" s="70">
        <f>IF(C35=0,0,+E35/C35)</f>
        <v>0.15506033402254857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877</v>
      </c>
      <c r="C36" s="27">
        <f>+C33+C34+C35</f>
        <v>30582008</v>
      </c>
      <c r="D36" s="27">
        <f>+D33+D34+D35</f>
        <v>32811000</v>
      </c>
      <c r="E36" s="27">
        <f>+E33+E34+E35</f>
        <v>2228992</v>
      </c>
      <c r="F36" s="28">
        <f>IF(C36=0,0,+E36/C36)</f>
        <v>7.2885730721148193E-2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878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879</v>
      </c>
      <c r="C39" s="51">
        <f>+C25</f>
        <v>7662000</v>
      </c>
      <c r="D39" s="51">
        <f>+D25</f>
        <v>9025000</v>
      </c>
      <c r="E39" s="51">
        <f>+D39-C39</f>
        <v>1363000</v>
      </c>
      <c r="F39" s="70">
        <f>IF(C39=0,0,+E39/C39)</f>
        <v>0.17789089010702167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880</v>
      </c>
      <c r="C40" s="49">
        <f>+C36</f>
        <v>30582008</v>
      </c>
      <c r="D40" s="49">
        <f>+D36</f>
        <v>32811000</v>
      </c>
      <c r="E40" s="49">
        <f>+D40-C40</f>
        <v>2228992</v>
      </c>
      <c r="F40" s="70">
        <f>IF(C40=0,0,+E40/C40)</f>
        <v>7.2885730721148193E-2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881</v>
      </c>
      <c r="C41" s="27">
        <f>+C39+C40</f>
        <v>38244008</v>
      </c>
      <c r="D41" s="27">
        <f>+D39+D40</f>
        <v>41836000</v>
      </c>
      <c r="E41" s="27">
        <f>+E39+E40</f>
        <v>3591992</v>
      </c>
      <c r="F41" s="28">
        <f>IF(C41=0,0,+E41/C41)</f>
        <v>9.392300095743103E-2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882</v>
      </c>
      <c r="C43" s="51">
        <f t="shared" ref="C43:D45" si="0">+C22+C33</f>
        <v>15242711</v>
      </c>
      <c r="D43" s="51">
        <f t="shared" si="0"/>
        <v>18274488</v>
      </c>
      <c r="E43" s="51">
        <f>+D43-C43</f>
        <v>3031777</v>
      </c>
      <c r="F43" s="70">
        <f>IF(C43=0,0,+E43/C43)</f>
        <v>0.19890011691489787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883</v>
      </c>
      <c r="C44" s="49">
        <f t="shared" si="0"/>
        <v>13579921</v>
      </c>
      <c r="D44" s="49">
        <f t="shared" si="0"/>
        <v>12644296</v>
      </c>
      <c r="E44" s="49">
        <f>+D44-C44</f>
        <v>-935625</v>
      </c>
      <c r="F44" s="70">
        <f>IF(C44=0,0,+E44/C44)</f>
        <v>-6.8897676208867484E-2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884</v>
      </c>
      <c r="C45" s="49">
        <f t="shared" si="0"/>
        <v>9421376</v>
      </c>
      <c r="D45" s="49">
        <f t="shared" si="0"/>
        <v>10917216</v>
      </c>
      <c r="E45" s="49">
        <f>+D45-C45</f>
        <v>1495840</v>
      </c>
      <c r="F45" s="70">
        <f>IF(C45=0,0,+E45/C45)</f>
        <v>0.15877086319450576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881</v>
      </c>
      <c r="C46" s="27">
        <f>+C43+C44+C45</f>
        <v>38244008</v>
      </c>
      <c r="D46" s="27">
        <f>+D43+D44+D45</f>
        <v>41836000</v>
      </c>
      <c r="E46" s="27">
        <f>+E43+E44+E45</f>
        <v>3591992</v>
      </c>
      <c r="F46" s="28">
        <f>IF(C46=0,0,+E46/C46)</f>
        <v>9.392300095743103E-2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885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FILING&amp;RSAINT VINCENT`S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886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887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602</v>
      </c>
      <c r="D9" s="35" t="s">
        <v>603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888</v>
      </c>
      <c r="D10" s="35" t="s">
        <v>888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889</v>
      </c>
      <c r="D11" s="605" t="s">
        <v>889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890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314090520</v>
      </c>
      <c r="D15" s="51">
        <v>321561592</v>
      </c>
      <c r="E15" s="51">
        <f>+D15-C15</f>
        <v>7471072</v>
      </c>
      <c r="F15" s="70">
        <f>+E15/C15</f>
        <v>2.3786365790346046E-2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891</v>
      </c>
      <c r="C17" s="51">
        <v>128483481</v>
      </c>
      <c r="D17" s="51">
        <v>131133749</v>
      </c>
      <c r="E17" s="51">
        <f>+D17-C17</f>
        <v>2650268</v>
      </c>
      <c r="F17" s="70">
        <f>+E17/C17</f>
        <v>2.062730538877601E-2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892</v>
      </c>
      <c r="C19" s="27">
        <f>+C15-C17</f>
        <v>185607039</v>
      </c>
      <c r="D19" s="27">
        <f>+D15-D17</f>
        <v>190427843</v>
      </c>
      <c r="E19" s="27">
        <f>+D19-C19</f>
        <v>4820804</v>
      </c>
      <c r="F19" s="28">
        <f>+E19/C19</f>
        <v>2.5973174433325235E-2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893</v>
      </c>
      <c r="C21" s="628">
        <f>+C17/C15</f>
        <v>0.40906513510818476</v>
      </c>
      <c r="D21" s="628">
        <f>+D17/D15</f>
        <v>0.40780289767939698</v>
      </c>
      <c r="E21" s="628">
        <f>+D21-C21</f>
        <v>-1.2622374287877824E-3</v>
      </c>
      <c r="F21" s="28">
        <f>+E21/C21</f>
        <v>-3.0856636766513007E-3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894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FILING&amp;R&amp;12SAINT VINCENT`S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zoomScaleNormal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4" width="18.28515625" customWidth="1"/>
    <col min="5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895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896</v>
      </c>
      <c r="B6" s="632" t="s">
        <v>897</v>
      </c>
      <c r="C6" s="632" t="s">
        <v>898</v>
      </c>
      <c r="D6" s="632" t="s">
        <v>899</v>
      </c>
      <c r="E6" s="632" t="s">
        <v>900</v>
      </c>
    </row>
    <row r="7" spans="1:6" ht="37.5" customHeight="1" x14ac:dyDescent="0.25">
      <c r="A7" s="633" t="s">
        <v>8</v>
      </c>
      <c r="B7" s="634" t="s">
        <v>901</v>
      </c>
      <c r="C7" s="631" t="s">
        <v>902</v>
      </c>
      <c r="D7" s="631" t="s">
        <v>903</v>
      </c>
      <c r="E7" s="631" t="s">
        <v>904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905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906</v>
      </c>
      <c r="C10" s="641">
        <v>613526265</v>
      </c>
      <c r="D10" s="641">
        <v>662252595</v>
      </c>
      <c r="E10" s="641">
        <v>684144505</v>
      </c>
    </row>
    <row r="11" spans="1:6" ht="26.1" customHeight="1" x14ac:dyDescent="0.25">
      <c r="A11" s="639">
        <v>2</v>
      </c>
      <c r="B11" s="640" t="s">
        <v>907</v>
      </c>
      <c r="C11" s="641">
        <v>238972604</v>
      </c>
      <c r="D11" s="641">
        <v>266263033</v>
      </c>
      <c r="E11" s="641">
        <v>320088865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852498869</v>
      </c>
      <c r="D12" s="641">
        <f>+D11+D10</f>
        <v>928515628</v>
      </c>
      <c r="E12" s="641">
        <f>+E11+E10</f>
        <v>1004233370</v>
      </c>
    </row>
    <row r="13" spans="1:6" ht="26.1" customHeight="1" x14ac:dyDescent="0.25">
      <c r="A13" s="639">
        <v>4</v>
      </c>
      <c r="B13" s="640" t="s">
        <v>484</v>
      </c>
      <c r="C13" s="641">
        <v>341788581</v>
      </c>
      <c r="D13" s="641">
        <v>353724000</v>
      </c>
      <c r="E13" s="641">
        <v>389074000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908</v>
      </c>
      <c r="C16" s="641">
        <v>341987000</v>
      </c>
      <c r="D16" s="641">
        <v>351813000</v>
      </c>
      <c r="E16" s="641">
        <v>382310000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909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125447</v>
      </c>
      <c r="D19" s="644">
        <v>122812</v>
      </c>
      <c r="E19" s="644">
        <v>122440</v>
      </c>
    </row>
    <row r="20" spans="1:5" ht="26.1" customHeight="1" x14ac:dyDescent="0.25">
      <c r="A20" s="639">
        <v>2</v>
      </c>
      <c r="B20" s="640" t="s">
        <v>373</v>
      </c>
      <c r="C20" s="645">
        <v>21743</v>
      </c>
      <c r="D20" s="645">
        <v>21873</v>
      </c>
      <c r="E20" s="645">
        <v>22100</v>
      </c>
    </row>
    <row r="21" spans="1:5" ht="26.1" customHeight="1" x14ac:dyDescent="0.25">
      <c r="A21" s="639">
        <v>3</v>
      </c>
      <c r="B21" s="640" t="s">
        <v>910</v>
      </c>
      <c r="C21" s="646">
        <f>IF(C20=0,0,+C19/C20)</f>
        <v>5.7695350227659477</v>
      </c>
      <c r="D21" s="646">
        <f>IF(D20=0,0,+D19/D20)</f>
        <v>5.614776208110456</v>
      </c>
      <c r="E21" s="646">
        <f>IF(E20=0,0,+E19/E20)</f>
        <v>5.5402714932126695</v>
      </c>
    </row>
    <row r="22" spans="1:5" ht="26.1" customHeight="1" x14ac:dyDescent="0.25">
      <c r="A22" s="639">
        <v>4</v>
      </c>
      <c r="B22" s="640" t="s">
        <v>911</v>
      </c>
      <c r="C22" s="645">
        <f>IF(C10=0,0,C19*(C12/C10))</f>
        <v>174309.44968499924</v>
      </c>
      <c r="D22" s="645">
        <f>IF(D10=0,0,D19*(D12/D10))</f>
        <v>172189.37632994249</v>
      </c>
      <c r="E22" s="645">
        <f>IF(E10=0,0,E19*(E12/E10))</f>
        <v>179725.67626308714</v>
      </c>
    </row>
    <row r="23" spans="1:5" ht="26.1" customHeight="1" x14ac:dyDescent="0.25">
      <c r="A23" s="639">
        <v>0</v>
      </c>
      <c r="B23" s="640" t="s">
        <v>912</v>
      </c>
      <c r="C23" s="645">
        <f>IF(C10=0,0,C20*(C12/C10))</f>
        <v>30212.044644359277</v>
      </c>
      <c r="D23" s="645">
        <f>IF(D10=0,0,D20*(D12/D10))</f>
        <v>30667.184220310981</v>
      </c>
      <c r="E23" s="645">
        <f>IF(E10=0,0,E20*(E12/E10))</f>
        <v>32439.868061207329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913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1.3032522191049993</v>
      </c>
      <c r="D26" s="647">
        <v>1.3088669866959266</v>
      </c>
      <c r="E26" s="647">
        <v>1.3074215158371041</v>
      </c>
    </row>
    <row r="27" spans="1:5" ht="26.1" customHeight="1" x14ac:dyDescent="0.25">
      <c r="A27" s="639">
        <v>2</v>
      </c>
      <c r="B27" s="640" t="s">
        <v>914</v>
      </c>
      <c r="C27" s="645">
        <f>C19*C26</f>
        <v>163489.08113006485</v>
      </c>
      <c r="D27" s="645">
        <f>D19*D26</f>
        <v>160744.57237010013</v>
      </c>
      <c r="E27" s="645">
        <f>E19*E26</f>
        <v>160080.69039909504</v>
      </c>
    </row>
    <row r="28" spans="1:5" ht="26.1" customHeight="1" x14ac:dyDescent="0.25">
      <c r="A28" s="639">
        <v>3</v>
      </c>
      <c r="B28" s="640" t="s">
        <v>915</v>
      </c>
      <c r="C28" s="645">
        <f>C20*C26</f>
        <v>28336.613000000001</v>
      </c>
      <c r="D28" s="645">
        <f>D20*D26</f>
        <v>28628.847600000001</v>
      </c>
      <c r="E28" s="645">
        <f>E20*E26</f>
        <v>28894.015500000001</v>
      </c>
    </row>
    <row r="29" spans="1:5" ht="26.1" customHeight="1" x14ac:dyDescent="0.25">
      <c r="A29" s="639">
        <v>4</v>
      </c>
      <c r="B29" s="640" t="s">
        <v>916</v>
      </c>
      <c r="C29" s="645">
        <f>C22*C26</f>
        <v>227169.17711294649</v>
      </c>
      <c r="D29" s="645">
        <f>D22*D26</f>
        <v>225372.99013802272</v>
      </c>
      <c r="E29" s="645">
        <f>E22*E26</f>
        <v>234977.21609473403</v>
      </c>
    </row>
    <row r="30" spans="1:5" ht="26.1" customHeight="1" x14ac:dyDescent="0.25">
      <c r="A30" s="639">
        <v>5</v>
      </c>
      <c r="B30" s="640" t="s">
        <v>917</v>
      </c>
      <c r="C30" s="645">
        <f>C23*C26</f>
        <v>39373.91422646054</v>
      </c>
      <c r="D30" s="645">
        <f>D23*D26</f>
        <v>40139.265000887302</v>
      </c>
      <c r="E30" s="645">
        <f>E23*E26</f>
        <v>42412.581474139348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918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919</v>
      </c>
      <c r="C33" s="641">
        <f>IF(C19=0,0,C12/C19)</f>
        <v>6795.689566111585</v>
      </c>
      <c r="D33" s="641">
        <f>IF(D19=0,0,D12/D19)</f>
        <v>7560.4633749145032</v>
      </c>
      <c r="E33" s="641">
        <f>IF(E19=0,0,E12/E19)</f>
        <v>8201.8406566481535</v>
      </c>
    </row>
    <row r="34" spans="1:5" ht="26.1" customHeight="1" x14ac:dyDescent="0.25">
      <c r="A34" s="639">
        <v>2</v>
      </c>
      <c r="B34" s="640" t="s">
        <v>920</v>
      </c>
      <c r="C34" s="641">
        <f>IF(C20=0,0,C12/C20)</f>
        <v>39207.968955525917</v>
      </c>
      <c r="D34" s="641">
        <f>IF(D20=0,0,D12/D20)</f>
        <v>42450.309879760433</v>
      </c>
      <c r="E34" s="641">
        <f>IF(E20=0,0,E12/E20)</f>
        <v>45440.423981900451</v>
      </c>
    </row>
    <row r="35" spans="1:5" ht="26.1" customHeight="1" x14ac:dyDescent="0.25">
      <c r="A35" s="639">
        <v>3</v>
      </c>
      <c r="B35" s="640" t="s">
        <v>921</v>
      </c>
      <c r="C35" s="641">
        <f>IF(C22=0,0,C12/C22)</f>
        <v>4890.7209020542532</v>
      </c>
      <c r="D35" s="641">
        <f>IF(D22=0,0,D12/D22)</f>
        <v>5392.4094958147416</v>
      </c>
      <c r="E35" s="641">
        <f>IF(E22=0,0,E12/E22)</f>
        <v>5587.5898807579224</v>
      </c>
    </row>
    <row r="36" spans="1:5" ht="26.1" customHeight="1" x14ac:dyDescent="0.25">
      <c r="A36" s="639">
        <v>4</v>
      </c>
      <c r="B36" s="640" t="s">
        <v>922</v>
      </c>
      <c r="C36" s="641">
        <f>IF(C23=0,0,C12/C23)</f>
        <v>28217.185530975486</v>
      </c>
      <c r="D36" s="641">
        <f>IF(D23=0,0,D12/D23)</f>
        <v>30277.172541489508</v>
      </c>
      <c r="E36" s="641">
        <f>IF(E23=0,0,E12/E23)</f>
        <v>30956.764932126698</v>
      </c>
    </row>
    <row r="37" spans="1:5" ht="26.1" customHeight="1" x14ac:dyDescent="0.25">
      <c r="A37" s="639">
        <v>5</v>
      </c>
      <c r="B37" s="640" t="s">
        <v>923</v>
      </c>
      <c r="C37" s="641">
        <f>IF(C29=0,0,C12/C29)</f>
        <v>3752.7048336145758</v>
      </c>
      <c r="D37" s="641">
        <f>IF(D29=0,0,D12/D29)</f>
        <v>4119.9064157215971</v>
      </c>
      <c r="E37" s="641">
        <f>IF(E29=0,0,E12/E29)</f>
        <v>4273.7478411316724</v>
      </c>
    </row>
    <row r="38" spans="1:5" ht="26.1" customHeight="1" x14ac:dyDescent="0.25">
      <c r="A38" s="639">
        <v>6</v>
      </c>
      <c r="B38" s="640" t="s">
        <v>924</v>
      </c>
      <c r="C38" s="641">
        <f>IF(C30=0,0,C12/C30)</f>
        <v>21651.361967642355</v>
      </c>
      <c r="D38" s="641">
        <f>IF(D30=0,0,D12/D30)</f>
        <v>23132.352522635247</v>
      </c>
      <c r="E38" s="641">
        <f>IF(E30=0,0,E12/E30)</f>
        <v>23677.723333400994</v>
      </c>
    </row>
    <row r="39" spans="1:5" ht="26.1" customHeight="1" x14ac:dyDescent="0.25">
      <c r="A39" s="639">
        <v>7</v>
      </c>
      <c r="B39" s="640" t="s">
        <v>925</v>
      </c>
      <c r="C39" s="641">
        <f>IF(C22=0,0,C10/C22)</f>
        <v>3519.7533243821545</v>
      </c>
      <c r="D39" s="641">
        <f>IF(D22=0,0,D10/D22)</f>
        <v>3846.0711637111554</v>
      </c>
      <c r="E39" s="641">
        <f>IF(E22=0,0,E10/E22)</f>
        <v>3806.6041493065877</v>
      </c>
    </row>
    <row r="40" spans="1:5" ht="26.1" customHeight="1" x14ac:dyDescent="0.25">
      <c r="A40" s="639">
        <v>8</v>
      </c>
      <c r="B40" s="640" t="s">
        <v>926</v>
      </c>
      <c r="C40" s="641">
        <f>IF(C23=0,0,C10/C23)</f>
        <v>20307.340076519715</v>
      </c>
      <c r="D40" s="641">
        <f>IF(D23=0,0,D10/D23)</f>
        <v>21594.82886470509</v>
      </c>
      <c r="E40" s="641">
        <f>IF(E23=0,0,E10/E23)</f>
        <v>21089.620454348355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927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928</v>
      </c>
      <c r="C43" s="641">
        <f>IF(C19=0,0,C13/C19)</f>
        <v>2724.5656014093602</v>
      </c>
      <c r="D43" s="641">
        <f>IF(D19=0,0,D13/D19)</f>
        <v>2880.2071458815099</v>
      </c>
      <c r="E43" s="641">
        <f>IF(E19=0,0,E13/E19)</f>
        <v>3177.670695851029</v>
      </c>
    </row>
    <row r="44" spans="1:5" ht="26.1" customHeight="1" x14ac:dyDescent="0.25">
      <c r="A44" s="639">
        <v>2</v>
      </c>
      <c r="B44" s="640" t="s">
        <v>929</v>
      </c>
      <c r="C44" s="641">
        <f>IF(C20=0,0,C13/C20)</f>
        <v>15719.47665915467</v>
      </c>
      <c r="D44" s="641">
        <f>IF(D20=0,0,D13/D20)</f>
        <v>16171.718557125223</v>
      </c>
      <c r="E44" s="641">
        <f>IF(E20=0,0,E13/E20)</f>
        <v>17605.158371040725</v>
      </c>
    </row>
    <row r="45" spans="1:5" ht="26.1" customHeight="1" x14ac:dyDescent="0.25">
      <c r="A45" s="639">
        <v>3</v>
      </c>
      <c r="B45" s="640" t="s">
        <v>930</v>
      </c>
      <c r="C45" s="641">
        <f>IF(C22=0,0,C13/C22)</f>
        <v>1960.8149851752628</v>
      </c>
      <c r="D45" s="641">
        <f>IF(D22=0,0,D13/D22)</f>
        <v>2054.2730773483263</v>
      </c>
      <c r="E45" s="641">
        <f>IF(E22=0,0,E13/E22)</f>
        <v>2164.8214550627886</v>
      </c>
    </row>
    <row r="46" spans="1:5" ht="26.1" customHeight="1" x14ac:dyDescent="0.25">
      <c r="A46" s="639">
        <v>4</v>
      </c>
      <c r="B46" s="640" t="s">
        <v>931</v>
      </c>
      <c r="C46" s="641">
        <f>IF(C23=0,0,C13/C23)</f>
        <v>11312.990730132971</v>
      </c>
      <c r="D46" s="641">
        <f>IF(D23=0,0,D13/D23)</f>
        <v>11534.283599657232</v>
      </c>
      <c r="E46" s="641">
        <f>IF(E23=0,0,E13/E23)</f>
        <v>11993.698595379541</v>
      </c>
    </row>
    <row r="47" spans="1:5" ht="26.1" customHeight="1" x14ac:dyDescent="0.25">
      <c r="A47" s="639">
        <v>5</v>
      </c>
      <c r="B47" s="640" t="s">
        <v>932</v>
      </c>
      <c r="C47" s="641">
        <f>IF(C29=0,0,C13/C29)</f>
        <v>1504.5552629266504</v>
      </c>
      <c r="D47" s="641">
        <f>IF(D29=0,0,D13/D29)</f>
        <v>1569.5048452051537</v>
      </c>
      <c r="E47" s="641">
        <f>IF(E29=0,0,E13/E29)</f>
        <v>1655.7945764543397</v>
      </c>
    </row>
    <row r="48" spans="1:5" ht="26.1" customHeight="1" x14ac:dyDescent="0.25">
      <c r="A48" s="639">
        <v>6</v>
      </c>
      <c r="B48" s="640" t="s">
        <v>933</v>
      </c>
      <c r="C48" s="641">
        <f>IF(C30=0,0,C13/C30)</f>
        <v>8680.5842831421378</v>
      </c>
      <c r="D48" s="641">
        <f>IF(D30=0,0,D13/D30)</f>
        <v>8812.4184633719797</v>
      </c>
      <c r="E48" s="641">
        <f>IF(E30=0,0,E13/E30)</f>
        <v>9173.5514905461259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934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935</v>
      </c>
      <c r="C51" s="641">
        <f>IF(C19=0,0,C16/C19)</f>
        <v>2726.1472972649804</v>
      </c>
      <c r="D51" s="641">
        <f>IF(D19=0,0,D16/D19)</f>
        <v>2864.646777187897</v>
      </c>
      <c r="E51" s="641">
        <f>IF(E19=0,0,E16/E19)</f>
        <v>3122.4273113361646</v>
      </c>
    </row>
    <row r="52" spans="1:6" ht="26.1" customHeight="1" x14ac:dyDescent="0.25">
      <c r="A52" s="639">
        <v>2</v>
      </c>
      <c r="B52" s="640" t="s">
        <v>936</v>
      </c>
      <c r="C52" s="641">
        <f>IF(C20=0,0,C16/C20)</f>
        <v>15728.602308789035</v>
      </c>
      <c r="D52" s="641">
        <f>IF(D20=0,0,D16/D20)</f>
        <v>16084.350569194898</v>
      </c>
      <c r="E52" s="641">
        <f>IF(E20=0,0,E16/E20)</f>
        <v>17299.095022624435</v>
      </c>
    </row>
    <row r="53" spans="1:6" ht="26.1" customHeight="1" x14ac:dyDescent="0.25">
      <c r="A53" s="639">
        <v>3</v>
      </c>
      <c r="B53" s="640" t="s">
        <v>937</v>
      </c>
      <c r="C53" s="641">
        <f>IF(C22=0,0,C16/C22)</f>
        <v>1961.9532998240588</v>
      </c>
      <c r="D53" s="641">
        <f>IF(D22=0,0,D16/D22)</f>
        <v>2043.1748316799162</v>
      </c>
      <c r="E53" s="641">
        <f>IF(E22=0,0,E16/E22)</f>
        <v>2127.1863205586978</v>
      </c>
    </row>
    <row r="54" spans="1:6" ht="26.1" customHeight="1" x14ac:dyDescent="0.25">
      <c r="A54" s="639">
        <v>4</v>
      </c>
      <c r="B54" s="640" t="s">
        <v>938</v>
      </c>
      <c r="C54" s="641">
        <f>IF(C23=0,0,C16/C23)</f>
        <v>11319.558276366128</v>
      </c>
      <c r="D54" s="641">
        <f>IF(D23=0,0,D16/D23)</f>
        <v>11471.969433926479</v>
      </c>
      <c r="E54" s="641">
        <f>IF(E23=0,0,E16/E23)</f>
        <v>11785.189732543302</v>
      </c>
    </row>
    <row r="55" spans="1:6" ht="26.1" customHeight="1" x14ac:dyDescent="0.25">
      <c r="A55" s="639">
        <v>5</v>
      </c>
      <c r="B55" s="640" t="s">
        <v>939</v>
      </c>
      <c r="C55" s="641">
        <f>IF(C29=0,0,C16/C29)</f>
        <v>1505.4287044847072</v>
      </c>
      <c r="D55" s="641">
        <f>IF(D29=0,0,D16/D29)</f>
        <v>1561.0255682570614</v>
      </c>
      <c r="E55" s="641">
        <f>IF(E29=0,0,E16/E29)</f>
        <v>1627.0088068703092</v>
      </c>
    </row>
    <row r="56" spans="1:6" ht="26.1" customHeight="1" x14ac:dyDescent="0.25">
      <c r="A56" s="639">
        <v>6</v>
      </c>
      <c r="B56" s="640" t="s">
        <v>940</v>
      </c>
      <c r="C56" s="641">
        <f>IF(C30=0,0,C16/C30)</f>
        <v>8685.6236348016864</v>
      </c>
      <c r="D56" s="641">
        <f>IF(D30=0,0,D16/D30)</f>
        <v>8764.8092209018523</v>
      </c>
      <c r="E56" s="641">
        <f>IF(E30=0,0,E16/E30)</f>
        <v>9014.0705119095328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941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942</v>
      </c>
      <c r="C59" s="649">
        <v>59660307</v>
      </c>
      <c r="D59" s="649">
        <v>61447266</v>
      </c>
      <c r="E59" s="649">
        <v>62345375</v>
      </c>
    </row>
    <row r="60" spans="1:6" ht="26.1" customHeight="1" x14ac:dyDescent="0.25">
      <c r="A60" s="639">
        <v>2</v>
      </c>
      <c r="B60" s="640" t="s">
        <v>943</v>
      </c>
      <c r="C60" s="649">
        <v>13620400</v>
      </c>
      <c r="D60" s="649">
        <v>16610102</v>
      </c>
      <c r="E60" s="649">
        <v>17202845</v>
      </c>
    </row>
    <row r="61" spans="1:6" ht="26.1" customHeight="1" x14ac:dyDescent="0.25">
      <c r="A61" s="650">
        <v>3</v>
      </c>
      <c r="B61" s="651" t="s">
        <v>944</v>
      </c>
      <c r="C61" s="652">
        <f>C59+C60</f>
        <v>73280707</v>
      </c>
      <c r="D61" s="652">
        <f>D59+D60</f>
        <v>78057368</v>
      </c>
      <c r="E61" s="652">
        <f>E59+E60</f>
        <v>79548220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945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946</v>
      </c>
      <c r="C64" s="641">
        <v>23691353</v>
      </c>
      <c r="D64" s="641">
        <v>14734157</v>
      </c>
      <c r="E64" s="649">
        <v>10691645</v>
      </c>
      <c r="F64" s="653"/>
    </row>
    <row r="65" spans="1:6" ht="26.1" customHeight="1" x14ac:dyDescent="0.25">
      <c r="A65" s="639">
        <v>2</v>
      </c>
      <c r="B65" s="640" t="s">
        <v>947</v>
      </c>
      <c r="C65" s="649">
        <v>5408717</v>
      </c>
      <c r="D65" s="649">
        <v>3982860</v>
      </c>
      <c r="E65" s="649">
        <v>2950126</v>
      </c>
      <c r="F65" s="653"/>
    </row>
    <row r="66" spans="1:6" ht="26.1" customHeight="1" x14ac:dyDescent="0.25">
      <c r="A66" s="650">
        <v>3</v>
      </c>
      <c r="B66" s="651" t="s">
        <v>948</v>
      </c>
      <c r="C66" s="654">
        <f>C64+C65</f>
        <v>29100070</v>
      </c>
      <c r="D66" s="654">
        <f>D64+D65</f>
        <v>18717017</v>
      </c>
      <c r="E66" s="654">
        <f>E64+E65</f>
        <v>13641771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949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950</v>
      </c>
      <c r="C69" s="649">
        <v>63525340</v>
      </c>
      <c r="D69" s="649">
        <v>66164577</v>
      </c>
      <c r="E69" s="649">
        <v>69982980</v>
      </c>
    </row>
    <row r="70" spans="1:6" ht="26.1" customHeight="1" x14ac:dyDescent="0.25">
      <c r="A70" s="639">
        <v>2</v>
      </c>
      <c r="B70" s="640" t="s">
        <v>951</v>
      </c>
      <c r="C70" s="649">
        <v>14502883</v>
      </c>
      <c r="D70" s="649">
        <v>17885038</v>
      </c>
      <c r="E70" s="649">
        <v>19310029</v>
      </c>
    </row>
    <row r="71" spans="1:6" ht="26.1" customHeight="1" x14ac:dyDescent="0.25">
      <c r="A71" s="650">
        <v>3</v>
      </c>
      <c r="B71" s="651" t="s">
        <v>952</v>
      </c>
      <c r="C71" s="652">
        <f>C69+C70</f>
        <v>78028223</v>
      </c>
      <c r="D71" s="652">
        <f>D69+D70</f>
        <v>84049615</v>
      </c>
      <c r="E71" s="652">
        <f>E69+E70</f>
        <v>89293009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953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954</v>
      </c>
      <c r="C75" s="641">
        <f t="shared" ref="C75:E76" si="0">+C59+C64+C69</f>
        <v>146877000</v>
      </c>
      <c r="D75" s="641">
        <f t="shared" si="0"/>
        <v>142346000</v>
      </c>
      <c r="E75" s="641">
        <f t="shared" si="0"/>
        <v>143020000</v>
      </c>
    </row>
    <row r="76" spans="1:6" ht="26.1" customHeight="1" x14ac:dyDescent="0.25">
      <c r="A76" s="639">
        <v>2</v>
      </c>
      <c r="B76" s="640" t="s">
        <v>955</v>
      </c>
      <c r="C76" s="641">
        <f t="shared" si="0"/>
        <v>33532000</v>
      </c>
      <c r="D76" s="641">
        <f t="shared" si="0"/>
        <v>38478000</v>
      </c>
      <c r="E76" s="641">
        <f t="shared" si="0"/>
        <v>39463000</v>
      </c>
    </row>
    <row r="77" spans="1:6" ht="26.1" customHeight="1" x14ac:dyDescent="0.25">
      <c r="A77" s="650">
        <v>3</v>
      </c>
      <c r="B77" s="651" t="s">
        <v>953</v>
      </c>
      <c r="C77" s="654">
        <f>C75+C76</f>
        <v>180409000</v>
      </c>
      <c r="D77" s="654">
        <f>D75+D76</f>
        <v>180824000</v>
      </c>
      <c r="E77" s="654">
        <f>E75+E76</f>
        <v>182483000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956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766.9</v>
      </c>
      <c r="D80" s="646">
        <v>740.3</v>
      </c>
      <c r="E80" s="646">
        <v>783.7</v>
      </c>
    </row>
    <row r="81" spans="1:5" ht="26.1" customHeight="1" x14ac:dyDescent="0.25">
      <c r="A81" s="639">
        <v>2</v>
      </c>
      <c r="B81" s="640" t="s">
        <v>584</v>
      </c>
      <c r="C81" s="646">
        <v>143.80000000000001</v>
      </c>
      <c r="D81" s="646">
        <v>95.9</v>
      </c>
      <c r="E81" s="646">
        <v>77.099999999999994</v>
      </c>
    </row>
    <row r="82" spans="1:5" ht="26.1" customHeight="1" x14ac:dyDescent="0.25">
      <c r="A82" s="639">
        <v>3</v>
      </c>
      <c r="B82" s="640" t="s">
        <v>957</v>
      </c>
      <c r="C82" s="646">
        <v>1138.9000000000001</v>
      </c>
      <c r="D82" s="646">
        <v>1183.9000000000001</v>
      </c>
      <c r="E82" s="646">
        <v>1186.4000000000001</v>
      </c>
    </row>
    <row r="83" spans="1:5" ht="26.1" customHeight="1" x14ac:dyDescent="0.25">
      <c r="A83" s="650">
        <v>4</v>
      </c>
      <c r="B83" s="651" t="s">
        <v>956</v>
      </c>
      <c r="C83" s="656">
        <f>C80+C81+C82</f>
        <v>2049.6000000000004</v>
      </c>
      <c r="D83" s="656">
        <f>D80+D81+D82</f>
        <v>2020.1</v>
      </c>
      <c r="E83" s="656">
        <f>E80+E81+E82</f>
        <v>2047.2000000000003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958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959</v>
      </c>
      <c r="C86" s="649">
        <f>IF(C80=0,0,C59/C80)</f>
        <v>77794.11526926588</v>
      </c>
      <c r="D86" s="649">
        <f>IF(D80=0,0,D59/D80)</f>
        <v>83003.196001620963</v>
      </c>
      <c r="E86" s="649">
        <f>IF(E80=0,0,E59/E80)</f>
        <v>79552.603036876346</v>
      </c>
    </row>
    <row r="87" spans="1:5" ht="26.1" customHeight="1" x14ac:dyDescent="0.25">
      <c r="A87" s="639">
        <v>2</v>
      </c>
      <c r="B87" s="640" t="s">
        <v>960</v>
      </c>
      <c r="C87" s="649">
        <f>IF(C80=0,0,C60/C80)</f>
        <v>17760.333811448691</v>
      </c>
      <c r="D87" s="649">
        <f>IF(D80=0,0,D60/D80)</f>
        <v>22436.987707686076</v>
      </c>
      <c r="E87" s="649">
        <f>IF(E80=0,0,E60/E80)</f>
        <v>21950.803879035342</v>
      </c>
    </row>
    <row r="88" spans="1:5" ht="26.1" customHeight="1" x14ac:dyDescent="0.25">
      <c r="A88" s="650">
        <v>3</v>
      </c>
      <c r="B88" s="651" t="s">
        <v>961</v>
      </c>
      <c r="C88" s="652">
        <f>+C86+C87</f>
        <v>95554.449080714578</v>
      </c>
      <c r="D88" s="652">
        <f>+D86+D87</f>
        <v>105440.18370930704</v>
      </c>
      <c r="E88" s="652">
        <f>+E86+E87</f>
        <v>101503.40691591169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962</v>
      </c>
    </row>
    <row r="91" spans="1:5" ht="26.1" customHeight="1" x14ac:dyDescent="0.25">
      <c r="A91" s="639">
        <v>1</v>
      </c>
      <c r="B91" s="640" t="s">
        <v>963</v>
      </c>
      <c r="C91" s="641">
        <f>IF(C81=0,0,C64/C81)</f>
        <v>164752.10709318495</v>
      </c>
      <c r="D91" s="641">
        <f>IF(D81=0,0,D64/D81)</f>
        <v>153640.84462982274</v>
      </c>
      <c r="E91" s="641">
        <f>IF(E81=0,0,E64/E81)</f>
        <v>138672.43839169911</v>
      </c>
    </row>
    <row r="92" spans="1:5" ht="26.1" customHeight="1" x14ac:dyDescent="0.25">
      <c r="A92" s="639">
        <v>2</v>
      </c>
      <c r="B92" s="640" t="s">
        <v>964</v>
      </c>
      <c r="C92" s="641">
        <f>IF(C81=0,0,C65/C81)</f>
        <v>37612.774687065365</v>
      </c>
      <c r="D92" s="641">
        <f>IF(D81=0,0,D65/D81)</f>
        <v>41531.386861313869</v>
      </c>
      <c r="E92" s="641">
        <f>IF(E81=0,0,E65/E81)</f>
        <v>38263.631647211419</v>
      </c>
    </row>
    <row r="93" spans="1:5" ht="26.1" customHeight="1" x14ac:dyDescent="0.25">
      <c r="A93" s="650">
        <v>3</v>
      </c>
      <c r="B93" s="651" t="s">
        <v>965</v>
      </c>
      <c r="C93" s="654">
        <f>+C91+C92</f>
        <v>202364.88178025032</v>
      </c>
      <c r="D93" s="654">
        <f>+D91+D92</f>
        <v>195172.2314911366</v>
      </c>
      <c r="E93" s="654">
        <f>+E91+E92</f>
        <v>176936.07003891052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966</v>
      </c>
      <c r="B95" s="642" t="s">
        <v>967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968</v>
      </c>
      <c r="C96" s="649">
        <f>IF(C82=0,0,C69/C82)</f>
        <v>55777.803143383964</v>
      </c>
      <c r="D96" s="649">
        <f>IF(D82=0,0,D69/D82)</f>
        <v>55886.964270630961</v>
      </c>
      <c r="E96" s="649">
        <f>IF(E82=0,0,E69/E82)</f>
        <v>58987.677006068778</v>
      </c>
    </row>
    <row r="97" spans="1:5" ht="26.1" customHeight="1" x14ac:dyDescent="0.25">
      <c r="A97" s="639">
        <v>2</v>
      </c>
      <c r="B97" s="640" t="s">
        <v>969</v>
      </c>
      <c r="C97" s="649">
        <f>IF(C82=0,0,C70/C82)</f>
        <v>12734.114496443935</v>
      </c>
      <c r="D97" s="649">
        <f>IF(D82=0,0,D70/D82)</f>
        <v>15106.882338035306</v>
      </c>
      <c r="E97" s="649">
        <f>IF(E82=0,0,E70/E82)</f>
        <v>16276.153910991232</v>
      </c>
    </row>
    <row r="98" spans="1:5" ht="26.1" customHeight="1" x14ac:dyDescent="0.25">
      <c r="A98" s="650">
        <v>3</v>
      </c>
      <c r="B98" s="651" t="s">
        <v>970</v>
      </c>
      <c r="C98" s="654">
        <f>+C96+C97</f>
        <v>68511.917639827894</v>
      </c>
      <c r="D98" s="654">
        <f>+D96+D97</f>
        <v>70993.846608666267</v>
      </c>
      <c r="E98" s="654">
        <f>+E96+E97</f>
        <v>75263.830917060011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971</v>
      </c>
      <c r="B100" s="642" t="s">
        <v>972</v>
      </c>
    </row>
    <row r="101" spans="1:5" ht="26.1" customHeight="1" x14ac:dyDescent="0.25">
      <c r="A101" s="639">
        <v>1</v>
      </c>
      <c r="B101" s="640" t="s">
        <v>973</v>
      </c>
      <c r="C101" s="641">
        <f>IF(C83=0,0,C75/C83)</f>
        <v>71661.299765807955</v>
      </c>
      <c r="D101" s="641">
        <f>IF(D83=0,0,D75/D83)</f>
        <v>70464.82847383793</v>
      </c>
      <c r="E101" s="641">
        <f>IF(E83=0,0,E75/E83)</f>
        <v>69861.273935130899</v>
      </c>
    </row>
    <row r="102" spans="1:5" ht="26.1" customHeight="1" x14ac:dyDescent="0.25">
      <c r="A102" s="639">
        <v>2</v>
      </c>
      <c r="B102" s="640" t="s">
        <v>974</v>
      </c>
      <c r="C102" s="658">
        <f>IF(C83=0,0,C76/C83)</f>
        <v>16360.265417642464</v>
      </c>
      <c r="D102" s="658">
        <f>IF(D83=0,0,D76/D83)</f>
        <v>19047.571902381071</v>
      </c>
      <c r="E102" s="658">
        <f>IF(E83=0,0,E76/E83)</f>
        <v>19276.572880031261</v>
      </c>
    </row>
    <row r="103" spans="1:5" ht="26.1" customHeight="1" x14ac:dyDescent="0.25">
      <c r="A103" s="650">
        <v>3</v>
      </c>
      <c r="B103" s="651" t="s">
        <v>972</v>
      </c>
      <c r="C103" s="654">
        <f>+C101+C102</f>
        <v>88021.565183450424</v>
      </c>
      <c r="D103" s="654">
        <f>+D101+D102</f>
        <v>89512.400376218997</v>
      </c>
      <c r="E103" s="654">
        <f>+E101+E102</f>
        <v>89137.846815162164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975</v>
      </c>
      <c r="B107" s="634" t="s">
        <v>976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977</v>
      </c>
      <c r="C108" s="641">
        <f>IF(C19=0,0,C77/C19)</f>
        <v>1438.1292498027055</v>
      </c>
      <c r="D108" s="641">
        <f>IF(D19=0,0,D77/D19)</f>
        <v>1472.3642640784287</v>
      </c>
      <c r="E108" s="641">
        <f>IF(E19=0,0,E77/E19)</f>
        <v>1490.3871283894152</v>
      </c>
    </row>
    <row r="109" spans="1:5" ht="26.1" customHeight="1" x14ac:dyDescent="0.25">
      <c r="A109" s="639">
        <v>2</v>
      </c>
      <c r="B109" s="640" t="s">
        <v>978</v>
      </c>
      <c r="C109" s="641">
        <f>IF(C20=0,0,C77/C20)</f>
        <v>8297.3370740008286</v>
      </c>
      <c r="D109" s="641">
        <f>IF(D20=0,0,D77/D20)</f>
        <v>8266.9958396196216</v>
      </c>
      <c r="E109" s="641">
        <f>IF(E20=0,0,E77/E20)</f>
        <v>8257.1493212669684</v>
      </c>
    </row>
    <row r="110" spans="1:5" ht="26.1" customHeight="1" x14ac:dyDescent="0.25">
      <c r="A110" s="639">
        <v>3</v>
      </c>
      <c r="B110" s="640" t="s">
        <v>979</v>
      </c>
      <c r="C110" s="641">
        <f>IF(C22=0,0,C77/C22)</f>
        <v>1034.9926543054521</v>
      </c>
      <c r="D110" s="641">
        <f>IF(D22=0,0,D77/D22)</f>
        <v>1050.1460883017091</v>
      </c>
      <c r="E110" s="641">
        <f>IF(E22=0,0,E77/E22)</f>
        <v>1015.3418464976402</v>
      </c>
    </row>
    <row r="111" spans="1:5" ht="26.1" customHeight="1" x14ac:dyDescent="0.25">
      <c r="A111" s="639">
        <v>4</v>
      </c>
      <c r="B111" s="640" t="s">
        <v>980</v>
      </c>
      <c r="C111" s="641">
        <f>IF(C23=0,0,C77/C23)</f>
        <v>5971.4263673207952</v>
      </c>
      <c r="D111" s="641">
        <f>IF(D23=0,0,D77/D23)</f>
        <v>5896.3352716366981</v>
      </c>
      <c r="E111" s="641">
        <f>IF(E23=0,0,E77/E23)</f>
        <v>5625.269488016791</v>
      </c>
    </row>
    <row r="112" spans="1:5" ht="26.1" customHeight="1" x14ac:dyDescent="0.25">
      <c r="A112" s="639">
        <v>5</v>
      </c>
      <c r="B112" s="640" t="s">
        <v>981</v>
      </c>
      <c r="C112" s="641">
        <f>IF(C29=0,0,C77/C29)</f>
        <v>794.16143639197253</v>
      </c>
      <c r="D112" s="641">
        <f>IF(D29=0,0,D77/D29)</f>
        <v>802.33216894917143</v>
      </c>
      <c r="E112" s="641">
        <f>IF(E29=0,0,E77/E29)</f>
        <v>776.59869766449901</v>
      </c>
    </row>
    <row r="113" spans="1:7" ht="25.5" customHeight="1" x14ac:dyDescent="0.25">
      <c r="A113" s="639">
        <v>6</v>
      </c>
      <c r="B113" s="640" t="s">
        <v>982</v>
      </c>
      <c r="C113" s="641">
        <f>IF(C30=0,0,C77/C30)</f>
        <v>4581.9422209935974</v>
      </c>
      <c r="D113" s="641">
        <f>IF(D30=0,0,D77/D30)</f>
        <v>4504.9155732174659</v>
      </c>
      <c r="E113" s="641">
        <f>IF(E30=0,0,E77/E30)</f>
        <v>4302.5676263367086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FILING&amp;R&amp;12SAINT VINCENT`S MEDICAL CENTER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928516000</v>
      </c>
      <c r="D12" s="51">
        <v>1004233000</v>
      </c>
      <c r="E12" s="51">
        <f t="shared" ref="E12:E19" si="0">D12-C12</f>
        <v>75717000</v>
      </c>
      <c r="F12" s="70">
        <f t="shared" ref="F12:F19" si="1">IF(C12=0,0,E12/C12)</f>
        <v>8.154625229936803E-2</v>
      </c>
    </row>
    <row r="13" spans="1:8" ht="23.1" customHeight="1" x14ac:dyDescent="0.2">
      <c r="A13" s="25">
        <v>2</v>
      </c>
      <c r="B13" s="48" t="s">
        <v>72</v>
      </c>
      <c r="C13" s="51">
        <v>567130000</v>
      </c>
      <c r="D13" s="51">
        <v>606134000</v>
      </c>
      <c r="E13" s="51">
        <f t="shared" si="0"/>
        <v>39004000</v>
      </c>
      <c r="F13" s="70">
        <f t="shared" si="1"/>
        <v>6.8774355086135455E-2</v>
      </c>
    </row>
    <row r="14" spans="1:8" ht="23.1" customHeight="1" x14ac:dyDescent="0.2">
      <c r="A14" s="25">
        <v>3</v>
      </c>
      <c r="B14" s="48" t="s">
        <v>73</v>
      </c>
      <c r="C14" s="51">
        <v>7662000</v>
      </c>
      <c r="D14" s="51">
        <v>9025000</v>
      </c>
      <c r="E14" s="51">
        <f t="shared" si="0"/>
        <v>1363000</v>
      </c>
      <c r="F14" s="70">
        <f t="shared" si="1"/>
        <v>0.17789089010702167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353724000</v>
      </c>
      <c r="D16" s="27">
        <f>D12-D13-D14-D15</f>
        <v>389074000</v>
      </c>
      <c r="E16" s="27">
        <f t="shared" si="0"/>
        <v>35350000</v>
      </c>
      <c r="F16" s="28">
        <f t="shared" si="1"/>
        <v>9.9936673790865196E-2</v>
      </c>
    </row>
    <row r="17" spans="1:7" ht="23.1" customHeight="1" x14ac:dyDescent="0.2">
      <c r="A17" s="25">
        <v>5</v>
      </c>
      <c r="B17" s="48" t="s">
        <v>76</v>
      </c>
      <c r="C17" s="51">
        <v>12404000</v>
      </c>
      <c r="D17" s="51">
        <v>7720000</v>
      </c>
      <c r="E17" s="51">
        <f t="shared" si="0"/>
        <v>-4684000</v>
      </c>
      <c r="F17" s="70">
        <f t="shared" si="1"/>
        <v>-0.37762012254111577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446000</v>
      </c>
      <c r="D18" s="51">
        <v>243000</v>
      </c>
      <c r="E18" s="51">
        <f t="shared" si="0"/>
        <v>-203000</v>
      </c>
      <c r="F18" s="70">
        <f t="shared" si="1"/>
        <v>-0.45515695067264572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366574000</v>
      </c>
      <c r="D19" s="27">
        <f>SUM(D16:D18)</f>
        <v>397037000</v>
      </c>
      <c r="E19" s="27">
        <f t="shared" si="0"/>
        <v>30463000</v>
      </c>
      <c r="F19" s="28">
        <f t="shared" si="1"/>
        <v>8.3101911210287691E-2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142346000</v>
      </c>
      <c r="D22" s="51">
        <v>143020000</v>
      </c>
      <c r="E22" s="51">
        <f t="shared" ref="E22:E31" si="2">D22-C22</f>
        <v>674000</v>
      </c>
      <c r="F22" s="70">
        <f t="shared" ref="F22:F31" si="3">IF(C22=0,0,E22/C22)</f>
        <v>4.734941621120369E-3</v>
      </c>
    </row>
    <row r="23" spans="1:7" ht="23.1" customHeight="1" x14ac:dyDescent="0.2">
      <c r="A23" s="25">
        <v>2</v>
      </c>
      <c r="B23" s="48" t="s">
        <v>81</v>
      </c>
      <c r="C23" s="51">
        <v>38478000</v>
      </c>
      <c r="D23" s="51">
        <v>39463000</v>
      </c>
      <c r="E23" s="51">
        <f t="shared" si="2"/>
        <v>985000</v>
      </c>
      <c r="F23" s="70">
        <f t="shared" si="3"/>
        <v>2.5599043609335206E-2</v>
      </c>
    </row>
    <row r="24" spans="1:7" ht="23.1" customHeight="1" x14ac:dyDescent="0.2">
      <c r="A24" s="25">
        <v>3</v>
      </c>
      <c r="B24" s="48" t="s">
        <v>82</v>
      </c>
      <c r="C24" s="51">
        <v>2362000</v>
      </c>
      <c r="D24" s="51">
        <v>3123000</v>
      </c>
      <c r="E24" s="51">
        <f t="shared" si="2"/>
        <v>761000</v>
      </c>
      <c r="F24" s="70">
        <f t="shared" si="3"/>
        <v>0.32218458933107536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53377000</v>
      </c>
      <c r="D25" s="51">
        <v>51277000</v>
      </c>
      <c r="E25" s="51">
        <f t="shared" si="2"/>
        <v>-2100000</v>
      </c>
      <c r="F25" s="70">
        <f t="shared" si="3"/>
        <v>-3.9342788092249469E-2</v>
      </c>
    </row>
    <row r="26" spans="1:7" ht="23.1" customHeight="1" x14ac:dyDescent="0.2">
      <c r="A26" s="25">
        <v>5</v>
      </c>
      <c r="B26" s="48" t="s">
        <v>84</v>
      </c>
      <c r="C26" s="51">
        <v>22115000</v>
      </c>
      <c r="D26" s="51">
        <v>22895000</v>
      </c>
      <c r="E26" s="51">
        <f t="shared" si="2"/>
        <v>780000</v>
      </c>
      <c r="F26" s="70">
        <f t="shared" si="3"/>
        <v>3.5270178611801942E-2</v>
      </c>
    </row>
    <row r="27" spans="1:7" ht="23.1" customHeight="1" x14ac:dyDescent="0.2">
      <c r="A27" s="25">
        <v>6</v>
      </c>
      <c r="B27" s="48" t="s">
        <v>85</v>
      </c>
      <c r="C27" s="51">
        <v>21127000</v>
      </c>
      <c r="D27" s="51">
        <v>32811000</v>
      </c>
      <c r="E27" s="51">
        <f t="shared" si="2"/>
        <v>11684000</v>
      </c>
      <c r="F27" s="70">
        <f t="shared" si="3"/>
        <v>0.55303639892081224</v>
      </c>
    </row>
    <row r="28" spans="1:7" ht="23.1" customHeight="1" x14ac:dyDescent="0.2">
      <c r="A28" s="25">
        <v>7</v>
      </c>
      <c r="B28" s="48" t="s">
        <v>86</v>
      </c>
      <c r="C28" s="51">
        <v>2186000</v>
      </c>
      <c r="D28" s="51">
        <v>2562000</v>
      </c>
      <c r="E28" s="51">
        <f t="shared" si="2"/>
        <v>376000</v>
      </c>
      <c r="F28" s="70">
        <f t="shared" si="3"/>
        <v>0.17200365965233302</v>
      </c>
    </row>
    <row r="29" spans="1:7" ht="23.1" customHeight="1" x14ac:dyDescent="0.2">
      <c r="A29" s="25">
        <v>8</v>
      </c>
      <c r="B29" s="48" t="s">
        <v>87</v>
      </c>
      <c r="C29" s="51">
        <v>7005000</v>
      </c>
      <c r="D29" s="51">
        <v>3148000</v>
      </c>
      <c r="E29" s="51">
        <f t="shared" si="2"/>
        <v>-3857000</v>
      </c>
      <c r="F29" s="70">
        <f t="shared" si="3"/>
        <v>-0.5506067094932191</v>
      </c>
    </row>
    <row r="30" spans="1:7" ht="23.1" customHeight="1" x14ac:dyDescent="0.2">
      <c r="A30" s="25">
        <v>9</v>
      </c>
      <c r="B30" s="48" t="s">
        <v>88</v>
      </c>
      <c r="C30" s="51">
        <v>62817000</v>
      </c>
      <c r="D30" s="51">
        <v>84011000</v>
      </c>
      <c r="E30" s="51">
        <f t="shared" si="2"/>
        <v>21194000</v>
      </c>
      <c r="F30" s="70">
        <f t="shared" si="3"/>
        <v>0.33739274400241975</v>
      </c>
    </row>
    <row r="31" spans="1:7" ht="23.1" customHeight="1" x14ac:dyDescent="0.25">
      <c r="A31" s="29"/>
      <c r="B31" s="71" t="s">
        <v>89</v>
      </c>
      <c r="C31" s="27">
        <f>SUM(C22:C30)</f>
        <v>351813000</v>
      </c>
      <c r="D31" s="27">
        <f>SUM(D22:D30)</f>
        <v>382310000</v>
      </c>
      <c r="E31" s="27">
        <f t="shared" si="2"/>
        <v>30497000</v>
      </c>
      <c r="F31" s="28">
        <f t="shared" si="3"/>
        <v>8.668525608775117E-2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14761000</v>
      </c>
      <c r="D33" s="27">
        <f>+D19-D31</f>
        <v>14727000</v>
      </c>
      <c r="E33" s="27">
        <f>D33-C33</f>
        <v>-34000</v>
      </c>
      <c r="F33" s="28">
        <f>IF(C33=0,0,E33/C33)</f>
        <v>-2.3033669805568729E-3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26784000</v>
      </c>
      <c r="D36" s="51">
        <v>7829000</v>
      </c>
      <c r="E36" s="51">
        <f>D36-C36</f>
        <v>-18955000</v>
      </c>
      <c r="F36" s="70">
        <f>IF(C36=0,0,E36/C36)</f>
        <v>-0.70769862604540024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-780000</v>
      </c>
      <c r="D38" s="51">
        <v>-694000</v>
      </c>
      <c r="E38" s="51">
        <f>D38-C38</f>
        <v>86000</v>
      </c>
      <c r="F38" s="70">
        <f>IF(C38=0,0,E38/C38)</f>
        <v>-0.11025641025641025</v>
      </c>
    </row>
    <row r="39" spans="1:6" ht="23.1" customHeight="1" x14ac:dyDescent="0.25">
      <c r="A39" s="20"/>
      <c r="B39" s="71" t="s">
        <v>95</v>
      </c>
      <c r="C39" s="27">
        <f>SUM(C36:C38)</f>
        <v>26004000</v>
      </c>
      <c r="D39" s="27">
        <f>SUM(D36:D38)</f>
        <v>7135000</v>
      </c>
      <c r="E39" s="27">
        <f>D39-C39</f>
        <v>-18869000</v>
      </c>
      <c r="F39" s="28">
        <f>IF(C39=0,0,E39/C39)</f>
        <v>-0.7256191355176127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40765000</v>
      </c>
      <c r="D41" s="27">
        <f>D33+D39</f>
        <v>21862000</v>
      </c>
      <c r="E41" s="27">
        <f>D41-C41</f>
        <v>-18903000</v>
      </c>
      <c r="F41" s="28">
        <f>IF(C41=0,0,E41/C41)</f>
        <v>-0.46370661106341227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40765000</v>
      </c>
      <c r="D48" s="27">
        <f>D41+D46</f>
        <v>21862000</v>
      </c>
      <c r="E48" s="27">
        <f>D48-C48</f>
        <v>-18903000</v>
      </c>
      <c r="F48" s="28">
        <f>IF(C48=0,0,E48/C48)</f>
        <v>-0.46370661106341227</v>
      </c>
    </row>
    <row r="49" spans="1:6" ht="23.1" customHeight="1" x14ac:dyDescent="0.2">
      <c r="A49" s="44"/>
      <c r="B49" s="48" t="s">
        <v>102</v>
      </c>
      <c r="C49" s="51">
        <v>932801</v>
      </c>
      <c r="D49" s="51">
        <v>580330</v>
      </c>
      <c r="E49" s="51">
        <f>D49-C49</f>
        <v>-352471</v>
      </c>
      <c r="F49" s="70">
        <f>IF(C49=0,0,E49/C49)</f>
        <v>-0.37786301687069374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FILING&amp;RSAINT VINCENT`S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2" style="75" bestFit="1" customWidth="1"/>
    <col min="5" max="5" width="20" style="75" bestFit="1" customWidth="1"/>
    <col min="6" max="6" width="17.855468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255540233</v>
      </c>
      <c r="D14" s="97">
        <v>264964087</v>
      </c>
      <c r="E14" s="97">
        <f t="shared" ref="E14:E25" si="0">D14-C14</f>
        <v>9423854</v>
      </c>
      <c r="F14" s="98">
        <f t="shared" ref="F14:F25" si="1">IF(C14=0,0,E14/C14)</f>
        <v>3.6878161569180383E-2</v>
      </c>
    </row>
    <row r="15" spans="1:6" ht="18" customHeight="1" x14ac:dyDescent="0.25">
      <c r="A15" s="99">
        <v>2</v>
      </c>
      <c r="B15" s="100" t="s">
        <v>113</v>
      </c>
      <c r="C15" s="97">
        <v>103643190</v>
      </c>
      <c r="D15" s="97">
        <v>112248748</v>
      </c>
      <c r="E15" s="97">
        <f t="shared" si="0"/>
        <v>8605558</v>
      </c>
      <c r="F15" s="98">
        <f t="shared" si="1"/>
        <v>8.303061686928008E-2</v>
      </c>
    </row>
    <row r="16" spans="1:6" ht="18" customHeight="1" x14ac:dyDescent="0.25">
      <c r="A16" s="99">
        <v>3</v>
      </c>
      <c r="B16" s="100" t="s">
        <v>114</v>
      </c>
      <c r="C16" s="97">
        <v>59383222</v>
      </c>
      <c r="D16" s="97">
        <v>83571067</v>
      </c>
      <c r="E16" s="97">
        <f t="shared" si="0"/>
        <v>24187845</v>
      </c>
      <c r="F16" s="98">
        <f t="shared" si="1"/>
        <v>0.40731782792115928</v>
      </c>
    </row>
    <row r="17" spans="1:6" ht="18" customHeight="1" x14ac:dyDescent="0.25">
      <c r="A17" s="99">
        <v>4</v>
      </c>
      <c r="B17" s="100" t="s">
        <v>115</v>
      </c>
      <c r="C17" s="97">
        <v>31237897</v>
      </c>
      <c r="D17" s="97">
        <v>30059815</v>
      </c>
      <c r="E17" s="97">
        <f t="shared" si="0"/>
        <v>-1178082</v>
      </c>
      <c r="F17" s="98">
        <f t="shared" si="1"/>
        <v>-3.7713230183197034E-2</v>
      </c>
    </row>
    <row r="18" spans="1:6" ht="18" customHeight="1" x14ac:dyDescent="0.25">
      <c r="A18" s="99">
        <v>5</v>
      </c>
      <c r="B18" s="100" t="s">
        <v>116</v>
      </c>
      <c r="C18" s="97">
        <v>483690</v>
      </c>
      <c r="D18" s="97">
        <v>421973</v>
      </c>
      <c r="E18" s="97">
        <f t="shared" si="0"/>
        <v>-61717</v>
      </c>
      <c r="F18" s="98">
        <f t="shared" si="1"/>
        <v>-0.12759618764084435</v>
      </c>
    </row>
    <row r="19" spans="1:6" ht="18" customHeight="1" x14ac:dyDescent="0.25">
      <c r="A19" s="99">
        <v>6</v>
      </c>
      <c r="B19" s="100" t="s">
        <v>117</v>
      </c>
      <c r="C19" s="97">
        <v>47236109</v>
      </c>
      <c r="D19" s="97">
        <v>44176526</v>
      </c>
      <c r="E19" s="97">
        <f t="shared" si="0"/>
        <v>-3059583</v>
      </c>
      <c r="F19" s="98">
        <f t="shared" si="1"/>
        <v>-6.4772121683435019E-2</v>
      </c>
    </row>
    <row r="20" spans="1:6" ht="18" customHeight="1" x14ac:dyDescent="0.25">
      <c r="A20" s="99">
        <v>7</v>
      </c>
      <c r="B20" s="100" t="s">
        <v>118</v>
      </c>
      <c r="C20" s="97">
        <v>129136241</v>
      </c>
      <c r="D20" s="97">
        <v>121717135</v>
      </c>
      <c r="E20" s="97">
        <f t="shared" si="0"/>
        <v>-7419106</v>
      </c>
      <c r="F20" s="98">
        <f t="shared" si="1"/>
        <v>-5.7451772968983975E-2</v>
      </c>
    </row>
    <row r="21" spans="1:6" ht="18" customHeight="1" x14ac:dyDescent="0.25">
      <c r="A21" s="99">
        <v>8</v>
      </c>
      <c r="B21" s="100" t="s">
        <v>119</v>
      </c>
      <c r="C21" s="97">
        <v>6532474</v>
      </c>
      <c r="D21" s="97">
        <v>6714122</v>
      </c>
      <c r="E21" s="97">
        <f t="shared" si="0"/>
        <v>181648</v>
      </c>
      <c r="F21" s="98">
        <f t="shared" si="1"/>
        <v>2.7806922767698732E-2</v>
      </c>
    </row>
    <row r="22" spans="1:6" ht="18" customHeight="1" x14ac:dyDescent="0.25">
      <c r="A22" s="99">
        <v>9</v>
      </c>
      <c r="B22" s="100" t="s">
        <v>120</v>
      </c>
      <c r="C22" s="97">
        <v>18013248</v>
      </c>
      <c r="D22" s="97">
        <v>19174537</v>
      </c>
      <c r="E22" s="97">
        <f t="shared" si="0"/>
        <v>1161289</v>
      </c>
      <c r="F22" s="98">
        <f t="shared" si="1"/>
        <v>6.4468606661053016E-2</v>
      </c>
    </row>
    <row r="23" spans="1:6" ht="18" customHeight="1" x14ac:dyDescent="0.25">
      <c r="A23" s="99">
        <v>10</v>
      </c>
      <c r="B23" s="100" t="s">
        <v>121</v>
      </c>
      <c r="C23" s="97">
        <v>10685294</v>
      </c>
      <c r="D23" s="97">
        <v>0</v>
      </c>
      <c r="E23" s="97">
        <f t="shared" si="0"/>
        <v>-10685294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360997</v>
      </c>
      <c r="D24" s="97">
        <v>1096495</v>
      </c>
      <c r="E24" s="97">
        <f t="shared" si="0"/>
        <v>735498</v>
      </c>
      <c r="F24" s="98">
        <f t="shared" si="1"/>
        <v>2.0374075130818263</v>
      </c>
    </row>
    <row r="25" spans="1:6" ht="18" customHeight="1" x14ac:dyDescent="0.25">
      <c r="A25" s="101"/>
      <c r="B25" s="102" t="s">
        <v>123</v>
      </c>
      <c r="C25" s="103">
        <f>SUM(C14:C24)</f>
        <v>662252595</v>
      </c>
      <c r="D25" s="103">
        <f>SUM(D14:D24)</f>
        <v>684144505</v>
      </c>
      <c r="E25" s="103">
        <f t="shared" si="0"/>
        <v>21891910</v>
      </c>
      <c r="F25" s="104">
        <f t="shared" si="1"/>
        <v>3.3056737210671101E-2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63042261</v>
      </c>
      <c r="D27" s="97">
        <v>72962013</v>
      </c>
      <c r="E27" s="97">
        <f t="shared" ref="E27:E38" si="2">D27-C27</f>
        <v>9919752</v>
      </c>
      <c r="F27" s="98">
        <f t="shared" ref="F27:F38" si="3">IF(C27=0,0,E27/C27)</f>
        <v>0.15735082851803173</v>
      </c>
    </row>
    <row r="28" spans="1:6" ht="18" customHeight="1" x14ac:dyDescent="0.25">
      <c r="A28" s="99">
        <v>2</v>
      </c>
      <c r="B28" s="100" t="s">
        <v>113</v>
      </c>
      <c r="C28" s="97">
        <v>27236342</v>
      </c>
      <c r="D28" s="97">
        <v>31556790</v>
      </c>
      <c r="E28" s="97">
        <f t="shared" si="2"/>
        <v>4320448</v>
      </c>
      <c r="F28" s="98">
        <f t="shared" si="3"/>
        <v>0.15862805658704093</v>
      </c>
    </row>
    <row r="29" spans="1:6" ht="18" customHeight="1" x14ac:dyDescent="0.25">
      <c r="A29" s="99">
        <v>3</v>
      </c>
      <c r="B29" s="100" t="s">
        <v>114</v>
      </c>
      <c r="C29" s="97">
        <v>18441730</v>
      </c>
      <c r="D29" s="97">
        <v>37385599</v>
      </c>
      <c r="E29" s="97">
        <f t="shared" si="2"/>
        <v>18943869</v>
      </c>
      <c r="F29" s="98">
        <f t="shared" si="3"/>
        <v>1.027228410783587</v>
      </c>
    </row>
    <row r="30" spans="1:6" ht="18" customHeight="1" x14ac:dyDescent="0.25">
      <c r="A30" s="99">
        <v>4</v>
      </c>
      <c r="B30" s="100" t="s">
        <v>115</v>
      </c>
      <c r="C30" s="97">
        <v>21922834</v>
      </c>
      <c r="D30" s="97">
        <v>29092757</v>
      </c>
      <c r="E30" s="97">
        <f t="shared" si="2"/>
        <v>7169923</v>
      </c>
      <c r="F30" s="98">
        <f t="shared" si="3"/>
        <v>0.32705274327215178</v>
      </c>
    </row>
    <row r="31" spans="1:6" ht="18" customHeight="1" x14ac:dyDescent="0.25">
      <c r="A31" s="99">
        <v>5</v>
      </c>
      <c r="B31" s="100" t="s">
        <v>116</v>
      </c>
      <c r="C31" s="97">
        <v>266626</v>
      </c>
      <c r="D31" s="97">
        <v>349831</v>
      </c>
      <c r="E31" s="97">
        <f t="shared" si="2"/>
        <v>83205</v>
      </c>
      <c r="F31" s="98">
        <f t="shared" si="3"/>
        <v>0.31206634011686785</v>
      </c>
    </row>
    <row r="32" spans="1:6" ht="18" customHeight="1" x14ac:dyDescent="0.25">
      <c r="A32" s="99">
        <v>6</v>
      </c>
      <c r="B32" s="100" t="s">
        <v>117</v>
      </c>
      <c r="C32" s="97">
        <v>32786081</v>
      </c>
      <c r="D32" s="97">
        <v>35572018</v>
      </c>
      <c r="E32" s="97">
        <f t="shared" si="2"/>
        <v>2785937</v>
      </c>
      <c r="F32" s="98">
        <f t="shared" si="3"/>
        <v>8.4973162849198106E-2</v>
      </c>
    </row>
    <row r="33" spans="1:6" ht="18" customHeight="1" x14ac:dyDescent="0.25">
      <c r="A33" s="99">
        <v>7</v>
      </c>
      <c r="B33" s="100" t="s">
        <v>118</v>
      </c>
      <c r="C33" s="97">
        <v>68768765</v>
      </c>
      <c r="D33" s="97">
        <v>81984531</v>
      </c>
      <c r="E33" s="97">
        <f t="shared" si="2"/>
        <v>13215766</v>
      </c>
      <c r="F33" s="98">
        <f t="shared" si="3"/>
        <v>0.19217686983327387</v>
      </c>
    </row>
    <row r="34" spans="1:6" ht="18" customHeight="1" x14ac:dyDescent="0.25">
      <c r="A34" s="99">
        <v>8</v>
      </c>
      <c r="B34" s="100" t="s">
        <v>119</v>
      </c>
      <c r="C34" s="97">
        <v>4808282</v>
      </c>
      <c r="D34" s="97">
        <v>5600859</v>
      </c>
      <c r="E34" s="97">
        <f t="shared" si="2"/>
        <v>792577</v>
      </c>
      <c r="F34" s="98">
        <f t="shared" si="3"/>
        <v>0.16483579790037273</v>
      </c>
    </row>
    <row r="35" spans="1:6" ht="18" customHeight="1" x14ac:dyDescent="0.25">
      <c r="A35" s="99">
        <v>9</v>
      </c>
      <c r="B35" s="100" t="s">
        <v>120</v>
      </c>
      <c r="C35" s="97">
        <v>22035587</v>
      </c>
      <c r="D35" s="97">
        <v>25074092</v>
      </c>
      <c r="E35" s="97">
        <f t="shared" si="2"/>
        <v>3038505</v>
      </c>
      <c r="F35" s="98">
        <f t="shared" si="3"/>
        <v>0.13789081271127474</v>
      </c>
    </row>
    <row r="36" spans="1:6" ht="18" customHeight="1" x14ac:dyDescent="0.25">
      <c r="A36" s="99">
        <v>10</v>
      </c>
      <c r="B36" s="100" t="s">
        <v>121</v>
      </c>
      <c r="C36" s="97">
        <v>6711759</v>
      </c>
      <c r="D36" s="97">
        <v>0</v>
      </c>
      <c r="E36" s="97">
        <f t="shared" si="2"/>
        <v>-6711759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242766</v>
      </c>
      <c r="D37" s="97">
        <v>510375</v>
      </c>
      <c r="E37" s="97">
        <f t="shared" si="2"/>
        <v>267609</v>
      </c>
      <c r="F37" s="98">
        <f t="shared" si="3"/>
        <v>1.102333110896913</v>
      </c>
    </row>
    <row r="38" spans="1:6" ht="18" customHeight="1" x14ac:dyDescent="0.25">
      <c r="A38" s="101"/>
      <c r="B38" s="102" t="s">
        <v>126</v>
      </c>
      <c r="C38" s="103">
        <f>SUM(C27:C37)</f>
        <v>266263033</v>
      </c>
      <c r="D38" s="103">
        <f>SUM(D27:D37)</f>
        <v>320088865</v>
      </c>
      <c r="E38" s="103">
        <f t="shared" si="2"/>
        <v>53825832</v>
      </c>
      <c r="F38" s="104">
        <f t="shared" si="3"/>
        <v>0.20215285386612417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318582494</v>
      </c>
      <c r="D41" s="103">
        <f t="shared" si="4"/>
        <v>337926100</v>
      </c>
      <c r="E41" s="107">
        <f t="shared" ref="E41:E52" si="5">D41-C41</f>
        <v>19343606</v>
      </c>
      <c r="F41" s="108">
        <f t="shared" ref="F41:F52" si="6">IF(C41=0,0,E41/C41)</f>
        <v>6.0717730460104945E-2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130879532</v>
      </c>
      <c r="D42" s="103">
        <f t="shared" si="4"/>
        <v>143805538</v>
      </c>
      <c r="E42" s="107">
        <f t="shared" si="5"/>
        <v>12926006</v>
      </c>
      <c r="F42" s="108">
        <f t="shared" si="6"/>
        <v>9.8762623937255517E-2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77824952</v>
      </c>
      <c r="D43" s="103">
        <f t="shared" si="4"/>
        <v>120956666</v>
      </c>
      <c r="E43" s="107">
        <f t="shared" si="5"/>
        <v>43131714</v>
      </c>
      <c r="F43" s="108">
        <f t="shared" si="6"/>
        <v>0.55421446324823942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53160731</v>
      </c>
      <c r="D44" s="103">
        <f t="shared" si="4"/>
        <v>59152572</v>
      </c>
      <c r="E44" s="107">
        <f t="shared" si="5"/>
        <v>5991841</v>
      </c>
      <c r="F44" s="108">
        <f t="shared" si="6"/>
        <v>0.1127117872024747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750316</v>
      </c>
      <c r="D45" s="103">
        <f t="shared" si="4"/>
        <v>771804</v>
      </c>
      <c r="E45" s="107">
        <f t="shared" si="5"/>
        <v>21488</v>
      </c>
      <c r="F45" s="108">
        <f t="shared" si="6"/>
        <v>2.8638600269753012E-2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80022190</v>
      </c>
      <c r="D46" s="103">
        <f t="shared" si="4"/>
        <v>79748544</v>
      </c>
      <c r="E46" s="107">
        <f t="shared" si="5"/>
        <v>-273646</v>
      </c>
      <c r="F46" s="108">
        <f t="shared" si="6"/>
        <v>-3.4196264811048034E-3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197905006</v>
      </c>
      <c r="D47" s="103">
        <f t="shared" si="4"/>
        <v>203701666</v>
      </c>
      <c r="E47" s="107">
        <f t="shared" si="5"/>
        <v>5796660</v>
      </c>
      <c r="F47" s="108">
        <f t="shared" si="6"/>
        <v>2.929011305555353E-2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11340756</v>
      </c>
      <c r="D48" s="103">
        <f t="shared" si="4"/>
        <v>12314981</v>
      </c>
      <c r="E48" s="107">
        <f t="shared" si="5"/>
        <v>974225</v>
      </c>
      <c r="F48" s="108">
        <f t="shared" si="6"/>
        <v>8.5904766842704317E-2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40048835</v>
      </c>
      <c r="D49" s="103">
        <f t="shared" si="4"/>
        <v>44248629</v>
      </c>
      <c r="E49" s="107">
        <f t="shared" si="5"/>
        <v>4199794</v>
      </c>
      <c r="F49" s="108">
        <f t="shared" si="6"/>
        <v>0.10486682072025316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17397053</v>
      </c>
      <c r="D50" s="103">
        <f t="shared" si="4"/>
        <v>0</v>
      </c>
      <c r="E50" s="107">
        <f t="shared" si="5"/>
        <v>-17397053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603763</v>
      </c>
      <c r="D51" s="103">
        <f t="shared" si="4"/>
        <v>1606870</v>
      </c>
      <c r="E51" s="107">
        <f t="shared" si="5"/>
        <v>1003107</v>
      </c>
      <c r="F51" s="108">
        <f t="shared" si="6"/>
        <v>1.6614250956087073</v>
      </c>
    </row>
    <row r="52" spans="1:6" ht="18.75" customHeight="1" thickBot="1" x14ac:dyDescent="0.3">
      <c r="A52" s="109"/>
      <c r="B52" s="110" t="s">
        <v>128</v>
      </c>
      <c r="C52" s="111">
        <f>SUM(C41:C51)</f>
        <v>928515628</v>
      </c>
      <c r="D52" s="112">
        <f>SUM(D41:D51)</f>
        <v>1004233370</v>
      </c>
      <c r="E52" s="111">
        <f t="shared" si="5"/>
        <v>75717742</v>
      </c>
      <c r="F52" s="113">
        <f t="shared" si="6"/>
        <v>8.1547084094959352E-2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89377029</v>
      </c>
      <c r="D57" s="97">
        <v>89527937</v>
      </c>
      <c r="E57" s="97">
        <f t="shared" ref="E57:E68" si="7">D57-C57</f>
        <v>150908</v>
      </c>
      <c r="F57" s="98">
        <f t="shared" ref="F57:F68" si="8">IF(C57=0,0,E57/C57)</f>
        <v>1.6884427876876506E-3</v>
      </c>
    </row>
    <row r="58" spans="1:6" ht="18" customHeight="1" x14ac:dyDescent="0.25">
      <c r="A58" s="99">
        <v>2</v>
      </c>
      <c r="B58" s="100" t="s">
        <v>113</v>
      </c>
      <c r="C58" s="97">
        <v>32953688</v>
      </c>
      <c r="D58" s="97">
        <v>35279434</v>
      </c>
      <c r="E58" s="97">
        <f t="shared" si="7"/>
        <v>2325746</v>
      </c>
      <c r="F58" s="98">
        <f t="shared" si="8"/>
        <v>7.057619772330187E-2</v>
      </c>
    </row>
    <row r="59" spans="1:6" ht="18" customHeight="1" x14ac:dyDescent="0.25">
      <c r="A59" s="99">
        <v>3</v>
      </c>
      <c r="B59" s="100" t="s">
        <v>114</v>
      </c>
      <c r="C59" s="97">
        <v>14857701</v>
      </c>
      <c r="D59" s="97">
        <v>17883645</v>
      </c>
      <c r="E59" s="97">
        <f t="shared" si="7"/>
        <v>3025944</v>
      </c>
      <c r="F59" s="98">
        <f t="shared" si="8"/>
        <v>0.20366165667218636</v>
      </c>
    </row>
    <row r="60" spans="1:6" ht="18" customHeight="1" x14ac:dyDescent="0.25">
      <c r="A60" s="99">
        <v>4</v>
      </c>
      <c r="B60" s="100" t="s">
        <v>115</v>
      </c>
      <c r="C60" s="97">
        <v>9146667</v>
      </c>
      <c r="D60" s="97">
        <v>7350578</v>
      </c>
      <c r="E60" s="97">
        <f t="shared" si="7"/>
        <v>-1796089</v>
      </c>
      <c r="F60" s="98">
        <f t="shared" si="8"/>
        <v>-0.19636540829572127</v>
      </c>
    </row>
    <row r="61" spans="1:6" ht="18" customHeight="1" x14ac:dyDescent="0.25">
      <c r="A61" s="99">
        <v>5</v>
      </c>
      <c r="B61" s="100" t="s">
        <v>116</v>
      </c>
      <c r="C61" s="97">
        <v>190001</v>
      </c>
      <c r="D61" s="97">
        <v>154404</v>
      </c>
      <c r="E61" s="97">
        <f t="shared" si="7"/>
        <v>-35597</v>
      </c>
      <c r="F61" s="98">
        <f t="shared" si="8"/>
        <v>-0.18735164551765518</v>
      </c>
    </row>
    <row r="62" spans="1:6" ht="18" customHeight="1" x14ac:dyDescent="0.25">
      <c r="A62" s="99">
        <v>6</v>
      </c>
      <c r="B62" s="100" t="s">
        <v>117</v>
      </c>
      <c r="C62" s="97">
        <v>19355591</v>
      </c>
      <c r="D62" s="97">
        <v>20297776</v>
      </c>
      <c r="E62" s="97">
        <f t="shared" si="7"/>
        <v>942185</v>
      </c>
      <c r="F62" s="98">
        <f t="shared" si="8"/>
        <v>4.8677666313573169E-2</v>
      </c>
    </row>
    <row r="63" spans="1:6" ht="18" customHeight="1" x14ac:dyDescent="0.25">
      <c r="A63" s="99">
        <v>7</v>
      </c>
      <c r="B63" s="100" t="s">
        <v>118</v>
      </c>
      <c r="C63" s="97">
        <v>74140381</v>
      </c>
      <c r="D63" s="97">
        <v>66390668</v>
      </c>
      <c r="E63" s="97">
        <f t="shared" si="7"/>
        <v>-7749713</v>
      </c>
      <c r="F63" s="98">
        <f t="shared" si="8"/>
        <v>-0.10452755833558502</v>
      </c>
    </row>
    <row r="64" spans="1:6" ht="18" customHeight="1" x14ac:dyDescent="0.25">
      <c r="A64" s="99">
        <v>8</v>
      </c>
      <c r="B64" s="100" t="s">
        <v>119</v>
      </c>
      <c r="C64" s="97">
        <v>4235894</v>
      </c>
      <c r="D64" s="97">
        <v>4302101</v>
      </c>
      <c r="E64" s="97">
        <f t="shared" si="7"/>
        <v>66207</v>
      </c>
      <c r="F64" s="98">
        <f t="shared" si="8"/>
        <v>1.5629994518276426E-2</v>
      </c>
    </row>
    <row r="65" spans="1:6" ht="18" customHeight="1" x14ac:dyDescent="0.25">
      <c r="A65" s="99">
        <v>9</v>
      </c>
      <c r="B65" s="100" t="s">
        <v>120</v>
      </c>
      <c r="C65" s="97">
        <v>1010117</v>
      </c>
      <c r="D65" s="97">
        <v>856333</v>
      </c>
      <c r="E65" s="97">
        <f t="shared" si="7"/>
        <v>-153784</v>
      </c>
      <c r="F65" s="98">
        <f t="shared" si="8"/>
        <v>-0.1522437499814378</v>
      </c>
    </row>
    <row r="66" spans="1:6" ht="18" customHeight="1" x14ac:dyDescent="0.25">
      <c r="A66" s="99">
        <v>10</v>
      </c>
      <c r="B66" s="100" t="s">
        <v>121</v>
      </c>
      <c r="C66" s="97">
        <v>165649</v>
      </c>
      <c r="D66" s="97">
        <v>0</v>
      </c>
      <c r="E66" s="97">
        <f t="shared" si="7"/>
        <v>-165649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80040</v>
      </c>
      <c r="D67" s="97">
        <v>535027</v>
      </c>
      <c r="E67" s="97">
        <f t="shared" si="7"/>
        <v>454987</v>
      </c>
      <c r="F67" s="98">
        <f t="shared" si="8"/>
        <v>5.6844952523738135</v>
      </c>
    </row>
    <row r="68" spans="1:6" ht="18" customHeight="1" x14ac:dyDescent="0.25">
      <c r="A68" s="101"/>
      <c r="B68" s="102" t="s">
        <v>131</v>
      </c>
      <c r="C68" s="103">
        <f>SUM(C57:C67)</f>
        <v>245512758</v>
      </c>
      <c r="D68" s="103">
        <f>SUM(D57:D67)</f>
        <v>242577903</v>
      </c>
      <c r="E68" s="103">
        <f t="shared" si="7"/>
        <v>-2934855</v>
      </c>
      <c r="F68" s="104">
        <f t="shared" si="8"/>
        <v>-1.1953981633817987E-2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18212362</v>
      </c>
      <c r="D70" s="97">
        <v>18467672</v>
      </c>
      <c r="E70" s="97">
        <f t="shared" ref="E70:E81" si="9">D70-C70</f>
        <v>255310</v>
      </c>
      <c r="F70" s="98">
        <f t="shared" ref="F70:F81" si="10">IF(C70=0,0,E70/C70)</f>
        <v>1.4018500181360331E-2</v>
      </c>
    </row>
    <row r="71" spans="1:6" ht="18" customHeight="1" x14ac:dyDescent="0.25">
      <c r="A71" s="99">
        <v>2</v>
      </c>
      <c r="B71" s="100" t="s">
        <v>113</v>
      </c>
      <c r="C71" s="97">
        <v>7604170</v>
      </c>
      <c r="D71" s="97">
        <v>8282133</v>
      </c>
      <c r="E71" s="97">
        <f t="shared" si="9"/>
        <v>677963</v>
      </c>
      <c r="F71" s="98">
        <f t="shared" si="10"/>
        <v>8.9156738999785642E-2</v>
      </c>
    </row>
    <row r="72" spans="1:6" ht="18" customHeight="1" x14ac:dyDescent="0.25">
      <c r="A72" s="99">
        <v>3</v>
      </c>
      <c r="B72" s="100" t="s">
        <v>114</v>
      </c>
      <c r="C72" s="97">
        <v>3222124</v>
      </c>
      <c r="D72" s="97">
        <v>9573530</v>
      </c>
      <c r="E72" s="97">
        <f t="shared" si="9"/>
        <v>6351406</v>
      </c>
      <c r="F72" s="98">
        <f t="shared" si="10"/>
        <v>1.9711860871896922</v>
      </c>
    </row>
    <row r="73" spans="1:6" ht="18" customHeight="1" x14ac:dyDescent="0.25">
      <c r="A73" s="99">
        <v>4</v>
      </c>
      <c r="B73" s="100" t="s">
        <v>115</v>
      </c>
      <c r="C73" s="97">
        <v>5657042</v>
      </c>
      <c r="D73" s="97">
        <v>8472806</v>
      </c>
      <c r="E73" s="97">
        <f t="shared" si="9"/>
        <v>2815764</v>
      </c>
      <c r="F73" s="98">
        <f t="shared" si="10"/>
        <v>0.49774493454352997</v>
      </c>
    </row>
    <row r="74" spans="1:6" ht="18" customHeight="1" x14ac:dyDescent="0.25">
      <c r="A74" s="99">
        <v>5</v>
      </c>
      <c r="B74" s="100" t="s">
        <v>116</v>
      </c>
      <c r="C74" s="97">
        <v>91593</v>
      </c>
      <c r="D74" s="97">
        <v>92111</v>
      </c>
      <c r="E74" s="97">
        <f t="shared" si="9"/>
        <v>518</v>
      </c>
      <c r="F74" s="98">
        <f t="shared" si="10"/>
        <v>5.6554540194119641E-3</v>
      </c>
    </row>
    <row r="75" spans="1:6" ht="18" customHeight="1" x14ac:dyDescent="0.25">
      <c r="A75" s="99">
        <v>6</v>
      </c>
      <c r="B75" s="100" t="s">
        <v>117</v>
      </c>
      <c r="C75" s="97">
        <v>10898955</v>
      </c>
      <c r="D75" s="97">
        <v>14543579</v>
      </c>
      <c r="E75" s="97">
        <f t="shared" si="9"/>
        <v>3644624</v>
      </c>
      <c r="F75" s="98">
        <f t="shared" si="10"/>
        <v>0.33440123387976189</v>
      </c>
    </row>
    <row r="76" spans="1:6" ht="18" customHeight="1" x14ac:dyDescent="0.25">
      <c r="A76" s="99">
        <v>7</v>
      </c>
      <c r="B76" s="100" t="s">
        <v>118</v>
      </c>
      <c r="C76" s="97">
        <v>34179885</v>
      </c>
      <c r="D76" s="97">
        <v>43041569</v>
      </c>
      <c r="E76" s="97">
        <f t="shared" si="9"/>
        <v>8861684</v>
      </c>
      <c r="F76" s="98">
        <f t="shared" si="10"/>
        <v>0.25926605662950591</v>
      </c>
    </row>
    <row r="77" spans="1:6" ht="18" customHeight="1" x14ac:dyDescent="0.25">
      <c r="A77" s="99">
        <v>8</v>
      </c>
      <c r="B77" s="100" t="s">
        <v>119</v>
      </c>
      <c r="C77" s="97">
        <v>3345866</v>
      </c>
      <c r="D77" s="97">
        <v>4275655</v>
      </c>
      <c r="E77" s="97">
        <f t="shared" si="9"/>
        <v>929789</v>
      </c>
      <c r="F77" s="98">
        <f t="shared" si="10"/>
        <v>0.27789188210167415</v>
      </c>
    </row>
    <row r="78" spans="1:6" ht="18" customHeight="1" x14ac:dyDescent="0.25">
      <c r="A78" s="99">
        <v>9</v>
      </c>
      <c r="B78" s="100" t="s">
        <v>120</v>
      </c>
      <c r="C78" s="97">
        <v>1818473</v>
      </c>
      <c r="D78" s="97">
        <v>1803958</v>
      </c>
      <c r="E78" s="97">
        <f t="shared" si="9"/>
        <v>-14515</v>
      </c>
      <c r="F78" s="98">
        <f t="shared" si="10"/>
        <v>-7.9819716872342895E-3</v>
      </c>
    </row>
    <row r="79" spans="1:6" ht="18" customHeight="1" x14ac:dyDescent="0.25">
      <c r="A79" s="99">
        <v>10</v>
      </c>
      <c r="B79" s="100" t="s">
        <v>121</v>
      </c>
      <c r="C79" s="97">
        <v>1998932</v>
      </c>
      <c r="D79" s="97">
        <v>0</v>
      </c>
      <c r="E79" s="97">
        <f t="shared" si="9"/>
        <v>-1998932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55429</v>
      </c>
      <c r="D80" s="97">
        <v>196253</v>
      </c>
      <c r="E80" s="97">
        <f t="shared" si="9"/>
        <v>140824</v>
      </c>
      <c r="F80" s="98">
        <f t="shared" si="10"/>
        <v>2.5406195312922839</v>
      </c>
    </row>
    <row r="81" spans="1:6" ht="18" customHeight="1" x14ac:dyDescent="0.25">
      <c r="A81" s="101"/>
      <c r="B81" s="102" t="s">
        <v>133</v>
      </c>
      <c r="C81" s="103">
        <f>SUM(C70:C80)</f>
        <v>87084831</v>
      </c>
      <c r="D81" s="103">
        <f>SUM(D70:D80)</f>
        <v>108749266</v>
      </c>
      <c r="E81" s="103">
        <f t="shared" si="9"/>
        <v>21664435</v>
      </c>
      <c r="F81" s="104">
        <f t="shared" si="10"/>
        <v>0.24877392252159278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107589391</v>
      </c>
      <c r="D84" s="103">
        <f t="shared" si="11"/>
        <v>107995609</v>
      </c>
      <c r="E84" s="103">
        <f t="shared" ref="E84:E95" si="12">D84-C84</f>
        <v>406218</v>
      </c>
      <c r="F84" s="104">
        <f t="shared" ref="F84:F95" si="13">IF(C84=0,0,E84/C84)</f>
        <v>3.7756324877793947E-3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40557858</v>
      </c>
      <c r="D85" s="103">
        <f t="shared" si="11"/>
        <v>43561567</v>
      </c>
      <c r="E85" s="103">
        <f t="shared" si="12"/>
        <v>3003709</v>
      </c>
      <c r="F85" s="104">
        <f t="shared" si="13"/>
        <v>7.4059852963635306E-2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18079825</v>
      </c>
      <c r="D86" s="103">
        <f t="shared" si="11"/>
        <v>27457175</v>
      </c>
      <c r="E86" s="103">
        <f t="shared" si="12"/>
        <v>9377350</v>
      </c>
      <c r="F86" s="104">
        <f t="shared" si="13"/>
        <v>0.51866375919014707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14803709</v>
      </c>
      <c r="D87" s="103">
        <f t="shared" si="11"/>
        <v>15823384</v>
      </c>
      <c r="E87" s="103">
        <f t="shared" si="12"/>
        <v>1019675</v>
      </c>
      <c r="F87" s="104">
        <f t="shared" si="13"/>
        <v>6.8879697648744645E-2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281594</v>
      </c>
      <c r="D88" s="103">
        <f t="shared" si="11"/>
        <v>246515</v>
      </c>
      <c r="E88" s="103">
        <f t="shared" si="12"/>
        <v>-35079</v>
      </c>
      <c r="F88" s="104">
        <f t="shared" si="13"/>
        <v>-0.12457296675355299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30254546</v>
      </c>
      <c r="D89" s="103">
        <f t="shared" si="11"/>
        <v>34841355</v>
      </c>
      <c r="E89" s="103">
        <f t="shared" si="12"/>
        <v>4586809</v>
      </c>
      <c r="F89" s="104">
        <f t="shared" si="13"/>
        <v>0.15160726589650361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108320266</v>
      </c>
      <c r="D90" s="103">
        <f t="shared" si="11"/>
        <v>109432237</v>
      </c>
      <c r="E90" s="103">
        <f t="shared" si="12"/>
        <v>1111971</v>
      </c>
      <c r="F90" s="104">
        <f t="shared" si="13"/>
        <v>1.0265585943077355E-2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7581760</v>
      </c>
      <c r="D91" s="103">
        <f t="shared" si="11"/>
        <v>8577756</v>
      </c>
      <c r="E91" s="103">
        <f t="shared" si="12"/>
        <v>995996</v>
      </c>
      <c r="F91" s="104">
        <f t="shared" si="13"/>
        <v>0.13136738699193853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2828590</v>
      </c>
      <c r="D92" s="103">
        <f t="shared" si="11"/>
        <v>2660291</v>
      </c>
      <c r="E92" s="103">
        <f t="shared" si="12"/>
        <v>-168299</v>
      </c>
      <c r="F92" s="104">
        <f t="shared" si="13"/>
        <v>-5.9499255812966882E-2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2164581</v>
      </c>
      <c r="D93" s="103">
        <f t="shared" si="11"/>
        <v>0</v>
      </c>
      <c r="E93" s="103">
        <f t="shared" si="12"/>
        <v>-2164581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135469</v>
      </c>
      <c r="D94" s="103">
        <f t="shared" si="11"/>
        <v>731280</v>
      </c>
      <c r="E94" s="103">
        <f t="shared" si="12"/>
        <v>595811</v>
      </c>
      <c r="F94" s="104">
        <f t="shared" si="13"/>
        <v>4.398135366762876</v>
      </c>
    </row>
    <row r="95" spans="1:6" ht="18.75" customHeight="1" thickBot="1" x14ac:dyDescent="0.3">
      <c r="A95" s="115"/>
      <c r="B95" s="116" t="s">
        <v>134</v>
      </c>
      <c r="C95" s="112">
        <f>SUM(C84:C94)</f>
        <v>332597589</v>
      </c>
      <c r="D95" s="112">
        <f>SUM(D84:D94)</f>
        <v>351327169</v>
      </c>
      <c r="E95" s="112">
        <f t="shared" si="12"/>
        <v>18729580</v>
      </c>
      <c r="F95" s="113">
        <f t="shared" si="13"/>
        <v>5.6313035991370337E-2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6978</v>
      </c>
      <c r="D100" s="117">
        <v>7155</v>
      </c>
      <c r="E100" s="117">
        <f t="shared" ref="E100:E111" si="14">D100-C100</f>
        <v>177</v>
      </c>
      <c r="F100" s="98">
        <f t="shared" ref="F100:F111" si="15">IF(C100=0,0,E100/C100)</f>
        <v>2.536543422184007E-2</v>
      </c>
    </row>
    <row r="101" spans="1:6" ht="18" customHeight="1" x14ac:dyDescent="0.25">
      <c r="A101" s="99">
        <v>2</v>
      </c>
      <c r="B101" s="100" t="s">
        <v>113</v>
      </c>
      <c r="C101" s="117">
        <v>2942</v>
      </c>
      <c r="D101" s="117">
        <v>3009</v>
      </c>
      <c r="E101" s="117">
        <f t="shared" si="14"/>
        <v>67</v>
      </c>
      <c r="F101" s="98">
        <f t="shared" si="15"/>
        <v>2.2773623385452073E-2</v>
      </c>
    </row>
    <row r="102" spans="1:6" ht="18" customHeight="1" x14ac:dyDescent="0.25">
      <c r="A102" s="99">
        <v>3</v>
      </c>
      <c r="B102" s="100" t="s">
        <v>114</v>
      </c>
      <c r="C102" s="117">
        <v>1927</v>
      </c>
      <c r="D102" s="117">
        <v>2810</v>
      </c>
      <c r="E102" s="117">
        <f t="shared" si="14"/>
        <v>883</v>
      </c>
      <c r="F102" s="98">
        <f t="shared" si="15"/>
        <v>0.45822522055007786</v>
      </c>
    </row>
    <row r="103" spans="1:6" ht="18" customHeight="1" x14ac:dyDescent="0.25">
      <c r="A103" s="99">
        <v>4</v>
      </c>
      <c r="B103" s="100" t="s">
        <v>115</v>
      </c>
      <c r="C103" s="117">
        <v>1725</v>
      </c>
      <c r="D103" s="117">
        <v>1678</v>
      </c>
      <c r="E103" s="117">
        <f t="shared" si="14"/>
        <v>-47</v>
      </c>
      <c r="F103" s="98">
        <f t="shared" si="15"/>
        <v>-2.7246376811594204E-2</v>
      </c>
    </row>
    <row r="104" spans="1:6" ht="18" customHeight="1" x14ac:dyDescent="0.25">
      <c r="A104" s="99">
        <v>5</v>
      </c>
      <c r="B104" s="100" t="s">
        <v>116</v>
      </c>
      <c r="C104" s="117">
        <v>30</v>
      </c>
      <c r="D104" s="117">
        <v>21</v>
      </c>
      <c r="E104" s="117">
        <f t="shared" si="14"/>
        <v>-9</v>
      </c>
      <c r="F104" s="98">
        <f t="shared" si="15"/>
        <v>-0.3</v>
      </c>
    </row>
    <row r="105" spans="1:6" ht="18" customHeight="1" x14ac:dyDescent="0.25">
      <c r="A105" s="99">
        <v>6</v>
      </c>
      <c r="B105" s="100" t="s">
        <v>117</v>
      </c>
      <c r="C105" s="117">
        <v>1956</v>
      </c>
      <c r="D105" s="117">
        <v>1753</v>
      </c>
      <c r="E105" s="117">
        <f t="shared" si="14"/>
        <v>-203</v>
      </c>
      <c r="F105" s="98">
        <f t="shared" si="15"/>
        <v>-0.10378323108384459</v>
      </c>
    </row>
    <row r="106" spans="1:6" ht="18" customHeight="1" x14ac:dyDescent="0.25">
      <c r="A106" s="99">
        <v>7</v>
      </c>
      <c r="B106" s="100" t="s">
        <v>118</v>
      </c>
      <c r="C106" s="117">
        <v>4774</v>
      </c>
      <c r="D106" s="117">
        <v>4513</v>
      </c>
      <c r="E106" s="117">
        <f t="shared" si="14"/>
        <v>-261</v>
      </c>
      <c r="F106" s="98">
        <f t="shared" si="15"/>
        <v>-5.467113531629661E-2</v>
      </c>
    </row>
    <row r="107" spans="1:6" ht="18" customHeight="1" x14ac:dyDescent="0.25">
      <c r="A107" s="99">
        <v>8</v>
      </c>
      <c r="B107" s="100" t="s">
        <v>119</v>
      </c>
      <c r="C107" s="117">
        <v>143</v>
      </c>
      <c r="D107" s="117">
        <v>142</v>
      </c>
      <c r="E107" s="117">
        <f t="shared" si="14"/>
        <v>-1</v>
      </c>
      <c r="F107" s="98">
        <f t="shared" si="15"/>
        <v>-6.993006993006993E-3</v>
      </c>
    </row>
    <row r="108" spans="1:6" ht="18" customHeight="1" x14ac:dyDescent="0.25">
      <c r="A108" s="99">
        <v>9</v>
      </c>
      <c r="B108" s="100" t="s">
        <v>120</v>
      </c>
      <c r="C108" s="117">
        <v>1024</v>
      </c>
      <c r="D108" s="117">
        <v>991</v>
      </c>
      <c r="E108" s="117">
        <f t="shared" si="14"/>
        <v>-33</v>
      </c>
      <c r="F108" s="98">
        <f t="shared" si="15"/>
        <v>-3.22265625E-2</v>
      </c>
    </row>
    <row r="109" spans="1:6" ht="18" customHeight="1" x14ac:dyDescent="0.25">
      <c r="A109" s="99">
        <v>10</v>
      </c>
      <c r="B109" s="100" t="s">
        <v>121</v>
      </c>
      <c r="C109" s="117">
        <v>353</v>
      </c>
      <c r="D109" s="117">
        <v>0</v>
      </c>
      <c r="E109" s="117">
        <f t="shared" si="14"/>
        <v>-353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21</v>
      </c>
      <c r="D110" s="117">
        <v>28</v>
      </c>
      <c r="E110" s="117">
        <f t="shared" si="14"/>
        <v>7</v>
      </c>
      <c r="F110" s="98">
        <f t="shared" si="15"/>
        <v>0.33333333333333331</v>
      </c>
    </row>
    <row r="111" spans="1:6" ht="18" customHeight="1" x14ac:dyDescent="0.25">
      <c r="A111" s="101"/>
      <c r="B111" s="102" t="s">
        <v>138</v>
      </c>
      <c r="C111" s="118">
        <f>SUM(C100:C110)</f>
        <v>21873</v>
      </c>
      <c r="D111" s="118">
        <f>SUM(D100:D110)</f>
        <v>22100</v>
      </c>
      <c r="E111" s="118">
        <f t="shared" si="14"/>
        <v>227</v>
      </c>
      <c r="F111" s="104">
        <f t="shared" si="15"/>
        <v>1.037809171124217E-2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45977</v>
      </c>
      <c r="D113" s="117">
        <v>45731</v>
      </c>
      <c r="E113" s="117">
        <f t="shared" ref="E113:E124" si="16">D113-C113</f>
        <v>-246</v>
      </c>
      <c r="F113" s="98">
        <f t="shared" ref="F113:F124" si="17">IF(C113=0,0,E113/C113)</f>
        <v>-5.3505013376253345E-3</v>
      </c>
    </row>
    <row r="114" spans="1:6" ht="18" customHeight="1" x14ac:dyDescent="0.25">
      <c r="A114" s="99">
        <v>2</v>
      </c>
      <c r="B114" s="100" t="s">
        <v>113</v>
      </c>
      <c r="C114" s="117">
        <v>16791</v>
      </c>
      <c r="D114" s="117">
        <v>17942</v>
      </c>
      <c r="E114" s="117">
        <f t="shared" si="16"/>
        <v>1151</v>
      </c>
      <c r="F114" s="98">
        <f t="shared" si="17"/>
        <v>6.8548627240783755E-2</v>
      </c>
    </row>
    <row r="115" spans="1:6" ht="18" customHeight="1" x14ac:dyDescent="0.25">
      <c r="A115" s="99">
        <v>3</v>
      </c>
      <c r="B115" s="100" t="s">
        <v>114</v>
      </c>
      <c r="C115" s="117">
        <v>13346</v>
      </c>
      <c r="D115" s="117">
        <v>18000</v>
      </c>
      <c r="E115" s="117">
        <f t="shared" si="16"/>
        <v>4654</v>
      </c>
      <c r="F115" s="98">
        <f t="shared" si="17"/>
        <v>0.34871871721864228</v>
      </c>
    </row>
    <row r="116" spans="1:6" ht="18" customHeight="1" x14ac:dyDescent="0.25">
      <c r="A116" s="99">
        <v>4</v>
      </c>
      <c r="B116" s="100" t="s">
        <v>115</v>
      </c>
      <c r="C116" s="117">
        <v>9249</v>
      </c>
      <c r="D116" s="117">
        <v>8478</v>
      </c>
      <c r="E116" s="117">
        <f t="shared" si="16"/>
        <v>-771</v>
      </c>
      <c r="F116" s="98">
        <f t="shared" si="17"/>
        <v>-8.336036328251703E-2</v>
      </c>
    </row>
    <row r="117" spans="1:6" ht="18" customHeight="1" x14ac:dyDescent="0.25">
      <c r="A117" s="99">
        <v>5</v>
      </c>
      <c r="B117" s="100" t="s">
        <v>116</v>
      </c>
      <c r="C117" s="117">
        <v>116</v>
      </c>
      <c r="D117" s="117">
        <v>56</v>
      </c>
      <c r="E117" s="117">
        <f t="shared" si="16"/>
        <v>-60</v>
      </c>
      <c r="F117" s="98">
        <f t="shared" si="17"/>
        <v>-0.51724137931034486</v>
      </c>
    </row>
    <row r="118" spans="1:6" ht="18" customHeight="1" x14ac:dyDescent="0.25">
      <c r="A118" s="99">
        <v>6</v>
      </c>
      <c r="B118" s="100" t="s">
        <v>117</v>
      </c>
      <c r="C118" s="117">
        <v>8491</v>
      </c>
      <c r="D118" s="117">
        <v>7621</v>
      </c>
      <c r="E118" s="117">
        <f t="shared" si="16"/>
        <v>-870</v>
      </c>
      <c r="F118" s="98">
        <f t="shared" si="17"/>
        <v>-0.10246142974914615</v>
      </c>
    </row>
    <row r="119" spans="1:6" ht="18" customHeight="1" x14ac:dyDescent="0.25">
      <c r="A119" s="99">
        <v>7</v>
      </c>
      <c r="B119" s="100" t="s">
        <v>118</v>
      </c>
      <c r="C119" s="117">
        <v>20989</v>
      </c>
      <c r="D119" s="117">
        <v>19396</v>
      </c>
      <c r="E119" s="117">
        <f t="shared" si="16"/>
        <v>-1593</v>
      </c>
      <c r="F119" s="98">
        <f t="shared" si="17"/>
        <v>-7.5896898375339458E-2</v>
      </c>
    </row>
    <row r="120" spans="1:6" ht="18" customHeight="1" x14ac:dyDescent="0.25">
      <c r="A120" s="99">
        <v>8</v>
      </c>
      <c r="B120" s="100" t="s">
        <v>119</v>
      </c>
      <c r="C120" s="117">
        <v>541</v>
      </c>
      <c r="D120" s="117">
        <v>501</v>
      </c>
      <c r="E120" s="117">
        <f t="shared" si="16"/>
        <v>-40</v>
      </c>
      <c r="F120" s="98">
        <f t="shared" si="17"/>
        <v>-7.3937153419593352E-2</v>
      </c>
    </row>
    <row r="121" spans="1:6" ht="18" customHeight="1" x14ac:dyDescent="0.25">
      <c r="A121" s="99">
        <v>9</v>
      </c>
      <c r="B121" s="100" t="s">
        <v>120</v>
      </c>
      <c r="C121" s="117">
        <v>5403</v>
      </c>
      <c r="D121" s="117">
        <v>4531</v>
      </c>
      <c r="E121" s="117">
        <f t="shared" si="16"/>
        <v>-872</v>
      </c>
      <c r="F121" s="98">
        <f t="shared" si="17"/>
        <v>-0.16139181935961502</v>
      </c>
    </row>
    <row r="122" spans="1:6" ht="18" customHeight="1" x14ac:dyDescent="0.25">
      <c r="A122" s="99">
        <v>10</v>
      </c>
      <c r="B122" s="100" t="s">
        <v>121</v>
      </c>
      <c r="C122" s="117">
        <v>1845</v>
      </c>
      <c r="D122" s="117">
        <v>0</v>
      </c>
      <c r="E122" s="117">
        <f t="shared" si="16"/>
        <v>-1845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64</v>
      </c>
      <c r="D123" s="117">
        <v>184</v>
      </c>
      <c r="E123" s="117">
        <f t="shared" si="16"/>
        <v>120</v>
      </c>
      <c r="F123" s="98">
        <f t="shared" si="17"/>
        <v>1.875</v>
      </c>
    </row>
    <row r="124" spans="1:6" ht="18" customHeight="1" x14ac:dyDescent="0.25">
      <c r="A124" s="101"/>
      <c r="B124" s="102" t="s">
        <v>140</v>
      </c>
      <c r="C124" s="118">
        <f>SUM(C113:C123)</f>
        <v>122812</v>
      </c>
      <c r="D124" s="118">
        <f>SUM(D113:D123)</f>
        <v>122440</v>
      </c>
      <c r="E124" s="118">
        <f t="shared" si="16"/>
        <v>-372</v>
      </c>
      <c r="F124" s="104">
        <f t="shared" si="17"/>
        <v>-3.0290199654756864E-3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39623</v>
      </c>
      <c r="D126" s="117">
        <v>41096</v>
      </c>
      <c r="E126" s="117">
        <f t="shared" ref="E126:E137" si="18">D126-C126</f>
        <v>1473</v>
      </c>
      <c r="F126" s="98">
        <f t="shared" ref="F126:F137" si="19">IF(C126=0,0,E126/C126)</f>
        <v>3.7175377937056761E-2</v>
      </c>
    </row>
    <row r="127" spans="1:6" ht="18" customHeight="1" x14ac:dyDescent="0.25">
      <c r="A127" s="99">
        <v>2</v>
      </c>
      <c r="B127" s="100" t="s">
        <v>113</v>
      </c>
      <c r="C127" s="117">
        <v>14107</v>
      </c>
      <c r="D127" s="117">
        <v>15241</v>
      </c>
      <c r="E127" s="117">
        <f t="shared" si="18"/>
        <v>1134</v>
      </c>
      <c r="F127" s="98">
        <f t="shared" si="19"/>
        <v>8.0385624158219329E-2</v>
      </c>
    </row>
    <row r="128" spans="1:6" ht="18" customHeight="1" x14ac:dyDescent="0.25">
      <c r="A128" s="99">
        <v>3</v>
      </c>
      <c r="B128" s="100" t="s">
        <v>114</v>
      </c>
      <c r="C128" s="117">
        <v>18723</v>
      </c>
      <c r="D128" s="117">
        <v>33923</v>
      </c>
      <c r="E128" s="117">
        <f t="shared" si="18"/>
        <v>15200</v>
      </c>
      <c r="F128" s="98">
        <f t="shared" si="19"/>
        <v>0.81183571008919508</v>
      </c>
    </row>
    <row r="129" spans="1:6" ht="18" customHeight="1" x14ac:dyDescent="0.25">
      <c r="A129" s="99">
        <v>4</v>
      </c>
      <c r="B129" s="100" t="s">
        <v>115</v>
      </c>
      <c r="C129" s="117">
        <v>31492</v>
      </c>
      <c r="D129" s="117">
        <v>36353</v>
      </c>
      <c r="E129" s="117">
        <f t="shared" si="18"/>
        <v>4861</v>
      </c>
      <c r="F129" s="98">
        <f t="shared" si="19"/>
        <v>0.15435666200939921</v>
      </c>
    </row>
    <row r="130" spans="1:6" ht="18" customHeight="1" x14ac:dyDescent="0.25">
      <c r="A130" s="99">
        <v>5</v>
      </c>
      <c r="B130" s="100" t="s">
        <v>116</v>
      </c>
      <c r="C130" s="117">
        <v>291</v>
      </c>
      <c r="D130" s="117">
        <v>286</v>
      </c>
      <c r="E130" s="117">
        <f t="shared" si="18"/>
        <v>-5</v>
      </c>
      <c r="F130" s="98">
        <f t="shared" si="19"/>
        <v>-1.7182130584192441E-2</v>
      </c>
    </row>
    <row r="131" spans="1:6" ht="18" customHeight="1" x14ac:dyDescent="0.25">
      <c r="A131" s="99">
        <v>6</v>
      </c>
      <c r="B131" s="100" t="s">
        <v>117</v>
      </c>
      <c r="C131" s="117">
        <v>32669</v>
      </c>
      <c r="D131" s="117">
        <v>30208</v>
      </c>
      <c r="E131" s="117">
        <f t="shared" si="18"/>
        <v>-2461</v>
      </c>
      <c r="F131" s="98">
        <f t="shared" si="19"/>
        <v>-7.5331353882885921E-2</v>
      </c>
    </row>
    <row r="132" spans="1:6" ht="18" customHeight="1" x14ac:dyDescent="0.25">
      <c r="A132" s="99">
        <v>7</v>
      </c>
      <c r="B132" s="100" t="s">
        <v>118</v>
      </c>
      <c r="C132" s="117">
        <v>50951</v>
      </c>
      <c r="D132" s="117">
        <v>56158</v>
      </c>
      <c r="E132" s="117">
        <f t="shared" si="18"/>
        <v>5207</v>
      </c>
      <c r="F132" s="98">
        <f t="shared" si="19"/>
        <v>0.10219622774822869</v>
      </c>
    </row>
    <row r="133" spans="1:6" ht="18" customHeight="1" x14ac:dyDescent="0.25">
      <c r="A133" s="99">
        <v>8</v>
      </c>
      <c r="B133" s="100" t="s">
        <v>119</v>
      </c>
      <c r="C133" s="117">
        <v>8364</v>
      </c>
      <c r="D133" s="117">
        <v>8760</v>
      </c>
      <c r="E133" s="117">
        <f t="shared" si="18"/>
        <v>396</v>
      </c>
      <c r="F133" s="98">
        <f t="shared" si="19"/>
        <v>4.7345767575322814E-2</v>
      </c>
    </row>
    <row r="134" spans="1:6" ht="18" customHeight="1" x14ac:dyDescent="0.25">
      <c r="A134" s="99">
        <v>9</v>
      </c>
      <c r="B134" s="100" t="s">
        <v>120</v>
      </c>
      <c r="C134" s="117">
        <v>29665</v>
      </c>
      <c r="D134" s="117">
        <v>29942</v>
      </c>
      <c r="E134" s="117">
        <f t="shared" si="18"/>
        <v>277</v>
      </c>
      <c r="F134" s="98">
        <f t="shared" si="19"/>
        <v>9.3376032361368617E-3</v>
      </c>
    </row>
    <row r="135" spans="1:6" ht="18" customHeight="1" x14ac:dyDescent="0.25">
      <c r="A135" s="99">
        <v>10</v>
      </c>
      <c r="B135" s="100" t="s">
        <v>121</v>
      </c>
      <c r="C135" s="117">
        <v>5969</v>
      </c>
      <c r="D135" s="117">
        <v>0</v>
      </c>
      <c r="E135" s="117">
        <f t="shared" si="18"/>
        <v>-5969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265</v>
      </c>
      <c r="D136" s="117">
        <v>388</v>
      </c>
      <c r="E136" s="117">
        <f t="shared" si="18"/>
        <v>123</v>
      </c>
      <c r="F136" s="98">
        <f t="shared" si="19"/>
        <v>0.46415094339622642</v>
      </c>
    </row>
    <row r="137" spans="1:6" ht="18" customHeight="1" x14ac:dyDescent="0.25">
      <c r="A137" s="101"/>
      <c r="B137" s="102" t="s">
        <v>143</v>
      </c>
      <c r="C137" s="118">
        <f>SUM(C126:C136)</f>
        <v>232119</v>
      </c>
      <c r="D137" s="118">
        <f>SUM(D126:D136)</f>
        <v>252355</v>
      </c>
      <c r="E137" s="118">
        <f t="shared" si="18"/>
        <v>20236</v>
      </c>
      <c r="F137" s="104">
        <f t="shared" si="19"/>
        <v>8.7179420900486387E-2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11701255</v>
      </c>
      <c r="D142" s="97">
        <v>14169505</v>
      </c>
      <c r="E142" s="97">
        <f t="shared" ref="E142:E153" si="20">D142-C142</f>
        <v>2468250</v>
      </c>
      <c r="F142" s="98">
        <f t="shared" ref="F142:F153" si="21">IF(C142=0,0,E142/C142)</f>
        <v>0.21093891210814567</v>
      </c>
    </row>
    <row r="143" spans="1:6" ht="18" customHeight="1" x14ac:dyDescent="0.25">
      <c r="A143" s="99">
        <v>2</v>
      </c>
      <c r="B143" s="100" t="s">
        <v>113</v>
      </c>
      <c r="C143" s="97">
        <v>3943261</v>
      </c>
      <c r="D143" s="97">
        <v>5545290</v>
      </c>
      <c r="E143" s="97">
        <f t="shared" si="20"/>
        <v>1602029</v>
      </c>
      <c r="F143" s="98">
        <f t="shared" si="21"/>
        <v>0.40627008965422273</v>
      </c>
    </row>
    <row r="144" spans="1:6" ht="18" customHeight="1" x14ac:dyDescent="0.25">
      <c r="A144" s="99">
        <v>3</v>
      </c>
      <c r="B144" s="100" t="s">
        <v>114</v>
      </c>
      <c r="C144" s="97">
        <v>7228017</v>
      </c>
      <c r="D144" s="97">
        <v>17644011</v>
      </c>
      <c r="E144" s="97">
        <f t="shared" si="20"/>
        <v>10415994</v>
      </c>
      <c r="F144" s="98">
        <f t="shared" si="21"/>
        <v>1.4410583151644496</v>
      </c>
    </row>
    <row r="145" spans="1:6" ht="18" customHeight="1" x14ac:dyDescent="0.25">
      <c r="A145" s="99">
        <v>4</v>
      </c>
      <c r="B145" s="100" t="s">
        <v>115</v>
      </c>
      <c r="C145" s="97">
        <v>11617137</v>
      </c>
      <c r="D145" s="97">
        <v>17017142</v>
      </c>
      <c r="E145" s="97">
        <f t="shared" si="20"/>
        <v>5400005</v>
      </c>
      <c r="F145" s="98">
        <f t="shared" si="21"/>
        <v>0.46483096480656122</v>
      </c>
    </row>
    <row r="146" spans="1:6" ht="18" customHeight="1" x14ac:dyDescent="0.25">
      <c r="A146" s="99">
        <v>5</v>
      </c>
      <c r="B146" s="100" t="s">
        <v>116</v>
      </c>
      <c r="C146" s="97">
        <v>142737</v>
      </c>
      <c r="D146" s="97">
        <v>179980</v>
      </c>
      <c r="E146" s="97">
        <f t="shared" si="20"/>
        <v>37243</v>
      </c>
      <c r="F146" s="98">
        <f t="shared" si="21"/>
        <v>0.26092043408506554</v>
      </c>
    </row>
    <row r="147" spans="1:6" ht="18" customHeight="1" x14ac:dyDescent="0.25">
      <c r="A147" s="99">
        <v>6</v>
      </c>
      <c r="B147" s="100" t="s">
        <v>117</v>
      </c>
      <c r="C147" s="97">
        <v>9190106</v>
      </c>
      <c r="D147" s="97">
        <v>9555044</v>
      </c>
      <c r="E147" s="97">
        <f t="shared" si="20"/>
        <v>364938</v>
      </c>
      <c r="F147" s="98">
        <f t="shared" si="21"/>
        <v>3.970987929845423E-2</v>
      </c>
    </row>
    <row r="148" spans="1:6" ht="18" customHeight="1" x14ac:dyDescent="0.25">
      <c r="A148" s="99">
        <v>7</v>
      </c>
      <c r="B148" s="100" t="s">
        <v>118</v>
      </c>
      <c r="C148" s="97">
        <v>16252448</v>
      </c>
      <c r="D148" s="97">
        <v>19472744</v>
      </c>
      <c r="E148" s="97">
        <f t="shared" si="20"/>
        <v>3220296</v>
      </c>
      <c r="F148" s="98">
        <f t="shared" si="21"/>
        <v>0.19814221217628261</v>
      </c>
    </row>
    <row r="149" spans="1:6" ht="18" customHeight="1" x14ac:dyDescent="0.25">
      <c r="A149" s="99">
        <v>8</v>
      </c>
      <c r="B149" s="100" t="s">
        <v>119</v>
      </c>
      <c r="C149" s="97">
        <v>1211214</v>
      </c>
      <c r="D149" s="97">
        <v>1281184</v>
      </c>
      <c r="E149" s="97">
        <f t="shared" si="20"/>
        <v>69970</v>
      </c>
      <c r="F149" s="98">
        <f t="shared" si="21"/>
        <v>5.7768486823963398E-2</v>
      </c>
    </row>
    <row r="150" spans="1:6" ht="18" customHeight="1" x14ac:dyDescent="0.25">
      <c r="A150" s="99">
        <v>9</v>
      </c>
      <c r="B150" s="100" t="s">
        <v>120</v>
      </c>
      <c r="C150" s="97">
        <v>12652143</v>
      </c>
      <c r="D150" s="97">
        <v>14738941</v>
      </c>
      <c r="E150" s="97">
        <f t="shared" si="20"/>
        <v>2086798</v>
      </c>
      <c r="F150" s="98">
        <f t="shared" si="21"/>
        <v>0.16493632738738409</v>
      </c>
    </row>
    <row r="151" spans="1:6" ht="18" customHeight="1" x14ac:dyDescent="0.25">
      <c r="A151" s="99">
        <v>10</v>
      </c>
      <c r="B151" s="100" t="s">
        <v>121</v>
      </c>
      <c r="C151" s="97">
        <v>3461648</v>
      </c>
      <c r="D151" s="97">
        <v>0</v>
      </c>
      <c r="E151" s="97">
        <f t="shared" si="20"/>
        <v>-3461648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217946</v>
      </c>
      <c r="D152" s="97">
        <v>440224</v>
      </c>
      <c r="E152" s="97">
        <f t="shared" si="20"/>
        <v>222278</v>
      </c>
      <c r="F152" s="98">
        <f t="shared" si="21"/>
        <v>1.0198764831655547</v>
      </c>
    </row>
    <row r="153" spans="1:6" ht="33.75" customHeight="1" x14ac:dyDescent="0.25">
      <c r="A153" s="101"/>
      <c r="B153" s="102" t="s">
        <v>147</v>
      </c>
      <c r="C153" s="103">
        <f>SUM(C142:C152)</f>
        <v>77617912</v>
      </c>
      <c r="D153" s="103">
        <f>SUM(D142:D152)</f>
        <v>100044065</v>
      </c>
      <c r="E153" s="103">
        <f t="shared" si="20"/>
        <v>22426153</v>
      </c>
      <c r="F153" s="104">
        <f t="shared" si="21"/>
        <v>0.28893012478872143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3143010</v>
      </c>
      <c r="D155" s="97">
        <v>3234767</v>
      </c>
      <c r="E155" s="97">
        <f t="shared" ref="E155:E166" si="22">D155-C155</f>
        <v>91757</v>
      </c>
      <c r="F155" s="98">
        <f t="shared" ref="F155:F166" si="23">IF(C155=0,0,E155/C155)</f>
        <v>2.9193989201434293E-2</v>
      </c>
    </row>
    <row r="156" spans="1:6" ht="18" customHeight="1" x14ac:dyDescent="0.25">
      <c r="A156" s="99">
        <v>2</v>
      </c>
      <c r="B156" s="100" t="s">
        <v>113</v>
      </c>
      <c r="C156" s="97">
        <v>1046117</v>
      </c>
      <c r="D156" s="97">
        <v>1685389</v>
      </c>
      <c r="E156" s="97">
        <f t="shared" si="22"/>
        <v>639272</v>
      </c>
      <c r="F156" s="98">
        <f t="shared" si="23"/>
        <v>0.61109034649088012</v>
      </c>
    </row>
    <row r="157" spans="1:6" ht="18" customHeight="1" x14ac:dyDescent="0.25">
      <c r="A157" s="99">
        <v>3</v>
      </c>
      <c r="B157" s="100" t="s">
        <v>114</v>
      </c>
      <c r="C157" s="97">
        <v>1619364</v>
      </c>
      <c r="D157" s="97">
        <v>3635170</v>
      </c>
      <c r="E157" s="97">
        <f t="shared" si="22"/>
        <v>2015806</v>
      </c>
      <c r="F157" s="98">
        <f t="shared" si="23"/>
        <v>1.2448133958764058</v>
      </c>
    </row>
    <row r="158" spans="1:6" ht="18" customHeight="1" x14ac:dyDescent="0.25">
      <c r="A158" s="99">
        <v>4</v>
      </c>
      <c r="B158" s="100" t="s">
        <v>115</v>
      </c>
      <c r="C158" s="97">
        <v>3174450</v>
      </c>
      <c r="D158" s="97">
        <v>4981575</v>
      </c>
      <c r="E158" s="97">
        <f t="shared" si="22"/>
        <v>1807125</v>
      </c>
      <c r="F158" s="98">
        <f t="shared" si="23"/>
        <v>0.56927184236639417</v>
      </c>
    </row>
    <row r="159" spans="1:6" ht="18" customHeight="1" x14ac:dyDescent="0.25">
      <c r="A159" s="99">
        <v>5</v>
      </c>
      <c r="B159" s="100" t="s">
        <v>116</v>
      </c>
      <c r="C159" s="97">
        <v>65756</v>
      </c>
      <c r="D159" s="97">
        <v>53499</v>
      </c>
      <c r="E159" s="97">
        <f t="shared" si="22"/>
        <v>-12257</v>
      </c>
      <c r="F159" s="98">
        <f t="shared" si="23"/>
        <v>-0.18640124095139607</v>
      </c>
    </row>
    <row r="160" spans="1:6" ht="18" customHeight="1" x14ac:dyDescent="0.25">
      <c r="A160" s="99">
        <v>6</v>
      </c>
      <c r="B160" s="100" t="s">
        <v>117</v>
      </c>
      <c r="C160" s="97">
        <v>4438615</v>
      </c>
      <c r="D160" s="97">
        <v>5876939</v>
      </c>
      <c r="E160" s="97">
        <f t="shared" si="22"/>
        <v>1438324</v>
      </c>
      <c r="F160" s="98">
        <f t="shared" si="23"/>
        <v>0.32404792936535382</v>
      </c>
    </row>
    <row r="161" spans="1:6" ht="18" customHeight="1" x14ac:dyDescent="0.25">
      <c r="A161" s="99">
        <v>7</v>
      </c>
      <c r="B161" s="100" t="s">
        <v>118</v>
      </c>
      <c r="C161" s="97">
        <v>8660519</v>
      </c>
      <c r="D161" s="97">
        <v>14761450</v>
      </c>
      <c r="E161" s="97">
        <f t="shared" si="22"/>
        <v>6100931</v>
      </c>
      <c r="F161" s="98">
        <f t="shared" si="23"/>
        <v>0.7044532781464945</v>
      </c>
    </row>
    <row r="162" spans="1:6" ht="18" customHeight="1" x14ac:dyDescent="0.25">
      <c r="A162" s="99">
        <v>8</v>
      </c>
      <c r="B162" s="100" t="s">
        <v>119</v>
      </c>
      <c r="C162" s="97">
        <v>884529</v>
      </c>
      <c r="D162" s="97">
        <v>1039224</v>
      </c>
      <c r="E162" s="97">
        <f t="shared" si="22"/>
        <v>154695</v>
      </c>
      <c r="F162" s="98">
        <f t="shared" si="23"/>
        <v>0.17488968705378793</v>
      </c>
    </row>
    <row r="163" spans="1:6" ht="18" customHeight="1" x14ac:dyDescent="0.25">
      <c r="A163" s="99">
        <v>9</v>
      </c>
      <c r="B163" s="100" t="s">
        <v>120</v>
      </c>
      <c r="C163" s="97">
        <v>1969363</v>
      </c>
      <c r="D163" s="97">
        <v>889598</v>
      </c>
      <c r="E163" s="97">
        <f t="shared" si="22"/>
        <v>-1079765</v>
      </c>
      <c r="F163" s="98">
        <f t="shared" si="23"/>
        <v>-0.54828134782668303</v>
      </c>
    </row>
    <row r="164" spans="1:6" ht="18" customHeight="1" x14ac:dyDescent="0.25">
      <c r="A164" s="99">
        <v>10</v>
      </c>
      <c r="B164" s="100" t="s">
        <v>121</v>
      </c>
      <c r="C164" s="97">
        <v>189279</v>
      </c>
      <c r="D164" s="97">
        <v>0</v>
      </c>
      <c r="E164" s="97">
        <f t="shared" si="22"/>
        <v>-189279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5505</v>
      </c>
      <c r="D165" s="97">
        <v>164219</v>
      </c>
      <c r="E165" s="97">
        <f t="shared" si="22"/>
        <v>158714</v>
      </c>
      <c r="F165" s="98">
        <f t="shared" si="23"/>
        <v>28.830881017257038</v>
      </c>
    </row>
    <row r="166" spans="1:6" ht="33.75" customHeight="1" x14ac:dyDescent="0.25">
      <c r="A166" s="101"/>
      <c r="B166" s="102" t="s">
        <v>149</v>
      </c>
      <c r="C166" s="103">
        <f>SUM(C155:C165)</f>
        <v>25196507</v>
      </c>
      <c r="D166" s="103">
        <f>SUM(D155:D165)</f>
        <v>36321830</v>
      </c>
      <c r="E166" s="103">
        <f t="shared" si="22"/>
        <v>11125323</v>
      </c>
      <c r="F166" s="104">
        <f t="shared" si="23"/>
        <v>0.4415422740937861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6490</v>
      </c>
      <c r="D168" s="117">
        <v>6901</v>
      </c>
      <c r="E168" s="117">
        <f t="shared" ref="E168:E179" si="24">D168-C168</f>
        <v>411</v>
      </c>
      <c r="F168" s="98">
        <f t="shared" ref="F168:F179" si="25">IF(C168=0,0,E168/C168)</f>
        <v>6.3328197226502306E-2</v>
      </c>
    </row>
    <row r="169" spans="1:6" ht="18" customHeight="1" x14ac:dyDescent="0.25">
      <c r="A169" s="99">
        <v>2</v>
      </c>
      <c r="B169" s="100" t="s">
        <v>113</v>
      </c>
      <c r="C169" s="117">
        <v>2021</v>
      </c>
      <c r="D169" s="117">
        <v>2484</v>
      </c>
      <c r="E169" s="117">
        <f t="shared" si="24"/>
        <v>463</v>
      </c>
      <c r="F169" s="98">
        <f t="shared" si="25"/>
        <v>0.22909450766947057</v>
      </c>
    </row>
    <row r="170" spans="1:6" ht="18" customHeight="1" x14ac:dyDescent="0.25">
      <c r="A170" s="99">
        <v>3</v>
      </c>
      <c r="B170" s="100" t="s">
        <v>114</v>
      </c>
      <c r="C170" s="117">
        <v>5232</v>
      </c>
      <c r="D170" s="117">
        <v>10796</v>
      </c>
      <c r="E170" s="117">
        <f t="shared" si="24"/>
        <v>5564</v>
      </c>
      <c r="F170" s="98">
        <f t="shared" si="25"/>
        <v>1.0634556574923548</v>
      </c>
    </row>
    <row r="171" spans="1:6" ht="18" customHeight="1" x14ac:dyDescent="0.25">
      <c r="A171" s="99">
        <v>4</v>
      </c>
      <c r="B171" s="100" t="s">
        <v>115</v>
      </c>
      <c r="C171" s="117">
        <v>10876</v>
      </c>
      <c r="D171" s="117">
        <v>13226</v>
      </c>
      <c r="E171" s="117">
        <f t="shared" si="24"/>
        <v>2350</v>
      </c>
      <c r="F171" s="98">
        <f t="shared" si="25"/>
        <v>0.2160720853254873</v>
      </c>
    </row>
    <row r="172" spans="1:6" ht="18" customHeight="1" x14ac:dyDescent="0.25">
      <c r="A172" s="99">
        <v>5</v>
      </c>
      <c r="B172" s="100" t="s">
        <v>116</v>
      </c>
      <c r="C172" s="117">
        <v>100</v>
      </c>
      <c r="D172" s="117">
        <v>106</v>
      </c>
      <c r="E172" s="117">
        <f t="shared" si="24"/>
        <v>6</v>
      </c>
      <c r="F172" s="98">
        <f t="shared" si="25"/>
        <v>0.06</v>
      </c>
    </row>
    <row r="173" spans="1:6" ht="18" customHeight="1" x14ac:dyDescent="0.25">
      <c r="A173" s="99">
        <v>6</v>
      </c>
      <c r="B173" s="100" t="s">
        <v>117</v>
      </c>
      <c r="C173" s="117">
        <v>6494</v>
      </c>
      <c r="D173" s="117">
        <v>5627</v>
      </c>
      <c r="E173" s="117">
        <f t="shared" si="24"/>
        <v>-867</v>
      </c>
      <c r="F173" s="98">
        <f t="shared" si="25"/>
        <v>-0.13350785340314136</v>
      </c>
    </row>
    <row r="174" spans="1:6" ht="18" customHeight="1" x14ac:dyDescent="0.25">
      <c r="A174" s="99">
        <v>7</v>
      </c>
      <c r="B174" s="100" t="s">
        <v>118</v>
      </c>
      <c r="C174" s="117">
        <v>10178</v>
      </c>
      <c r="D174" s="117">
        <v>10781</v>
      </c>
      <c r="E174" s="117">
        <f t="shared" si="24"/>
        <v>603</v>
      </c>
      <c r="F174" s="98">
        <f t="shared" si="25"/>
        <v>5.9245431322460206E-2</v>
      </c>
    </row>
    <row r="175" spans="1:6" ht="18" customHeight="1" x14ac:dyDescent="0.25">
      <c r="A175" s="99">
        <v>8</v>
      </c>
      <c r="B175" s="100" t="s">
        <v>119</v>
      </c>
      <c r="C175" s="117">
        <v>1068</v>
      </c>
      <c r="D175" s="117">
        <v>942</v>
      </c>
      <c r="E175" s="117">
        <f t="shared" si="24"/>
        <v>-126</v>
      </c>
      <c r="F175" s="98">
        <f t="shared" si="25"/>
        <v>-0.11797752808988764</v>
      </c>
    </row>
    <row r="176" spans="1:6" ht="18" customHeight="1" x14ac:dyDescent="0.25">
      <c r="A176" s="99">
        <v>9</v>
      </c>
      <c r="B176" s="100" t="s">
        <v>120</v>
      </c>
      <c r="C176" s="117">
        <v>9315</v>
      </c>
      <c r="D176" s="117">
        <v>9196</v>
      </c>
      <c r="E176" s="117">
        <f t="shared" si="24"/>
        <v>-119</v>
      </c>
      <c r="F176" s="98">
        <f t="shared" si="25"/>
        <v>-1.2775093934514224E-2</v>
      </c>
    </row>
    <row r="177" spans="1:6" ht="18" customHeight="1" x14ac:dyDescent="0.25">
      <c r="A177" s="99">
        <v>10</v>
      </c>
      <c r="B177" s="100" t="s">
        <v>121</v>
      </c>
      <c r="C177" s="117">
        <v>2776</v>
      </c>
      <c r="D177" s="117">
        <v>0</v>
      </c>
      <c r="E177" s="117">
        <f t="shared" si="24"/>
        <v>-2776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210</v>
      </c>
      <c r="D178" s="117">
        <v>301</v>
      </c>
      <c r="E178" s="117">
        <f t="shared" si="24"/>
        <v>91</v>
      </c>
      <c r="F178" s="98">
        <f t="shared" si="25"/>
        <v>0.43333333333333335</v>
      </c>
    </row>
    <row r="179" spans="1:6" ht="33.75" customHeight="1" x14ac:dyDescent="0.25">
      <c r="A179" s="101"/>
      <c r="B179" s="102" t="s">
        <v>151</v>
      </c>
      <c r="C179" s="118">
        <f>SUM(C168:C178)</f>
        <v>54760</v>
      </c>
      <c r="D179" s="118">
        <f>SUM(D168:D178)</f>
        <v>60360</v>
      </c>
      <c r="E179" s="118">
        <f t="shared" si="24"/>
        <v>5600</v>
      </c>
      <c r="F179" s="104">
        <f t="shared" si="25"/>
        <v>0.10226442658875091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FILING&amp;RSAINT VINCENT`S MEDICAL CENTER</oddHeader>
    <oddFooter>&amp;LREPORT 165&amp;C&amp;P of &amp;N&amp;R&amp;D,&amp;T</oddFooter>
  </headerFooter>
  <rowBreaks count="2" manualBreakCount="2">
    <brk id="68" max="5" man="1"/>
    <brk id="1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6.710937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61447266</v>
      </c>
      <c r="D15" s="146">
        <v>62345375</v>
      </c>
      <c r="E15" s="146">
        <f>+D15-C15</f>
        <v>898109</v>
      </c>
      <c r="F15" s="150">
        <f>IF(C15=0,0,E15/C15)</f>
        <v>1.4615931000087132E-2</v>
      </c>
    </row>
    <row r="16" spans="1:7" ht="15" customHeight="1" x14ac:dyDescent="0.2">
      <c r="A16" s="141">
        <v>2</v>
      </c>
      <c r="B16" s="149" t="s">
        <v>158</v>
      </c>
      <c r="C16" s="146">
        <v>14734157</v>
      </c>
      <c r="D16" s="146">
        <v>10691645</v>
      </c>
      <c r="E16" s="146">
        <f>+D16-C16</f>
        <v>-4042512</v>
      </c>
      <c r="F16" s="150">
        <f>IF(C16=0,0,E16/C16)</f>
        <v>-0.27436330425961936</v>
      </c>
    </row>
    <row r="17" spans="1:7" ht="15" customHeight="1" x14ac:dyDescent="0.2">
      <c r="A17" s="141">
        <v>3</v>
      </c>
      <c r="B17" s="149" t="s">
        <v>159</v>
      </c>
      <c r="C17" s="146">
        <v>66164577</v>
      </c>
      <c r="D17" s="146">
        <v>69982980</v>
      </c>
      <c r="E17" s="146">
        <f>+D17-C17</f>
        <v>3818403</v>
      </c>
      <c r="F17" s="150">
        <f>IF(C17=0,0,E17/C17)</f>
        <v>5.7710684071931723E-2</v>
      </c>
    </row>
    <row r="18" spans="1:7" ht="15.75" customHeight="1" x14ac:dyDescent="0.25">
      <c r="A18" s="141"/>
      <c r="B18" s="151" t="s">
        <v>160</v>
      </c>
      <c r="C18" s="147">
        <f>SUM(C15:C17)</f>
        <v>142346000</v>
      </c>
      <c r="D18" s="147">
        <f>SUM(D15:D17)</f>
        <v>143020000</v>
      </c>
      <c r="E18" s="147">
        <f>+D18-C18</f>
        <v>674000</v>
      </c>
      <c r="F18" s="148">
        <f>IF(C18=0,0,E18/C18)</f>
        <v>4.734941621120369E-3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16610102</v>
      </c>
      <c r="D21" s="146">
        <v>17202845</v>
      </c>
      <c r="E21" s="146">
        <f>+D21-C21</f>
        <v>592743</v>
      </c>
      <c r="F21" s="150">
        <f>IF(C21=0,0,E21/C21)</f>
        <v>3.5685692959621804E-2</v>
      </c>
    </row>
    <row r="22" spans="1:7" ht="15" customHeight="1" x14ac:dyDescent="0.2">
      <c r="A22" s="141">
        <v>2</v>
      </c>
      <c r="B22" s="149" t="s">
        <v>163</v>
      </c>
      <c r="C22" s="146">
        <v>3982860</v>
      </c>
      <c r="D22" s="146">
        <v>2950126</v>
      </c>
      <c r="E22" s="146">
        <f>+D22-C22</f>
        <v>-1032734</v>
      </c>
      <c r="F22" s="150">
        <f>IF(C22=0,0,E22/C22)</f>
        <v>-0.25929457726357441</v>
      </c>
    </row>
    <row r="23" spans="1:7" ht="15" customHeight="1" x14ac:dyDescent="0.2">
      <c r="A23" s="141">
        <v>3</v>
      </c>
      <c r="B23" s="149" t="s">
        <v>164</v>
      </c>
      <c r="C23" s="146">
        <v>17885038</v>
      </c>
      <c r="D23" s="146">
        <v>19310029</v>
      </c>
      <c r="E23" s="146">
        <f>+D23-C23</f>
        <v>1424991</v>
      </c>
      <c r="F23" s="150">
        <f>IF(C23=0,0,E23/C23)</f>
        <v>7.9675033399425818E-2</v>
      </c>
    </row>
    <row r="24" spans="1:7" ht="15.75" customHeight="1" x14ac:dyDescent="0.25">
      <c r="A24" s="141"/>
      <c r="B24" s="151" t="s">
        <v>165</v>
      </c>
      <c r="C24" s="147">
        <f>SUM(C21:C23)</f>
        <v>38478000</v>
      </c>
      <c r="D24" s="147">
        <f>SUM(D21:D23)</f>
        <v>39463000</v>
      </c>
      <c r="E24" s="147">
        <f>+D24-C24</f>
        <v>985000</v>
      </c>
      <c r="F24" s="148">
        <f>IF(C24=0,0,E24/C24)</f>
        <v>2.5599043609335206E-2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969320</v>
      </c>
      <c r="D27" s="146">
        <v>1132788</v>
      </c>
      <c r="E27" s="146">
        <f>+D27-C27</f>
        <v>163468</v>
      </c>
      <c r="F27" s="150">
        <f>IF(C27=0,0,E27/C27)</f>
        <v>0.16864193455205712</v>
      </c>
    </row>
    <row r="28" spans="1:7" ht="15" customHeight="1" x14ac:dyDescent="0.2">
      <c r="A28" s="141">
        <v>2</v>
      </c>
      <c r="B28" s="149" t="s">
        <v>168</v>
      </c>
      <c r="C28" s="146">
        <v>2362000</v>
      </c>
      <c r="D28" s="146">
        <v>3123000</v>
      </c>
      <c r="E28" s="146">
        <f>+D28-C28</f>
        <v>761000</v>
      </c>
      <c r="F28" s="150">
        <f>IF(C28=0,0,E28/C28)</f>
        <v>0.32218458933107536</v>
      </c>
    </row>
    <row r="29" spans="1:7" ht="15" customHeight="1" x14ac:dyDescent="0.2">
      <c r="A29" s="141">
        <v>3</v>
      </c>
      <c r="B29" s="149" t="s">
        <v>169</v>
      </c>
      <c r="C29" s="146">
        <v>576059</v>
      </c>
      <c r="D29" s="146">
        <v>788496</v>
      </c>
      <c r="E29" s="146">
        <f>+D29-C29</f>
        <v>212437</v>
      </c>
      <c r="F29" s="150">
        <f>IF(C29=0,0,E29/C29)</f>
        <v>0.36877646213321902</v>
      </c>
    </row>
    <row r="30" spans="1:7" ht="15.75" customHeight="1" x14ac:dyDescent="0.25">
      <c r="A30" s="141"/>
      <c r="B30" s="151" t="s">
        <v>170</v>
      </c>
      <c r="C30" s="147">
        <f>SUM(C27:C29)</f>
        <v>3907379</v>
      </c>
      <c r="D30" s="147">
        <f>SUM(D27:D29)</f>
        <v>5044284</v>
      </c>
      <c r="E30" s="147">
        <f>+D30-C30</f>
        <v>1136905</v>
      </c>
      <c r="F30" s="148">
        <f>IF(C30=0,0,E30/C30)</f>
        <v>0.29096358454094162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38482803</v>
      </c>
      <c r="D33" s="146">
        <v>37894700</v>
      </c>
      <c r="E33" s="146">
        <f>+D33-C33</f>
        <v>-588103</v>
      </c>
      <c r="F33" s="150">
        <f>IF(C33=0,0,E33/C33)</f>
        <v>-1.5282228791909986E-2</v>
      </c>
    </row>
    <row r="34" spans="1:7" ht="15" customHeight="1" x14ac:dyDescent="0.2">
      <c r="A34" s="141">
        <v>2</v>
      </c>
      <c r="B34" s="149" t="s">
        <v>174</v>
      </c>
      <c r="C34" s="146">
        <v>14894197</v>
      </c>
      <c r="D34" s="146">
        <v>13382300</v>
      </c>
      <c r="E34" s="146">
        <f>+D34-C34</f>
        <v>-1511897</v>
      </c>
      <c r="F34" s="150">
        <f>IF(C34=0,0,E34/C34)</f>
        <v>-0.10150913137512549</v>
      </c>
    </row>
    <row r="35" spans="1:7" ht="15.75" customHeight="1" x14ac:dyDescent="0.25">
      <c r="A35" s="141"/>
      <c r="B35" s="151" t="s">
        <v>175</v>
      </c>
      <c r="C35" s="147">
        <f>SUM(C33:C34)</f>
        <v>53377000</v>
      </c>
      <c r="D35" s="147">
        <f>SUM(D33:D34)</f>
        <v>51277000</v>
      </c>
      <c r="E35" s="147">
        <f>+D35-C35</f>
        <v>-2100000</v>
      </c>
      <c r="F35" s="148">
        <f>IF(C35=0,0,E35/C35)</f>
        <v>-3.9342788092249469E-2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10060379</v>
      </c>
      <c r="D38" s="146">
        <v>10340960</v>
      </c>
      <c r="E38" s="146">
        <f>+D38-C38</f>
        <v>280581</v>
      </c>
      <c r="F38" s="150">
        <f>IF(C38=0,0,E38/C38)</f>
        <v>2.7889704751679831E-2</v>
      </c>
    </row>
    <row r="39" spans="1:7" ht="15" customHeight="1" x14ac:dyDescent="0.2">
      <c r="A39" s="141">
        <v>2</v>
      </c>
      <c r="B39" s="149" t="s">
        <v>179</v>
      </c>
      <c r="C39" s="146">
        <v>12054621</v>
      </c>
      <c r="D39" s="146">
        <v>12554040</v>
      </c>
      <c r="E39" s="146">
        <f>+D39-C39</f>
        <v>499419</v>
      </c>
      <c r="F39" s="150">
        <f>IF(C39=0,0,E39/C39)</f>
        <v>4.14296724882516E-2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22115000</v>
      </c>
      <c r="D41" s="147">
        <f>SUM(D38:D40)</f>
        <v>22895000</v>
      </c>
      <c r="E41" s="147">
        <f>+D41-C41</f>
        <v>780000</v>
      </c>
      <c r="F41" s="148">
        <f>IF(C41=0,0,E41/C41)</f>
        <v>3.5270178611801942E-2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21127000</v>
      </c>
      <c r="D44" s="146">
        <v>32811000</v>
      </c>
      <c r="E44" s="146">
        <f>+D44-C44</f>
        <v>11684000</v>
      </c>
      <c r="F44" s="150">
        <f>IF(C44=0,0,E44/C44)</f>
        <v>0.55303639892081224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2186000</v>
      </c>
      <c r="D47" s="146">
        <v>2562000</v>
      </c>
      <c r="E47" s="146">
        <f>+D47-C47</f>
        <v>376000</v>
      </c>
      <c r="F47" s="150">
        <f>IF(C47=0,0,E47/C47)</f>
        <v>0.17200365965233302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7005000</v>
      </c>
      <c r="D50" s="146">
        <v>3148000</v>
      </c>
      <c r="E50" s="146">
        <f>+D50-C50</f>
        <v>-3857000</v>
      </c>
      <c r="F50" s="150">
        <f>IF(C50=0,0,E50/C50)</f>
        <v>-0.5506067094932191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380757</v>
      </c>
      <c r="D53" s="146">
        <v>414496</v>
      </c>
      <c r="E53" s="146">
        <f t="shared" ref="E53:E59" si="0">+D53-C53</f>
        <v>33739</v>
      </c>
      <c r="F53" s="150">
        <f t="shared" ref="F53:F59" si="1">IF(C53=0,0,E53/C53)</f>
        <v>8.8610321018392307E-2</v>
      </c>
    </row>
    <row r="54" spans="1:7" ht="15" customHeight="1" x14ac:dyDescent="0.2">
      <c r="A54" s="141">
        <v>2</v>
      </c>
      <c r="B54" s="149" t="s">
        <v>193</v>
      </c>
      <c r="C54" s="146">
        <v>900350</v>
      </c>
      <c r="D54" s="146">
        <v>1434571</v>
      </c>
      <c r="E54" s="146">
        <f t="shared" si="0"/>
        <v>534221</v>
      </c>
      <c r="F54" s="150">
        <f t="shared" si="1"/>
        <v>0.59334814238907096</v>
      </c>
    </row>
    <row r="55" spans="1:7" ht="15" customHeight="1" x14ac:dyDescent="0.2">
      <c r="A55" s="141">
        <v>3</v>
      </c>
      <c r="B55" s="149" t="s">
        <v>194</v>
      </c>
      <c r="C55" s="146">
        <v>353187</v>
      </c>
      <c r="D55" s="146">
        <v>77234</v>
      </c>
      <c r="E55" s="146">
        <f t="shared" si="0"/>
        <v>-275953</v>
      </c>
      <c r="F55" s="150">
        <f t="shared" si="1"/>
        <v>-0.78132264211310154</v>
      </c>
    </row>
    <row r="56" spans="1:7" ht="15" customHeight="1" x14ac:dyDescent="0.2">
      <c r="A56" s="141">
        <v>4</v>
      </c>
      <c r="B56" s="149" t="s">
        <v>195</v>
      </c>
      <c r="C56" s="146">
        <v>3365047</v>
      </c>
      <c r="D56" s="146">
        <v>3369703</v>
      </c>
      <c r="E56" s="146">
        <f t="shared" si="0"/>
        <v>4656</v>
      </c>
      <c r="F56" s="150">
        <f t="shared" si="1"/>
        <v>1.3836359492155682E-3</v>
      </c>
    </row>
    <row r="57" spans="1:7" ht="15" customHeight="1" x14ac:dyDescent="0.2">
      <c r="A57" s="141">
        <v>5</v>
      </c>
      <c r="B57" s="149" t="s">
        <v>196</v>
      </c>
      <c r="C57" s="146">
        <v>746719</v>
      </c>
      <c r="D57" s="146">
        <v>841565</v>
      </c>
      <c r="E57" s="146">
        <f t="shared" si="0"/>
        <v>94846</v>
      </c>
      <c r="F57" s="150">
        <f t="shared" si="1"/>
        <v>0.12701699032701727</v>
      </c>
    </row>
    <row r="58" spans="1:7" ht="15" customHeight="1" x14ac:dyDescent="0.2">
      <c r="A58" s="141">
        <v>6</v>
      </c>
      <c r="B58" s="149" t="s">
        <v>197</v>
      </c>
      <c r="C58" s="146">
        <v>44706</v>
      </c>
      <c r="D58" s="146">
        <v>48387</v>
      </c>
      <c r="E58" s="146">
        <f t="shared" si="0"/>
        <v>3681</v>
      </c>
      <c r="F58" s="150">
        <f t="shared" si="1"/>
        <v>8.2337941215944163E-2</v>
      </c>
    </row>
    <row r="59" spans="1:7" ht="15.75" customHeight="1" x14ac:dyDescent="0.25">
      <c r="A59" s="141"/>
      <c r="B59" s="151" t="s">
        <v>198</v>
      </c>
      <c r="C59" s="147">
        <f>SUM(C53:C58)</f>
        <v>5790766</v>
      </c>
      <c r="D59" s="147">
        <f>SUM(D53:D58)</f>
        <v>6185956</v>
      </c>
      <c r="E59" s="147">
        <f t="shared" si="0"/>
        <v>395190</v>
      </c>
      <c r="F59" s="148">
        <f t="shared" si="1"/>
        <v>6.8244857416100049E-2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329525</v>
      </c>
      <c r="D62" s="146">
        <v>447983</v>
      </c>
      <c r="E62" s="146">
        <f t="shared" ref="E62:E78" si="2">+D62-C62</f>
        <v>118458</v>
      </c>
      <c r="F62" s="150">
        <f t="shared" ref="F62:F78" si="3">IF(C62=0,0,E62/C62)</f>
        <v>0.35948107123890449</v>
      </c>
    </row>
    <row r="63" spans="1:7" ht="15" customHeight="1" x14ac:dyDescent="0.2">
      <c r="A63" s="141">
        <v>2</v>
      </c>
      <c r="B63" s="149" t="s">
        <v>202</v>
      </c>
      <c r="C63" s="146">
        <v>1161429</v>
      </c>
      <c r="D63" s="146">
        <v>1506862</v>
      </c>
      <c r="E63" s="146">
        <f t="shared" si="2"/>
        <v>345433</v>
      </c>
      <c r="F63" s="150">
        <f t="shared" si="3"/>
        <v>0.29742067745854461</v>
      </c>
    </row>
    <row r="64" spans="1:7" ht="15" customHeight="1" x14ac:dyDescent="0.2">
      <c r="A64" s="141">
        <v>3</v>
      </c>
      <c r="B64" s="149" t="s">
        <v>203</v>
      </c>
      <c r="C64" s="146">
        <v>1103284</v>
      </c>
      <c r="D64" s="146">
        <v>1598828</v>
      </c>
      <c r="E64" s="146">
        <f t="shared" si="2"/>
        <v>495544</v>
      </c>
      <c r="F64" s="150">
        <f t="shared" si="3"/>
        <v>0.44915361774484175</v>
      </c>
    </row>
    <row r="65" spans="1:7" ht="15" customHeight="1" x14ac:dyDescent="0.2">
      <c r="A65" s="141">
        <v>4</v>
      </c>
      <c r="B65" s="149" t="s">
        <v>204</v>
      </c>
      <c r="C65" s="146">
        <v>855242</v>
      </c>
      <c r="D65" s="146">
        <v>757218</v>
      </c>
      <c r="E65" s="146">
        <f t="shared" si="2"/>
        <v>-98024</v>
      </c>
      <c r="F65" s="150">
        <f t="shared" si="3"/>
        <v>-0.11461551233452053</v>
      </c>
    </row>
    <row r="66" spans="1:7" ht="15" customHeight="1" x14ac:dyDescent="0.2">
      <c r="A66" s="141">
        <v>5</v>
      </c>
      <c r="B66" s="149" t="s">
        <v>205</v>
      </c>
      <c r="C66" s="146">
        <v>1019926</v>
      </c>
      <c r="D66" s="146">
        <v>676143</v>
      </c>
      <c r="E66" s="146">
        <f t="shared" si="2"/>
        <v>-343783</v>
      </c>
      <c r="F66" s="150">
        <f t="shared" si="3"/>
        <v>-0.33706661071489502</v>
      </c>
    </row>
    <row r="67" spans="1:7" ht="15" customHeight="1" x14ac:dyDescent="0.2">
      <c r="A67" s="141">
        <v>6</v>
      </c>
      <c r="B67" s="149" t="s">
        <v>206</v>
      </c>
      <c r="C67" s="146">
        <v>2044747</v>
      </c>
      <c r="D67" s="146">
        <v>2155801</v>
      </c>
      <c r="E67" s="146">
        <f t="shared" si="2"/>
        <v>111054</v>
      </c>
      <c r="F67" s="150">
        <f t="shared" si="3"/>
        <v>5.4311853740340491E-2</v>
      </c>
    </row>
    <row r="68" spans="1:7" ht="15" customHeight="1" x14ac:dyDescent="0.2">
      <c r="A68" s="141">
        <v>7</v>
      </c>
      <c r="B68" s="149" t="s">
        <v>207</v>
      </c>
      <c r="C68" s="146">
        <v>2430592</v>
      </c>
      <c r="D68" s="146">
        <v>2859696</v>
      </c>
      <c r="E68" s="146">
        <f t="shared" si="2"/>
        <v>429104</v>
      </c>
      <c r="F68" s="150">
        <f t="shared" si="3"/>
        <v>0.17654299857812417</v>
      </c>
    </row>
    <row r="69" spans="1:7" ht="15" customHeight="1" x14ac:dyDescent="0.2">
      <c r="A69" s="141">
        <v>8</v>
      </c>
      <c r="B69" s="149" t="s">
        <v>208</v>
      </c>
      <c r="C69" s="146">
        <v>164331</v>
      </c>
      <c r="D69" s="146">
        <v>403790</v>
      </c>
      <c r="E69" s="146">
        <f t="shared" si="2"/>
        <v>239459</v>
      </c>
      <c r="F69" s="150">
        <f t="shared" si="3"/>
        <v>1.4571748483244185</v>
      </c>
    </row>
    <row r="70" spans="1:7" ht="15" customHeight="1" x14ac:dyDescent="0.2">
      <c r="A70" s="141">
        <v>9</v>
      </c>
      <c r="B70" s="149" t="s">
        <v>209</v>
      </c>
      <c r="C70" s="146">
        <v>165222</v>
      </c>
      <c r="D70" s="146">
        <v>143120</v>
      </c>
      <c r="E70" s="146">
        <f t="shared" si="2"/>
        <v>-22102</v>
      </c>
      <c r="F70" s="150">
        <f t="shared" si="3"/>
        <v>-0.13377153163622277</v>
      </c>
    </row>
    <row r="71" spans="1:7" ht="15" customHeight="1" x14ac:dyDescent="0.2">
      <c r="A71" s="141">
        <v>10</v>
      </c>
      <c r="B71" s="149" t="s">
        <v>210</v>
      </c>
      <c r="C71" s="146">
        <v>404521</v>
      </c>
      <c r="D71" s="146">
        <v>496027</v>
      </c>
      <c r="E71" s="146">
        <f t="shared" si="2"/>
        <v>91506</v>
      </c>
      <c r="F71" s="150">
        <f t="shared" si="3"/>
        <v>0.22620828090507045</v>
      </c>
    </row>
    <row r="72" spans="1:7" ht="15" customHeight="1" x14ac:dyDescent="0.2">
      <c r="A72" s="141">
        <v>11</v>
      </c>
      <c r="B72" s="149" t="s">
        <v>211</v>
      </c>
      <c r="C72" s="146">
        <v>213353</v>
      </c>
      <c r="D72" s="146">
        <v>111000</v>
      </c>
      <c r="E72" s="146">
        <f t="shared" si="2"/>
        <v>-102353</v>
      </c>
      <c r="F72" s="150">
        <f t="shared" si="3"/>
        <v>-0.47973546188710731</v>
      </c>
    </row>
    <row r="73" spans="1:7" ht="15" customHeight="1" x14ac:dyDescent="0.2">
      <c r="A73" s="141">
        <v>12</v>
      </c>
      <c r="B73" s="149" t="s">
        <v>212</v>
      </c>
      <c r="C73" s="146">
        <v>8446392</v>
      </c>
      <c r="D73" s="146">
        <v>8765595</v>
      </c>
      <c r="E73" s="146">
        <f t="shared" si="2"/>
        <v>319203</v>
      </c>
      <c r="F73" s="150">
        <f t="shared" si="3"/>
        <v>3.779163931771104E-2</v>
      </c>
    </row>
    <row r="74" spans="1:7" ht="15" customHeight="1" x14ac:dyDescent="0.2">
      <c r="A74" s="141">
        <v>13</v>
      </c>
      <c r="B74" s="149" t="s">
        <v>213</v>
      </c>
      <c r="C74" s="146">
        <v>295000</v>
      </c>
      <c r="D74" s="146">
        <v>237932</v>
      </c>
      <c r="E74" s="146">
        <f t="shared" si="2"/>
        <v>-57068</v>
      </c>
      <c r="F74" s="150">
        <f t="shared" si="3"/>
        <v>-0.19345084745762711</v>
      </c>
    </row>
    <row r="75" spans="1:7" ht="15" customHeight="1" x14ac:dyDescent="0.2">
      <c r="A75" s="141">
        <v>14</v>
      </c>
      <c r="B75" s="149" t="s">
        <v>214</v>
      </c>
      <c r="C75" s="146">
        <v>250803</v>
      </c>
      <c r="D75" s="146">
        <v>287982</v>
      </c>
      <c r="E75" s="146">
        <f t="shared" si="2"/>
        <v>37179</v>
      </c>
      <c r="F75" s="150">
        <f t="shared" si="3"/>
        <v>0.14823985359026806</v>
      </c>
    </row>
    <row r="76" spans="1:7" ht="15" customHeight="1" x14ac:dyDescent="0.2">
      <c r="A76" s="141">
        <v>15</v>
      </c>
      <c r="B76" s="149" t="s">
        <v>215</v>
      </c>
      <c r="C76" s="146">
        <v>2007664</v>
      </c>
      <c r="D76" s="146">
        <v>2409423</v>
      </c>
      <c r="E76" s="146">
        <f t="shared" si="2"/>
        <v>401759</v>
      </c>
      <c r="F76" s="150">
        <f t="shared" si="3"/>
        <v>0.2001126682552459</v>
      </c>
    </row>
    <row r="77" spans="1:7" ht="15" customHeight="1" x14ac:dyDescent="0.2">
      <c r="A77" s="141">
        <v>16</v>
      </c>
      <c r="B77" s="149" t="s">
        <v>216</v>
      </c>
      <c r="C77" s="146">
        <v>34588824</v>
      </c>
      <c r="D77" s="146">
        <v>53046360</v>
      </c>
      <c r="E77" s="146">
        <f t="shared" si="2"/>
        <v>18457536</v>
      </c>
      <c r="F77" s="150">
        <f t="shared" si="3"/>
        <v>0.53362716234584906</v>
      </c>
    </row>
    <row r="78" spans="1:7" ht="15.75" customHeight="1" x14ac:dyDescent="0.25">
      <c r="A78" s="141"/>
      <c r="B78" s="151" t="s">
        <v>217</v>
      </c>
      <c r="C78" s="147">
        <f>SUM(C62:C77)</f>
        <v>55480855</v>
      </c>
      <c r="D78" s="147">
        <f>SUM(D62:D77)</f>
        <v>75903760</v>
      </c>
      <c r="E78" s="147">
        <f t="shared" si="2"/>
        <v>20422905</v>
      </c>
      <c r="F78" s="148">
        <f t="shared" si="3"/>
        <v>0.36810725069035077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351813000</v>
      </c>
      <c r="D83" s="147">
        <f>+D81+D78+D59+D50+D47+D44+D41+D35+D30+D24+D18</f>
        <v>382310000</v>
      </c>
      <c r="E83" s="147">
        <f>+D83-C83</f>
        <v>30497000</v>
      </c>
      <c r="F83" s="148">
        <f>IF(C83=0,0,E83/C83)</f>
        <v>8.668525608775117E-2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75288931</v>
      </c>
      <c r="D91" s="146">
        <v>97191662</v>
      </c>
      <c r="E91" s="146">
        <f t="shared" ref="E91:E109" si="4">D91-C91</f>
        <v>21902731</v>
      </c>
      <c r="F91" s="150">
        <f t="shared" ref="F91:F109" si="5">IF(C91=0,0,E91/C91)</f>
        <v>0.29091568586622646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1869774</v>
      </c>
      <c r="D92" s="146">
        <v>2129271</v>
      </c>
      <c r="E92" s="146">
        <f t="shared" si="4"/>
        <v>259497</v>
      </c>
      <c r="F92" s="150">
        <f t="shared" si="5"/>
        <v>0.13878522217123568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4338070</v>
      </c>
      <c r="D93" s="146">
        <v>4511087</v>
      </c>
      <c r="E93" s="146">
        <f t="shared" si="4"/>
        <v>173017</v>
      </c>
      <c r="F93" s="150">
        <f t="shared" si="5"/>
        <v>3.9883404371068243E-2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2230865</v>
      </c>
      <c r="D94" s="146">
        <v>2340348</v>
      </c>
      <c r="E94" s="146">
        <f t="shared" si="4"/>
        <v>109483</v>
      </c>
      <c r="F94" s="150">
        <f t="shared" si="5"/>
        <v>4.9076479302871311E-2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12732438</v>
      </c>
      <c r="D95" s="146">
        <v>15962507</v>
      </c>
      <c r="E95" s="146">
        <f t="shared" si="4"/>
        <v>3230069</v>
      </c>
      <c r="F95" s="150">
        <f t="shared" si="5"/>
        <v>0.25368817817923006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1726448</v>
      </c>
      <c r="D96" s="146">
        <v>1950699</v>
      </c>
      <c r="E96" s="146">
        <f t="shared" si="4"/>
        <v>224251</v>
      </c>
      <c r="F96" s="150">
        <f t="shared" si="5"/>
        <v>0.12989154611085882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41205860</v>
      </c>
      <c r="D97" s="146">
        <v>42370964</v>
      </c>
      <c r="E97" s="146">
        <f t="shared" si="4"/>
        <v>1165104</v>
      </c>
      <c r="F97" s="150">
        <f t="shared" si="5"/>
        <v>2.8275201633942357E-2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2728247</v>
      </c>
      <c r="D98" s="146">
        <v>3222346</v>
      </c>
      <c r="E98" s="146">
        <f t="shared" si="4"/>
        <v>494099</v>
      </c>
      <c r="F98" s="150">
        <f t="shared" si="5"/>
        <v>0.18110493661314389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510959</v>
      </c>
      <c r="D99" s="146">
        <v>649073</v>
      </c>
      <c r="E99" s="146">
        <f t="shared" si="4"/>
        <v>138114</v>
      </c>
      <c r="F99" s="150">
        <f t="shared" si="5"/>
        <v>0.2703034881467985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5659622</v>
      </c>
      <c r="D100" s="146">
        <v>5665046</v>
      </c>
      <c r="E100" s="146">
        <f t="shared" si="4"/>
        <v>5424</v>
      </c>
      <c r="F100" s="150">
        <f t="shared" si="5"/>
        <v>9.5836789100049442E-4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3716772</v>
      </c>
      <c r="D101" s="146">
        <v>3755441</v>
      </c>
      <c r="E101" s="146">
        <f t="shared" si="4"/>
        <v>38669</v>
      </c>
      <c r="F101" s="150">
        <f t="shared" si="5"/>
        <v>1.0403920391135104E-2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1144203</v>
      </c>
      <c r="D102" s="146">
        <v>1032487</v>
      </c>
      <c r="E102" s="146">
        <f t="shared" si="4"/>
        <v>-111716</v>
      </c>
      <c r="F102" s="150">
        <f t="shared" si="5"/>
        <v>-9.7636520792202086E-2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6050024</v>
      </c>
      <c r="D103" s="146">
        <v>6688658</v>
      </c>
      <c r="E103" s="146">
        <f t="shared" si="4"/>
        <v>638634</v>
      </c>
      <c r="F103" s="150">
        <f t="shared" si="5"/>
        <v>0.10555892009684589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1549877</v>
      </c>
      <c r="D104" s="146">
        <v>1632046</v>
      </c>
      <c r="E104" s="146">
        <f t="shared" si="4"/>
        <v>82169</v>
      </c>
      <c r="F104" s="150">
        <f t="shared" si="5"/>
        <v>5.3016465177559251E-2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6380478</v>
      </c>
      <c r="D105" s="146">
        <v>7951444</v>
      </c>
      <c r="E105" s="146">
        <f t="shared" si="4"/>
        <v>1570966</v>
      </c>
      <c r="F105" s="150">
        <f t="shared" si="5"/>
        <v>0.24621446857116347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1087676</v>
      </c>
      <c r="D106" s="146">
        <v>1004325</v>
      </c>
      <c r="E106" s="146">
        <f t="shared" si="4"/>
        <v>-83351</v>
      </c>
      <c r="F106" s="150">
        <f t="shared" si="5"/>
        <v>-7.663219561707714E-2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19561346</v>
      </c>
      <c r="D107" s="146">
        <v>18266040</v>
      </c>
      <c r="E107" s="146">
        <f t="shared" si="4"/>
        <v>-1295306</v>
      </c>
      <c r="F107" s="150">
        <f t="shared" si="5"/>
        <v>-6.62176314451981E-2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0</v>
      </c>
      <c r="D108" s="146">
        <v>0</v>
      </c>
      <c r="E108" s="146">
        <f t="shared" si="4"/>
        <v>0</v>
      </c>
      <c r="F108" s="150">
        <f t="shared" si="5"/>
        <v>0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187781590</v>
      </c>
      <c r="D109" s="147">
        <f>SUM(D91:D108)</f>
        <v>216323444</v>
      </c>
      <c r="E109" s="147">
        <f t="shared" si="4"/>
        <v>28541854</v>
      </c>
      <c r="F109" s="148">
        <f t="shared" si="5"/>
        <v>0.15199495328588922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620576</v>
      </c>
      <c r="D112" s="146">
        <v>434691</v>
      </c>
      <c r="E112" s="146">
        <f t="shared" ref="E112:E118" si="6">D112-C112</f>
        <v>-185885</v>
      </c>
      <c r="F112" s="150">
        <f t="shared" ref="F112:F118" si="7">IF(C112=0,0,E112/C112)</f>
        <v>-0.29953623730211931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5161996</v>
      </c>
      <c r="D113" s="146">
        <v>5163577</v>
      </c>
      <c r="E113" s="146">
        <f t="shared" si="6"/>
        <v>1581</v>
      </c>
      <c r="F113" s="150">
        <f t="shared" si="7"/>
        <v>3.0627687429436208E-4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2625219</v>
      </c>
      <c r="D114" s="146">
        <v>2718469</v>
      </c>
      <c r="E114" s="146">
        <f t="shared" si="6"/>
        <v>93250</v>
      </c>
      <c r="F114" s="150">
        <f t="shared" si="7"/>
        <v>3.5520846070365937E-2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2828182</v>
      </c>
      <c r="D115" s="146">
        <v>2723531</v>
      </c>
      <c r="E115" s="146">
        <f t="shared" si="6"/>
        <v>-104651</v>
      </c>
      <c r="F115" s="150">
        <f t="shared" si="7"/>
        <v>-3.7002922725623742E-2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699485</v>
      </c>
      <c r="D116" s="146">
        <v>750423</v>
      </c>
      <c r="E116" s="146">
        <f t="shared" si="6"/>
        <v>50938</v>
      </c>
      <c r="F116" s="150">
        <f t="shared" si="7"/>
        <v>7.2822147722967606E-2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11935458</v>
      </c>
      <c r="D118" s="147">
        <f>SUM(D112:D117)</f>
        <v>11790691</v>
      </c>
      <c r="E118" s="147">
        <f t="shared" si="6"/>
        <v>-144767</v>
      </c>
      <c r="F118" s="148">
        <f t="shared" si="7"/>
        <v>-1.2129153317786381E-2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23022201</v>
      </c>
      <c r="D121" s="146">
        <v>23696971</v>
      </c>
      <c r="E121" s="146">
        <f t="shared" ref="E121:E155" si="8">D121-C121</f>
        <v>674770</v>
      </c>
      <c r="F121" s="150">
        <f t="shared" ref="F121:F155" si="9">IF(C121=0,0,E121/C121)</f>
        <v>2.9309534739966871E-2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1798981</v>
      </c>
      <c r="D122" s="146">
        <v>1818030</v>
      </c>
      <c r="E122" s="146">
        <f t="shared" si="8"/>
        <v>19049</v>
      </c>
      <c r="F122" s="150">
        <f t="shared" si="9"/>
        <v>1.0588772199372867E-2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1215286</v>
      </c>
      <c r="D123" s="146">
        <v>1111281</v>
      </c>
      <c r="E123" s="146">
        <f t="shared" si="8"/>
        <v>-104005</v>
      </c>
      <c r="F123" s="150">
        <f t="shared" si="9"/>
        <v>-8.5580678128440543E-2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3662275</v>
      </c>
      <c r="D125" s="146">
        <v>3853560</v>
      </c>
      <c r="E125" s="146">
        <f t="shared" si="8"/>
        <v>191285</v>
      </c>
      <c r="F125" s="150">
        <f t="shared" si="9"/>
        <v>5.2231195090483372E-2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578077</v>
      </c>
      <c r="D126" s="146">
        <v>700630</v>
      </c>
      <c r="E126" s="146">
        <f t="shared" si="8"/>
        <v>122553</v>
      </c>
      <c r="F126" s="150">
        <f t="shared" si="9"/>
        <v>0.21200116939438865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1554960</v>
      </c>
      <c r="D127" s="146">
        <v>1816682</v>
      </c>
      <c r="E127" s="146">
        <f t="shared" si="8"/>
        <v>261722</v>
      </c>
      <c r="F127" s="150">
        <f t="shared" si="9"/>
        <v>0.16831429747389001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501416</v>
      </c>
      <c r="D128" s="146">
        <v>478691</v>
      </c>
      <c r="E128" s="146">
        <f t="shared" si="8"/>
        <v>-22725</v>
      </c>
      <c r="F128" s="150">
        <f t="shared" si="9"/>
        <v>-4.5321649089777746E-2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1264538</v>
      </c>
      <c r="D129" s="146">
        <v>1337824</v>
      </c>
      <c r="E129" s="146">
        <f t="shared" si="8"/>
        <v>73286</v>
      </c>
      <c r="F129" s="150">
        <f t="shared" si="9"/>
        <v>5.7954762925273892E-2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7064706</v>
      </c>
      <c r="D130" s="146">
        <v>7243260</v>
      </c>
      <c r="E130" s="146">
        <f t="shared" si="8"/>
        <v>178554</v>
      </c>
      <c r="F130" s="150">
        <f t="shared" si="9"/>
        <v>2.5274087838899454E-2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3274476</v>
      </c>
      <c r="D131" s="146">
        <v>3224422</v>
      </c>
      <c r="E131" s="146">
        <f t="shared" si="8"/>
        <v>-50054</v>
      </c>
      <c r="F131" s="150">
        <f t="shared" si="9"/>
        <v>-1.5286109899721361E-2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1410314</v>
      </c>
      <c r="D133" s="146">
        <v>1617301</v>
      </c>
      <c r="E133" s="146">
        <f t="shared" si="8"/>
        <v>206987</v>
      </c>
      <c r="F133" s="150">
        <f t="shared" si="9"/>
        <v>0.14676660658548379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30247</v>
      </c>
      <c r="D134" s="146">
        <v>49822</v>
      </c>
      <c r="E134" s="146">
        <f t="shared" si="8"/>
        <v>19575</v>
      </c>
      <c r="F134" s="150">
        <f t="shared" si="9"/>
        <v>0.64717162032598274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460690</v>
      </c>
      <c r="D135" s="146">
        <v>550960</v>
      </c>
      <c r="E135" s="146">
        <f t="shared" si="8"/>
        <v>90270</v>
      </c>
      <c r="F135" s="150">
        <f t="shared" si="9"/>
        <v>0.19594521261585882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2595608</v>
      </c>
      <c r="D138" s="146">
        <v>2611733</v>
      </c>
      <c r="E138" s="146">
        <f t="shared" si="8"/>
        <v>16125</v>
      </c>
      <c r="F138" s="150">
        <f t="shared" si="9"/>
        <v>6.2124172833494121E-3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400938</v>
      </c>
      <c r="D139" s="146">
        <v>415433</v>
      </c>
      <c r="E139" s="146">
        <f t="shared" si="8"/>
        <v>14495</v>
      </c>
      <c r="F139" s="150">
        <f t="shared" si="9"/>
        <v>3.6152721867221363E-2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388530</v>
      </c>
      <c r="D140" s="146">
        <v>325549</v>
      </c>
      <c r="E140" s="146">
        <f t="shared" si="8"/>
        <v>-62981</v>
      </c>
      <c r="F140" s="150">
        <f t="shared" si="9"/>
        <v>-0.16210073868169769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1184332</v>
      </c>
      <c r="D143" s="146">
        <v>919588</v>
      </c>
      <c r="E143" s="146">
        <f t="shared" si="8"/>
        <v>-264744</v>
      </c>
      <c r="F143" s="150">
        <f t="shared" si="9"/>
        <v>-0.22353866989999427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11543354</v>
      </c>
      <c r="D144" s="146">
        <v>11531717</v>
      </c>
      <c r="E144" s="146">
        <f t="shared" si="8"/>
        <v>-11637</v>
      </c>
      <c r="F144" s="150">
        <f t="shared" si="9"/>
        <v>-1.0081125468386397E-3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472394</v>
      </c>
      <c r="D145" s="146">
        <v>484622</v>
      </c>
      <c r="E145" s="146">
        <f t="shared" si="8"/>
        <v>12228</v>
      </c>
      <c r="F145" s="150">
        <f t="shared" si="9"/>
        <v>2.5885172123269982E-2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381739</v>
      </c>
      <c r="D146" s="146">
        <v>126549</v>
      </c>
      <c r="E146" s="146">
        <f t="shared" si="8"/>
        <v>-255190</v>
      </c>
      <c r="F146" s="150">
        <f t="shared" si="9"/>
        <v>-0.66849339470161551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1153444</v>
      </c>
      <c r="D148" s="146">
        <v>1208187</v>
      </c>
      <c r="E148" s="146">
        <f t="shared" si="8"/>
        <v>54743</v>
      </c>
      <c r="F148" s="150">
        <f t="shared" si="9"/>
        <v>4.7460474890848627E-2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12138003</v>
      </c>
      <c r="D151" s="146">
        <v>11314461</v>
      </c>
      <c r="E151" s="146">
        <f t="shared" si="8"/>
        <v>-823542</v>
      </c>
      <c r="F151" s="150">
        <f t="shared" si="9"/>
        <v>-6.7848228411213934E-2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1032060</v>
      </c>
      <c r="D152" s="146">
        <v>1117613</v>
      </c>
      <c r="E152" s="146">
        <f t="shared" si="8"/>
        <v>85553</v>
      </c>
      <c r="F152" s="150">
        <f t="shared" si="9"/>
        <v>8.28953742999438E-2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3061050</v>
      </c>
      <c r="D154" s="146">
        <v>2783488</v>
      </c>
      <c r="E154" s="146">
        <f t="shared" si="8"/>
        <v>-277562</v>
      </c>
      <c r="F154" s="150">
        <f t="shared" si="9"/>
        <v>-9.0675421832377784E-2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80189619</v>
      </c>
      <c r="D155" s="147">
        <f>SUM(D121:D154)</f>
        <v>80338374</v>
      </c>
      <c r="E155" s="147">
        <f t="shared" si="8"/>
        <v>148755</v>
      </c>
      <c r="F155" s="148">
        <f t="shared" si="9"/>
        <v>1.8550406131746305E-3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35737665</v>
      </c>
      <c r="D158" s="146">
        <v>35445176</v>
      </c>
      <c r="E158" s="146">
        <f t="shared" ref="E158:E171" si="10">D158-C158</f>
        <v>-292489</v>
      </c>
      <c r="F158" s="150">
        <f t="shared" ref="F158:F171" si="11">IF(C158=0,0,E158/C158)</f>
        <v>-8.1843343710340331E-3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8523139</v>
      </c>
      <c r="D159" s="146">
        <v>7904653</v>
      </c>
      <c r="E159" s="146">
        <f t="shared" si="10"/>
        <v>-618486</v>
      </c>
      <c r="F159" s="150">
        <f t="shared" si="11"/>
        <v>-7.2565518408182719E-2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7945856</v>
      </c>
      <c r="D161" s="146">
        <v>9575998</v>
      </c>
      <c r="E161" s="146">
        <f t="shared" si="10"/>
        <v>1630142</v>
      </c>
      <c r="F161" s="150">
        <f t="shared" si="11"/>
        <v>0.20515624748296471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3601215</v>
      </c>
      <c r="D163" s="146">
        <v>4338716</v>
      </c>
      <c r="E163" s="146">
        <f t="shared" si="10"/>
        <v>737501</v>
      </c>
      <c r="F163" s="150">
        <f t="shared" si="11"/>
        <v>0.20479227149725857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1306824</v>
      </c>
      <c r="D164" s="146">
        <v>1281233</v>
      </c>
      <c r="E164" s="146">
        <f t="shared" si="10"/>
        <v>-25591</v>
      </c>
      <c r="F164" s="150">
        <f t="shared" si="11"/>
        <v>-1.958259107576843E-2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2117328</v>
      </c>
      <c r="D166" s="146">
        <v>2083880</v>
      </c>
      <c r="E166" s="146">
        <f t="shared" si="10"/>
        <v>-33448</v>
      </c>
      <c r="F166" s="150">
        <f t="shared" si="11"/>
        <v>-1.5797269010753175E-2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6158205</v>
      </c>
      <c r="D167" s="146">
        <v>5971049</v>
      </c>
      <c r="E167" s="146">
        <f t="shared" si="10"/>
        <v>-187156</v>
      </c>
      <c r="F167" s="150">
        <f t="shared" si="11"/>
        <v>-3.0391323445711858E-2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6279381</v>
      </c>
      <c r="D169" s="146">
        <v>6997329</v>
      </c>
      <c r="E169" s="146">
        <f t="shared" si="10"/>
        <v>717948</v>
      </c>
      <c r="F169" s="150">
        <f t="shared" si="11"/>
        <v>0.11433419950151137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71669613</v>
      </c>
      <c r="D171" s="147">
        <f>SUM(D158:D170)</f>
        <v>73598034</v>
      </c>
      <c r="E171" s="147">
        <f t="shared" si="10"/>
        <v>1928421</v>
      </c>
      <c r="F171" s="148">
        <f t="shared" si="11"/>
        <v>2.6907093805571408E-2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236720</v>
      </c>
      <c r="D174" s="146">
        <v>259457</v>
      </c>
      <c r="E174" s="146">
        <f>D174-C174</f>
        <v>22737</v>
      </c>
      <c r="F174" s="150">
        <f>IF(C174=0,0,E174/C174)</f>
        <v>9.6050185873605948E-2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351813000</v>
      </c>
      <c r="D176" s="147">
        <f>+D174+D171+D155+D118+D109</f>
        <v>382310000</v>
      </c>
      <c r="E176" s="147">
        <f>D176-C176</f>
        <v>30497000</v>
      </c>
      <c r="F176" s="148">
        <f>IF(C176=0,0,E176/C176)</f>
        <v>8.668525608775117E-2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62" orientation="portrait" horizontalDpi="1200" verticalDpi="1200" r:id="rId1"/>
  <headerFooter>
    <oddHeader>&amp;LOFFICE OF HEALTH CARE ACCESS&amp;CTWELVE MONTHS ACTUAL FILING&amp;RSAINT VINCENT`S MEDICAL CENTER</oddHeader>
    <oddFooter>&amp;LREPORT 175&amp;CPAGE &amp;P of &amp;N&amp;R&amp;D, &amp;T</oddFooter>
  </headerFooter>
  <rowBreaks count="1" manualBreakCount="1">
    <brk id="7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341788581</v>
      </c>
      <c r="D11" s="164">
        <v>353724000</v>
      </c>
      <c r="E11" s="51">
        <v>389074000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11020419</v>
      </c>
      <c r="D12" s="49">
        <v>12850000</v>
      </c>
      <c r="E12" s="49">
        <v>7963000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352809000</v>
      </c>
      <c r="D13" s="51">
        <f>+D11+D12</f>
        <v>366574000</v>
      </c>
      <c r="E13" s="51">
        <f>+E11+E12</f>
        <v>397037000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341987000</v>
      </c>
      <c r="D14" s="49">
        <v>351813000</v>
      </c>
      <c r="E14" s="49">
        <v>382310000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10822000</v>
      </c>
      <c r="D15" s="51">
        <f>+D13-D14</f>
        <v>14761000</v>
      </c>
      <c r="E15" s="51">
        <f>+E13-E14</f>
        <v>14727000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-3815000</v>
      </c>
      <c r="D16" s="49">
        <v>26004000</v>
      </c>
      <c r="E16" s="49">
        <v>7135000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7007000</v>
      </c>
      <c r="D17" s="51">
        <f>D15+D16</f>
        <v>40765000</v>
      </c>
      <c r="E17" s="51">
        <f>E15+E16</f>
        <v>21862000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3.1009129096775303E-2</v>
      </c>
      <c r="D20" s="169">
        <f>IF(+D27=0,0,+D24/+D27)</f>
        <v>3.7600171176173904E-2</v>
      </c>
      <c r="E20" s="169">
        <f>IF(+E27=0,0,+E24/+E27)</f>
        <v>3.6437457320150829E-2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-1.0931420024413028E-2</v>
      </c>
      <c r="D21" s="169">
        <f>IF(D27=0,0,+D26/D27)</f>
        <v>6.6239065867165256E-2</v>
      </c>
      <c r="E21" s="169">
        <f>IF(E27=0,0,+E26/E27)</f>
        <v>1.7653375295666202E-2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2.0077709072362275E-2</v>
      </c>
      <c r="D22" s="169">
        <f>IF(D27=0,0,+D28/D27)</f>
        <v>0.10383923704333915</v>
      </c>
      <c r="E22" s="169">
        <f>IF(E27=0,0,+E28/E27)</f>
        <v>5.4090832615817028E-2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10822000</v>
      </c>
      <c r="D24" s="51">
        <f>+D15</f>
        <v>14761000</v>
      </c>
      <c r="E24" s="51">
        <f>+E15</f>
        <v>14727000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352809000</v>
      </c>
      <c r="D25" s="51">
        <f>+D13</f>
        <v>366574000</v>
      </c>
      <c r="E25" s="51">
        <f>+E13</f>
        <v>397037000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-3815000</v>
      </c>
      <c r="D26" s="51">
        <f>+D16</f>
        <v>26004000</v>
      </c>
      <c r="E26" s="51">
        <f>+E16</f>
        <v>7135000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348994000</v>
      </c>
      <c r="D27" s="51">
        <f>+D25+D26</f>
        <v>392578000</v>
      </c>
      <c r="E27" s="51">
        <f>+E25+E26</f>
        <v>404172000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7007000</v>
      </c>
      <c r="D28" s="51">
        <f>+D17</f>
        <v>40765000</v>
      </c>
      <c r="E28" s="51">
        <f>+E17</f>
        <v>21862000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314991000</v>
      </c>
      <c r="D31" s="51">
        <v>373265000</v>
      </c>
      <c r="E31" s="51">
        <v>427407000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356510000</v>
      </c>
      <c r="D32" s="51">
        <v>396726000</v>
      </c>
      <c r="E32" s="51">
        <v>445927000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-24301000</v>
      </c>
      <c r="D33" s="51">
        <f>+D32-C32</f>
        <v>40216000</v>
      </c>
      <c r="E33" s="51">
        <f>+E32-D32</f>
        <v>49201000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0.93610000000000004</v>
      </c>
      <c r="D34" s="171">
        <f>IF(C32=0,0,+D33/C32)</f>
        <v>0.11280468991052145</v>
      </c>
      <c r="E34" s="171">
        <f>IF(D32=0,0,+E33/D32)</f>
        <v>0.12401758392442139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0.39656971826322918</v>
      </c>
      <c r="D38" s="172">
        <f>IF((D40+D41)=0,0,+D39/(D40+D41))</f>
        <v>0.37390334894788696</v>
      </c>
      <c r="E38" s="172">
        <f>IF((E40+E41)=0,0,+E39/(E40+E41))</f>
        <v>0.37779408748843835</v>
      </c>
      <c r="F38" s="5"/>
    </row>
    <row r="39" spans="1:6" ht="24" customHeight="1" x14ac:dyDescent="0.2">
      <c r="A39" s="21">
        <v>2</v>
      </c>
      <c r="B39" s="48" t="s">
        <v>324</v>
      </c>
      <c r="C39" s="51">
        <v>341987000</v>
      </c>
      <c r="D39" s="51">
        <v>351813000</v>
      </c>
      <c r="E39" s="23">
        <v>382310000</v>
      </c>
      <c r="F39" s="5"/>
    </row>
    <row r="40" spans="1:6" ht="24" customHeight="1" x14ac:dyDescent="0.2">
      <c r="A40" s="21">
        <v>3</v>
      </c>
      <c r="B40" s="48" t="s">
        <v>325</v>
      </c>
      <c r="C40" s="51">
        <v>852498869</v>
      </c>
      <c r="D40" s="51">
        <v>928515628</v>
      </c>
      <c r="E40" s="23">
        <v>1004233370</v>
      </c>
      <c r="F40" s="5"/>
    </row>
    <row r="41" spans="1:6" ht="24" customHeight="1" x14ac:dyDescent="0.2">
      <c r="A41" s="21">
        <v>4</v>
      </c>
      <c r="B41" s="48" t="s">
        <v>326</v>
      </c>
      <c r="C41" s="51">
        <v>9864000</v>
      </c>
      <c r="D41" s="51">
        <v>12404000</v>
      </c>
      <c r="E41" s="23">
        <v>7720000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1.2758391737097561</v>
      </c>
      <c r="D43" s="173">
        <f>IF(D38=0,0,IF((D46-D47)=0,0,((+D44-D45)/(D46-D47)/D38)))</f>
        <v>1.3513214562675153</v>
      </c>
      <c r="E43" s="173">
        <f>IF(E38=0,0,IF((E46-E47)=0,0,((+E44-E45)/(E46-E47)/E38)))</f>
        <v>1.3679400230188901</v>
      </c>
      <c r="F43" s="5"/>
    </row>
    <row r="44" spans="1:6" ht="24" customHeight="1" x14ac:dyDescent="0.2">
      <c r="A44" s="21">
        <v>6</v>
      </c>
      <c r="B44" s="48" t="s">
        <v>328</v>
      </c>
      <c r="C44" s="51">
        <v>142224171</v>
      </c>
      <c r="D44" s="51">
        <v>148985162</v>
      </c>
      <c r="E44" s="23">
        <v>155511639</v>
      </c>
      <c r="F44" s="5"/>
    </row>
    <row r="45" spans="1:6" ht="24" customHeight="1" x14ac:dyDescent="0.2">
      <c r="A45" s="21">
        <v>7</v>
      </c>
      <c r="B45" s="48" t="s">
        <v>329</v>
      </c>
      <c r="C45" s="51">
        <v>3052195</v>
      </c>
      <c r="D45" s="51">
        <v>2828590</v>
      </c>
      <c r="E45" s="23">
        <v>2660291</v>
      </c>
      <c r="F45" s="5"/>
    </row>
    <row r="46" spans="1:6" ht="24" customHeight="1" x14ac:dyDescent="0.2">
      <c r="A46" s="21">
        <v>8</v>
      </c>
      <c r="B46" s="48" t="s">
        <v>330</v>
      </c>
      <c r="C46" s="51">
        <v>316158051</v>
      </c>
      <c r="D46" s="51">
        <v>329316787</v>
      </c>
      <c r="E46" s="23">
        <v>340013820</v>
      </c>
      <c r="F46" s="5"/>
    </row>
    <row r="47" spans="1:6" ht="24" customHeight="1" x14ac:dyDescent="0.2">
      <c r="A47" s="21">
        <v>9</v>
      </c>
      <c r="B47" s="48" t="s">
        <v>331</v>
      </c>
      <c r="C47" s="51">
        <v>41092431</v>
      </c>
      <c r="D47" s="51">
        <v>40048835</v>
      </c>
      <c r="E47" s="174">
        <v>44248629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0.88623682250141755</v>
      </c>
      <c r="D49" s="175">
        <f>IF(D38=0,0,IF(D51=0,0,(D50/D51)/D38))</f>
        <v>0.88153839227894604</v>
      </c>
      <c r="E49" s="175">
        <f>IF(E38=0,0,IF(E51=0,0,(E50/E51)/E38))</f>
        <v>0.83275294587491044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145672141</v>
      </c>
      <c r="D50" s="176">
        <v>148147249</v>
      </c>
      <c r="E50" s="176">
        <v>151557176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414483421</v>
      </c>
      <c r="D51" s="176">
        <v>449462026</v>
      </c>
      <c r="E51" s="176">
        <v>481731638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0.74419249576824964</v>
      </c>
      <c r="D53" s="175">
        <f>IF(D38=0,0,IF(D55=0,0,(D54/D55)/D38))</f>
        <v>0.67142158833200938</v>
      </c>
      <c r="E53" s="175">
        <f>IF(E38=0,0,IF(E55=0,0,(E54/E55)/E38))</f>
        <v>0.63606531755426965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28439441</v>
      </c>
      <c r="D54" s="176">
        <v>32883534</v>
      </c>
      <c r="E54" s="176">
        <v>43280559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96364311</v>
      </c>
      <c r="D55" s="176">
        <v>130985683</v>
      </c>
      <c r="E55" s="176">
        <v>180109238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15619939.745877441</v>
      </c>
      <c r="D57" s="53">
        <f>+D60*D38</f>
        <v>14299562.66838978</v>
      </c>
      <c r="E57" s="53">
        <f>+E60*E38</f>
        <v>15805393.444166306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8833000</v>
      </c>
      <c r="D58" s="51">
        <v>7662000</v>
      </c>
      <c r="E58" s="52">
        <v>9025000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30554626</v>
      </c>
      <c r="D59" s="51">
        <v>30582008</v>
      </c>
      <c r="E59" s="52">
        <v>32811000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39387626</v>
      </c>
      <c r="D60" s="51">
        <v>38244008</v>
      </c>
      <c r="E60" s="52">
        <v>41836000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4.567407458727215E-2</v>
      </c>
      <c r="D62" s="178">
        <f>IF(D63=0,0,+D57/D63)</f>
        <v>4.0645350423065038E-2</v>
      </c>
      <c r="E62" s="178">
        <f>IF(E63=0,0,+E57/E63)</f>
        <v>4.1341825859031428E-2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341987000</v>
      </c>
      <c r="D63" s="176">
        <v>351813000</v>
      </c>
      <c r="E63" s="176">
        <v>382310000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1.2642539682539682</v>
      </c>
      <c r="D67" s="179">
        <f>IF(D69=0,0,D68/D69)</f>
        <v>1.6282949487129863</v>
      </c>
      <c r="E67" s="179">
        <f>IF(E69=0,0,E68/E69)</f>
        <v>1.3396846719457014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69692000</v>
      </c>
      <c r="D68" s="180">
        <v>84134000</v>
      </c>
      <c r="E68" s="180">
        <v>75794000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55125000</v>
      </c>
      <c r="D69" s="180">
        <v>51670000</v>
      </c>
      <c r="E69" s="180">
        <v>56576000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20.76045509789429</v>
      </c>
      <c r="D71" s="181">
        <f>IF((D77/365)=0,0,+D74/(D77/365))</f>
        <v>23.326043834054197</v>
      </c>
      <c r="E71" s="181">
        <f>IF((E77/365)=0,0,+E74/(E77/365))</f>
        <v>6.6792009237232728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10599000</v>
      </c>
      <c r="D72" s="182">
        <v>6014000</v>
      </c>
      <c r="E72" s="182">
        <v>6480000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7793000</v>
      </c>
      <c r="D73" s="184">
        <v>15056000</v>
      </c>
      <c r="E73" s="184">
        <v>97000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18392000</v>
      </c>
      <c r="D74" s="180">
        <f>+D72+D73</f>
        <v>21070000</v>
      </c>
      <c r="E74" s="180">
        <f>+E72+E73</f>
        <v>6577000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341987000</v>
      </c>
      <c r="D75" s="180">
        <f>+D14</f>
        <v>351813000</v>
      </c>
      <c r="E75" s="180">
        <f>+E14</f>
        <v>382310000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18628000</v>
      </c>
      <c r="D76" s="180">
        <v>22115000</v>
      </c>
      <c r="E76" s="180">
        <v>22895000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323359000</v>
      </c>
      <c r="D77" s="180">
        <f>+D75-D76</f>
        <v>329698000</v>
      </c>
      <c r="E77" s="180">
        <f>+E75-E76</f>
        <v>359415000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33.885903871083393</v>
      </c>
      <c r="D79" s="179">
        <f>IF((D84/365)=0,0,+D83/(D84/365))</f>
        <v>33.07994368490688</v>
      </c>
      <c r="E79" s="179">
        <f>IF((E84/365)=0,0,+E83/(E84/365))</f>
        <v>32.990099569747656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40833000</v>
      </c>
      <c r="D80" s="189">
        <v>44277000</v>
      </c>
      <c r="E80" s="189">
        <v>46049000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9102000</v>
      </c>
      <c r="D82" s="190">
        <v>12219000</v>
      </c>
      <c r="E82" s="190">
        <v>10883000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31731000</v>
      </c>
      <c r="D83" s="191">
        <f>+D80+D81-D82</f>
        <v>32058000</v>
      </c>
      <c r="E83" s="191">
        <f>+E80+E81-E82</f>
        <v>35166000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341788581</v>
      </c>
      <c r="D84" s="191">
        <f>+D11</f>
        <v>353724000</v>
      </c>
      <c r="E84" s="191">
        <f>+E11</f>
        <v>389074000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62.223797698533211</v>
      </c>
      <c r="D86" s="179">
        <f>IF((D90/365)=0,0,+D87/(D90/365))</f>
        <v>57.202500470127212</v>
      </c>
      <c r="E86" s="179">
        <f>IF((E90/365)=0,0,+E87/(E90/365))</f>
        <v>57.455142384152026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55125000</v>
      </c>
      <c r="D87" s="51">
        <f>+D69</f>
        <v>51670000</v>
      </c>
      <c r="E87" s="51">
        <f>+E69</f>
        <v>56576000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341987000</v>
      </c>
      <c r="D88" s="51">
        <f t="shared" si="0"/>
        <v>351813000</v>
      </c>
      <c r="E88" s="51">
        <f t="shared" si="0"/>
        <v>382310000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18628000</v>
      </c>
      <c r="D89" s="52">
        <f t="shared" si="0"/>
        <v>22115000</v>
      </c>
      <c r="E89" s="52">
        <f t="shared" si="0"/>
        <v>22895000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323359000</v>
      </c>
      <c r="D90" s="51">
        <f>+D88-D89</f>
        <v>329698000</v>
      </c>
      <c r="E90" s="51">
        <f>+E88-E89</f>
        <v>359415000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67.347362853256769</v>
      </c>
      <c r="D94" s="192">
        <f>IF(D96=0,0,(D95/D96)*100)</f>
        <v>69.894856273035415</v>
      </c>
      <c r="E94" s="192">
        <f>IF(E96=0,0,(E95/E96)*100)</f>
        <v>76.426460909863721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356510000</v>
      </c>
      <c r="D95" s="51">
        <f>+D32</f>
        <v>396726000</v>
      </c>
      <c r="E95" s="51">
        <f>+E32</f>
        <v>445927000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529360000</v>
      </c>
      <c r="D96" s="51">
        <v>567604000</v>
      </c>
      <c r="E96" s="51">
        <v>583472000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20.310742072987146</v>
      </c>
      <c r="D98" s="192">
        <f>IF(D104=0,0,(D101/D104)*100)</f>
        <v>51.475162906447494</v>
      </c>
      <c r="E98" s="192">
        <f>IF(E104=0,0,(E101/E104)*100)</f>
        <v>39.179761018952156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7007000</v>
      </c>
      <c r="D99" s="51">
        <f>+D28</f>
        <v>40765000</v>
      </c>
      <c r="E99" s="51">
        <f>+E28</f>
        <v>21862000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18628000</v>
      </c>
      <c r="D100" s="52">
        <f>+D76</f>
        <v>22115000</v>
      </c>
      <c r="E100" s="52">
        <f>+E76</f>
        <v>22895000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25635000</v>
      </c>
      <c r="D101" s="51">
        <f>+D99+D100</f>
        <v>62880000</v>
      </c>
      <c r="E101" s="51">
        <f>+E99+E100</f>
        <v>44757000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55125000</v>
      </c>
      <c r="D102" s="180">
        <f>+D69</f>
        <v>51670000</v>
      </c>
      <c r="E102" s="180">
        <f>+E69</f>
        <v>56576000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71089000</v>
      </c>
      <c r="D103" s="194">
        <v>70486000</v>
      </c>
      <c r="E103" s="194">
        <v>57659000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126214000</v>
      </c>
      <c r="D104" s="180">
        <f>+D102+D103</f>
        <v>122156000</v>
      </c>
      <c r="E104" s="180">
        <f>+E102+E103</f>
        <v>114235000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16.625155811870467</v>
      </c>
      <c r="D106" s="197">
        <f>IF(D109=0,0,(D107/D109)*100)</f>
        <v>15.086513188873575</v>
      </c>
      <c r="E106" s="197">
        <f>IF(E109=0,0,(E107/E109)*100)</f>
        <v>11.449682874424628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71089000</v>
      </c>
      <c r="D107" s="180">
        <f>+D103</f>
        <v>70486000</v>
      </c>
      <c r="E107" s="180">
        <f>+E103</f>
        <v>57659000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356510000</v>
      </c>
      <c r="D108" s="180">
        <f>+D32</f>
        <v>396726000</v>
      </c>
      <c r="E108" s="180">
        <f>+E32</f>
        <v>445927000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427599000</v>
      </c>
      <c r="D109" s="180">
        <f>+D107+D108</f>
        <v>467212000</v>
      </c>
      <c r="E109" s="180">
        <f>+E107+E108</f>
        <v>503586000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16.544291015543951</v>
      </c>
      <c r="D111" s="197">
        <f>IF((+D113+D115)=0,0,((+D112+D113+D114)/(+D113+D115)))</f>
        <v>20.862504532992006</v>
      </c>
      <c r="E111" s="197">
        <f>IF((+E113+E115)=0,0,((+E112+E113+E114)/(+E113+E115)))</f>
        <v>15.058571187621924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7007000</v>
      </c>
      <c r="D112" s="180">
        <f>+D17</f>
        <v>40765000</v>
      </c>
      <c r="E112" s="180">
        <f>+E17</f>
        <v>21862000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678000</v>
      </c>
      <c r="D113" s="180">
        <v>2186000</v>
      </c>
      <c r="E113" s="180">
        <v>2562000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18628000</v>
      </c>
      <c r="D114" s="180">
        <v>22115000</v>
      </c>
      <c r="E114" s="180">
        <v>22895000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912458</v>
      </c>
      <c r="D115" s="180">
        <v>932801</v>
      </c>
      <c r="E115" s="180">
        <v>580330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8.7235344642473702</v>
      </c>
      <c r="D119" s="197">
        <f>IF(+D121=0,0,(+D120)/(+D121))</f>
        <v>8.3122767352475702</v>
      </c>
      <c r="E119" s="197">
        <f>IF(+E121=0,0,(+E120)/(+E121))</f>
        <v>8.624197423018126</v>
      </c>
    </row>
    <row r="120" spans="1:8" ht="24" customHeight="1" x14ac:dyDescent="0.25">
      <c r="A120" s="17">
        <v>21</v>
      </c>
      <c r="B120" s="48" t="s">
        <v>369</v>
      </c>
      <c r="C120" s="180">
        <v>162502000</v>
      </c>
      <c r="D120" s="180">
        <v>183826000</v>
      </c>
      <c r="E120" s="180">
        <v>197451000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18628000</v>
      </c>
      <c r="D121" s="180">
        <v>22115000</v>
      </c>
      <c r="E121" s="180">
        <v>22895000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125447</v>
      </c>
      <c r="D124" s="198">
        <v>122812</v>
      </c>
      <c r="E124" s="198">
        <v>122440</v>
      </c>
    </row>
    <row r="125" spans="1:8" ht="24" customHeight="1" x14ac:dyDescent="0.2">
      <c r="A125" s="44">
        <v>2</v>
      </c>
      <c r="B125" s="48" t="s">
        <v>373</v>
      </c>
      <c r="C125" s="198">
        <v>21743</v>
      </c>
      <c r="D125" s="198">
        <v>21873</v>
      </c>
      <c r="E125" s="198">
        <v>22100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5.7695350227659477</v>
      </c>
      <c r="D126" s="199">
        <f>IF(D125=0,0,D124/D125)</f>
        <v>5.614776208110456</v>
      </c>
      <c r="E126" s="199">
        <f>IF(E125=0,0,E124/E125)</f>
        <v>5.5402714932126695</v>
      </c>
    </row>
    <row r="127" spans="1:8" ht="24" customHeight="1" x14ac:dyDescent="0.2">
      <c r="A127" s="44">
        <v>4</v>
      </c>
      <c r="B127" s="48" t="s">
        <v>375</v>
      </c>
      <c r="C127" s="198">
        <v>415</v>
      </c>
      <c r="D127" s="198">
        <v>423</v>
      </c>
      <c r="E127" s="198">
        <v>423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423</v>
      </c>
      <c r="E128" s="198">
        <v>423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520</v>
      </c>
      <c r="D129" s="198">
        <v>520</v>
      </c>
      <c r="E129" s="198">
        <v>520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0.82809999999999995</v>
      </c>
      <c r="D130" s="171">
        <v>0.7954</v>
      </c>
      <c r="E130" s="171">
        <v>0.79300000000000004</v>
      </c>
    </row>
    <row r="131" spans="1:8" ht="24" customHeight="1" x14ac:dyDescent="0.2">
      <c r="A131" s="44">
        <v>7</v>
      </c>
      <c r="B131" s="48" t="s">
        <v>379</v>
      </c>
      <c r="C131" s="171">
        <v>0.8125</v>
      </c>
      <c r="D131" s="171">
        <v>0.7954</v>
      </c>
      <c r="E131" s="171">
        <v>0.79300000000000004</v>
      </c>
    </row>
    <row r="132" spans="1:8" ht="24" customHeight="1" x14ac:dyDescent="0.2">
      <c r="A132" s="44">
        <v>8</v>
      </c>
      <c r="B132" s="48" t="s">
        <v>380</v>
      </c>
      <c r="C132" s="199">
        <v>2049.6</v>
      </c>
      <c r="D132" s="199">
        <v>2020.1</v>
      </c>
      <c r="E132" s="199">
        <v>2047.2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0.32265804683431198</v>
      </c>
      <c r="D135" s="203">
        <f>IF(D149=0,0,D143/D149)</f>
        <v>0.31153805415540081</v>
      </c>
      <c r="E135" s="203">
        <f>IF(E149=0,0,E143/E149)</f>
        <v>0.29451838570152272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0.48619820632278166</v>
      </c>
      <c r="D136" s="203">
        <f>IF(D149=0,0,D144/D149)</f>
        <v>0.48406511688783338</v>
      </c>
      <c r="E136" s="203">
        <f>IF(E149=0,0,E144/E149)</f>
        <v>0.47970088665745092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0.11303746492125845</v>
      </c>
      <c r="D137" s="203">
        <f>IF(D149=0,0,D145/D149)</f>
        <v>0.14106998207681218</v>
      </c>
      <c r="E137" s="203">
        <f>IF(E149=0,0,E145/E149)</f>
        <v>0.17934998316178241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2.9147804065884339E-2</v>
      </c>
      <c r="D138" s="203">
        <f>IF(D149=0,0,D146/D149)</f>
        <v>1.9386659154863466E-2</v>
      </c>
      <c r="E138" s="203">
        <f>IF(E149=0,0,E146/E149)</f>
        <v>1.6000962007466451E-3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4.8202329052004875E-2</v>
      </c>
      <c r="D139" s="203">
        <f>IF(D149=0,0,D147/D149)</f>
        <v>4.3132106549745655E-2</v>
      </c>
      <c r="E139" s="203">
        <f>IF(E149=0,0,E147/E149)</f>
        <v>4.4062097836880289E-2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7.5614880375870618E-4</v>
      </c>
      <c r="D140" s="203">
        <f>IF(D149=0,0,D148/D149)</f>
        <v>8.0808117534452524E-4</v>
      </c>
      <c r="E140" s="203">
        <f>IF(E149=0,0,E148/E149)</f>
        <v>7.6855044161697195E-4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275065620</v>
      </c>
      <c r="D143" s="205">
        <f>+D46-D147</f>
        <v>289267952</v>
      </c>
      <c r="E143" s="205">
        <f>+E46-E147</f>
        <v>295765191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414483421</v>
      </c>
      <c r="D144" s="205">
        <f>+D51</f>
        <v>449462026</v>
      </c>
      <c r="E144" s="205">
        <f>+E51</f>
        <v>481731638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96364311</v>
      </c>
      <c r="D145" s="205">
        <f>+D55</f>
        <v>130985683</v>
      </c>
      <c r="E145" s="205">
        <f>+E55</f>
        <v>180109238</v>
      </c>
    </row>
    <row r="146" spans="1:7" ht="20.100000000000001" customHeight="1" x14ac:dyDescent="0.2">
      <c r="A146" s="202">
        <v>11</v>
      </c>
      <c r="B146" s="201" t="s">
        <v>392</v>
      </c>
      <c r="C146" s="204">
        <v>24848470</v>
      </c>
      <c r="D146" s="205">
        <v>18000816</v>
      </c>
      <c r="E146" s="205">
        <v>1606870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41092431</v>
      </c>
      <c r="D147" s="205">
        <f>+D47</f>
        <v>40048835</v>
      </c>
      <c r="E147" s="205">
        <f>+E47</f>
        <v>44248629</v>
      </c>
    </row>
    <row r="148" spans="1:7" ht="20.100000000000001" customHeight="1" x14ac:dyDescent="0.2">
      <c r="A148" s="202">
        <v>13</v>
      </c>
      <c r="B148" s="201" t="s">
        <v>394</v>
      </c>
      <c r="C148" s="206">
        <v>644616</v>
      </c>
      <c r="D148" s="205">
        <v>750316</v>
      </c>
      <c r="E148" s="205">
        <v>771804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852498869</v>
      </c>
      <c r="D149" s="205">
        <f>SUM(D143:D148)</f>
        <v>928515628</v>
      </c>
      <c r="E149" s="205">
        <f>SUM(E143:E148)</f>
        <v>1004233370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0.43495232779839743</v>
      </c>
      <c r="D152" s="203">
        <f>IF(D166=0,0,D160/D166)</f>
        <v>0.43943966172286353</v>
      </c>
      <c r="E152" s="203">
        <f>IF(E166=0,0,E160/E166)</f>
        <v>0.43506839631864624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0.45526720712312346</v>
      </c>
      <c r="D153" s="203">
        <f>IF(D166=0,0,D161/D166)</f>
        <v>0.44542490354612885</v>
      </c>
      <c r="E153" s="203">
        <f>IF(E166=0,0,E161/E166)</f>
        <v>0.43138473016870493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8.888140716084382E-2</v>
      </c>
      <c r="D154" s="203">
        <f>IF(D166=0,0,D162/D166)</f>
        <v>9.886882854102709E-2</v>
      </c>
      <c r="E154" s="203">
        <f>IF(E166=0,0,E162/E166)</f>
        <v>0.12319160833246005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1.0661903129656805E-2</v>
      </c>
      <c r="D155" s="203">
        <f>IF(D166=0,0,D163/D166)</f>
        <v>6.9154139298345909E-3</v>
      </c>
      <c r="E155" s="203">
        <f>IF(E166=0,0,E163/E166)</f>
        <v>2.0814786459056912E-3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9.5389844873987398E-3</v>
      </c>
      <c r="D156" s="203">
        <f>IF(D166=0,0,D164/D166)</f>
        <v>8.5045415046589527E-3</v>
      </c>
      <c r="E156" s="203">
        <f>IF(E166=0,0,E164/E166)</f>
        <v>7.5721186254172103E-3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6.9817030057973159E-4</v>
      </c>
      <c r="D157" s="203">
        <f>IF(D166=0,0,D165/D166)</f>
        <v>8.466507554869858E-4</v>
      </c>
      <c r="E157" s="203">
        <f>IF(E166=0,0,E165/E166)</f>
        <v>7.016679088658811E-4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139171976</v>
      </c>
      <c r="D160" s="208">
        <f>+D44-D164</f>
        <v>146156572</v>
      </c>
      <c r="E160" s="208">
        <f>+E44-E164</f>
        <v>152851348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145672141</v>
      </c>
      <c r="D161" s="208">
        <f>+D50</f>
        <v>148147249</v>
      </c>
      <c r="E161" s="208">
        <f>+E50</f>
        <v>151557176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28439441</v>
      </c>
      <c r="D162" s="208">
        <f>+D54</f>
        <v>32883534</v>
      </c>
      <c r="E162" s="208">
        <f>+E54</f>
        <v>43280559</v>
      </c>
    </row>
    <row r="163" spans="1:6" ht="20.100000000000001" customHeight="1" x14ac:dyDescent="0.2">
      <c r="A163" s="202">
        <v>11</v>
      </c>
      <c r="B163" s="201" t="s">
        <v>408</v>
      </c>
      <c r="C163" s="207">
        <v>3411496</v>
      </c>
      <c r="D163" s="208">
        <v>2300050</v>
      </c>
      <c r="E163" s="208">
        <v>731280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3052195</v>
      </c>
      <c r="D164" s="208">
        <f>+D45</f>
        <v>2828590</v>
      </c>
      <c r="E164" s="208">
        <f>+E45</f>
        <v>2660291</v>
      </c>
    </row>
    <row r="165" spans="1:6" ht="20.100000000000001" customHeight="1" x14ac:dyDescent="0.2">
      <c r="A165" s="202">
        <v>13</v>
      </c>
      <c r="B165" s="201" t="s">
        <v>410</v>
      </c>
      <c r="C165" s="209">
        <v>223394</v>
      </c>
      <c r="D165" s="208">
        <v>281594</v>
      </c>
      <c r="E165" s="208">
        <v>246515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319970643</v>
      </c>
      <c r="D166" s="208">
        <f>SUM(D160:D165)</f>
        <v>332597589</v>
      </c>
      <c r="E166" s="208">
        <f>SUM(E160:E165)</f>
        <v>351327169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8200</v>
      </c>
      <c r="D169" s="198">
        <v>7897</v>
      </c>
      <c r="E169" s="198">
        <v>7399</v>
      </c>
    </row>
    <row r="170" spans="1:6" ht="20.100000000000001" customHeight="1" x14ac:dyDescent="0.2">
      <c r="A170" s="202">
        <v>2</v>
      </c>
      <c r="B170" s="201" t="s">
        <v>414</v>
      </c>
      <c r="C170" s="198">
        <v>9746</v>
      </c>
      <c r="D170" s="198">
        <v>9920</v>
      </c>
      <c r="E170" s="198">
        <v>10164</v>
      </c>
    </row>
    <row r="171" spans="1:6" ht="20.100000000000001" customHeight="1" x14ac:dyDescent="0.2">
      <c r="A171" s="202">
        <v>3</v>
      </c>
      <c r="B171" s="201" t="s">
        <v>415</v>
      </c>
      <c r="C171" s="198">
        <v>3779</v>
      </c>
      <c r="D171" s="198">
        <v>4026</v>
      </c>
      <c r="E171" s="198">
        <v>4516</v>
      </c>
    </row>
    <row r="172" spans="1:6" ht="20.100000000000001" customHeight="1" x14ac:dyDescent="0.2">
      <c r="A172" s="202">
        <v>4</v>
      </c>
      <c r="B172" s="201" t="s">
        <v>416</v>
      </c>
      <c r="C172" s="198">
        <v>3120</v>
      </c>
      <c r="D172" s="198">
        <v>3652</v>
      </c>
      <c r="E172" s="198">
        <v>4488</v>
      </c>
    </row>
    <row r="173" spans="1:6" ht="20.100000000000001" customHeight="1" x14ac:dyDescent="0.2">
      <c r="A173" s="202">
        <v>5</v>
      </c>
      <c r="B173" s="201" t="s">
        <v>417</v>
      </c>
      <c r="C173" s="198">
        <v>659</v>
      </c>
      <c r="D173" s="198">
        <v>374</v>
      </c>
      <c r="E173" s="198">
        <v>28</v>
      </c>
    </row>
    <row r="174" spans="1:6" ht="20.100000000000001" customHeight="1" x14ac:dyDescent="0.2">
      <c r="A174" s="202">
        <v>6</v>
      </c>
      <c r="B174" s="201" t="s">
        <v>418</v>
      </c>
      <c r="C174" s="198">
        <v>18</v>
      </c>
      <c r="D174" s="198">
        <v>30</v>
      </c>
      <c r="E174" s="198">
        <v>21</v>
      </c>
    </row>
    <row r="175" spans="1:6" ht="20.100000000000001" customHeight="1" x14ac:dyDescent="0.2">
      <c r="A175" s="202">
        <v>7</v>
      </c>
      <c r="B175" s="201" t="s">
        <v>419</v>
      </c>
      <c r="C175" s="198">
        <v>955</v>
      </c>
      <c r="D175" s="198">
        <v>1024</v>
      </c>
      <c r="E175" s="198">
        <v>991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21743</v>
      </c>
      <c r="D176" s="198">
        <f>+D169+D170+D171+D174</f>
        <v>21873</v>
      </c>
      <c r="E176" s="198">
        <f>+E169+E170+E171+E174</f>
        <v>22100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1.1909000000000001</v>
      </c>
      <c r="D179" s="210">
        <v>1.2276</v>
      </c>
      <c r="E179" s="210">
        <v>1.2369000000000001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1.5299</v>
      </c>
      <c r="D180" s="210">
        <v>1.5162</v>
      </c>
      <c r="E180" s="210">
        <v>1.4971000000000001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0.96343699999999999</v>
      </c>
      <c r="D181" s="210">
        <v>0.961121</v>
      </c>
      <c r="E181" s="210">
        <v>0.99570599999999998</v>
      </c>
    </row>
    <row r="182" spans="1:6" ht="20.100000000000001" customHeight="1" x14ac:dyDescent="0.2">
      <c r="A182" s="202">
        <v>4</v>
      </c>
      <c r="B182" s="201" t="s">
        <v>416</v>
      </c>
      <c r="C182" s="210">
        <v>0.91249999999999998</v>
      </c>
      <c r="D182" s="210">
        <v>0.9274</v>
      </c>
      <c r="E182" s="210">
        <v>0.99539999999999995</v>
      </c>
    </row>
    <row r="183" spans="1:6" ht="20.100000000000001" customHeight="1" x14ac:dyDescent="0.2">
      <c r="A183" s="202">
        <v>5</v>
      </c>
      <c r="B183" s="201" t="s">
        <v>417</v>
      </c>
      <c r="C183" s="210">
        <v>1.2045999999999999</v>
      </c>
      <c r="D183" s="210">
        <v>1.2904</v>
      </c>
      <c r="E183" s="210">
        <v>1.0448999999999999</v>
      </c>
    </row>
    <row r="184" spans="1:6" ht="20.100000000000001" customHeight="1" x14ac:dyDescent="0.2">
      <c r="A184" s="202">
        <v>6</v>
      </c>
      <c r="B184" s="201" t="s">
        <v>418</v>
      </c>
      <c r="C184" s="210">
        <v>1.1109</v>
      </c>
      <c r="D184" s="210">
        <v>0.81040000000000001</v>
      </c>
      <c r="E184" s="210">
        <v>1.3835999999999999</v>
      </c>
    </row>
    <row r="185" spans="1:6" ht="20.100000000000001" customHeight="1" x14ac:dyDescent="0.2">
      <c r="A185" s="202">
        <v>7</v>
      </c>
      <c r="B185" s="201" t="s">
        <v>419</v>
      </c>
      <c r="C185" s="210">
        <v>1.0987</v>
      </c>
      <c r="D185" s="210">
        <v>1.0674999999999999</v>
      </c>
      <c r="E185" s="210">
        <v>1.026</v>
      </c>
    </row>
    <row r="186" spans="1:6" ht="20.100000000000001" customHeight="1" x14ac:dyDescent="0.2">
      <c r="A186" s="202">
        <v>8</v>
      </c>
      <c r="B186" s="201" t="s">
        <v>423</v>
      </c>
      <c r="C186" s="210">
        <v>1.3032520000000001</v>
      </c>
      <c r="D186" s="210">
        <v>1.3088660000000001</v>
      </c>
      <c r="E186" s="210">
        <v>1.3074209999999999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10882</v>
      </c>
      <c r="D189" s="198">
        <v>14253</v>
      </c>
      <c r="E189" s="198">
        <v>15163</v>
      </c>
    </row>
    <row r="190" spans="1:6" ht="20.100000000000001" customHeight="1" x14ac:dyDescent="0.2">
      <c r="A190" s="202">
        <v>2</v>
      </c>
      <c r="B190" s="201" t="s">
        <v>427</v>
      </c>
      <c r="C190" s="198">
        <v>50431</v>
      </c>
      <c r="D190" s="198">
        <v>54760</v>
      </c>
      <c r="E190" s="198">
        <v>60360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61313</v>
      </c>
      <c r="D191" s="198">
        <f>+D190+D189</f>
        <v>69013</v>
      </c>
      <c r="E191" s="198">
        <f>+E190+E189</f>
        <v>75523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FILING&amp;RSAINT VINCENT`S MEDICAL CENTER</oddHeader>
    <oddFooter>&amp;L&amp;8REPORT 185&amp;C&amp;8PAGE &amp;P of &amp;N&amp;R&amp;D, &amp;T</oddFooter>
  </headerFooter>
  <rowBreaks count="3" manualBreakCount="3">
    <brk id="42" max="4" man="1"/>
    <brk id="110" max="4" man="1"/>
    <brk id="14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964324</v>
      </c>
      <c r="D14" s="237">
        <v>12395890</v>
      </c>
      <c r="E14" s="237">
        <f t="shared" ref="E14:E24" si="0">D14-C14</f>
        <v>11431566</v>
      </c>
      <c r="F14" s="238">
        <f t="shared" ref="F14:F24" si="1">IF(C14=0,0,E14/C14)</f>
        <v>11.854486666307174</v>
      </c>
    </row>
    <row r="15" spans="1:7" ht="20.25" customHeight="1" x14ac:dyDescent="0.3">
      <c r="A15" s="235">
        <v>2</v>
      </c>
      <c r="B15" s="236" t="s">
        <v>435</v>
      </c>
      <c r="C15" s="237">
        <v>265456</v>
      </c>
      <c r="D15" s="237">
        <v>3154148</v>
      </c>
      <c r="E15" s="237">
        <f t="shared" si="0"/>
        <v>2888692</v>
      </c>
      <c r="F15" s="238">
        <f t="shared" si="1"/>
        <v>10.881999276716291</v>
      </c>
    </row>
    <row r="16" spans="1:7" ht="20.25" customHeight="1" x14ac:dyDescent="0.3">
      <c r="A16" s="235">
        <v>3</v>
      </c>
      <c r="B16" s="236" t="s">
        <v>436</v>
      </c>
      <c r="C16" s="237">
        <v>162501</v>
      </c>
      <c r="D16" s="237">
        <v>3571108</v>
      </c>
      <c r="E16" s="237">
        <f t="shared" si="0"/>
        <v>3408607</v>
      </c>
      <c r="F16" s="238">
        <f t="shared" si="1"/>
        <v>20.975913994375418</v>
      </c>
    </row>
    <row r="17" spans="1:6" ht="20.25" customHeight="1" x14ac:dyDescent="0.3">
      <c r="A17" s="235">
        <v>4</v>
      </c>
      <c r="B17" s="236" t="s">
        <v>437</v>
      </c>
      <c r="C17" s="237">
        <v>51157</v>
      </c>
      <c r="D17" s="237">
        <v>1026882</v>
      </c>
      <c r="E17" s="237">
        <f t="shared" si="0"/>
        <v>975725</v>
      </c>
      <c r="F17" s="238">
        <f t="shared" si="1"/>
        <v>19.073147369861406</v>
      </c>
    </row>
    <row r="18" spans="1:6" ht="20.25" customHeight="1" x14ac:dyDescent="0.3">
      <c r="A18" s="235">
        <v>5</v>
      </c>
      <c r="B18" s="236" t="s">
        <v>373</v>
      </c>
      <c r="C18" s="239">
        <v>21</v>
      </c>
      <c r="D18" s="239">
        <v>326</v>
      </c>
      <c r="E18" s="239">
        <f t="shared" si="0"/>
        <v>305</v>
      </c>
      <c r="F18" s="238">
        <f t="shared" si="1"/>
        <v>14.523809523809524</v>
      </c>
    </row>
    <row r="19" spans="1:6" ht="20.25" customHeight="1" x14ac:dyDescent="0.3">
      <c r="A19" s="235">
        <v>6</v>
      </c>
      <c r="B19" s="236" t="s">
        <v>372</v>
      </c>
      <c r="C19" s="239">
        <v>141</v>
      </c>
      <c r="D19" s="239">
        <v>1827</v>
      </c>
      <c r="E19" s="239">
        <f t="shared" si="0"/>
        <v>1686</v>
      </c>
      <c r="F19" s="238">
        <f t="shared" si="1"/>
        <v>11.957446808510639</v>
      </c>
    </row>
    <row r="20" spans="1:6" ht="20.25" customHeight="1" x14ac:dyDescent="0.3">
      <c r="A20" s="235">
        <v>7</v>
      </c>
      <c r="B20" s="236" t="s">
        <v>438</v>
      </c>
      <c r="C20" s="239">
        <v>126</v>
      </c>
      <c r="D20" s="239">
        <v>1485</v>
      </c>
      <c r="E20" s="239">
        <f t="shared" si="0"/>
        <v>1359</v>
      </c>
      <c r="F20" s="238">
        <f t="shared" si="1"/>
        <v>10.785714285714286</v>
      </c>
    </row>
    <row r="21" spans="1:6" ht="20.25" customHeight="1" x14ac:dyDescent="0.3">
      <c r="A21" s="235">
        <v>8</v>
      </c>
      <c r="B21" s="236" t="s">
        <v>439</v>
      </c>
      <c r="C21" s="239">
        <v>17</v>
      </c>
      <c r="D21" s="239">
        <v>252</v>
      </c>
      <c r="E21" s="239">
        <f t="shared" si="0"/>
        <v>235</v>
      </c>
      <c r="F21" s="238">
        <f t="shared" si="1"/>
        <v>13.823529411764707</v>
      </c>
    </row>
    <row r="22" spans="1:6" ht="20.25" customHeight="1" x14ac:dyDescent="0.3">
      <c r="A22" s="235">
        <v>9</v>
      </c>
      <c r="B22" s="236" t="s">
        <v>440</v>
      </c>
      <c r="C22" s="239">
        <v>16</v>
      </c>
      <c r="D22" s="239">
        <v>260</v>
      </c>
      <c r="E22" s="239">
        <f t="shared" si="0"/>
        <v>244</v>
      </c>
      <c r="F22" s="238">
        <f t="shared" si="1"/>
        <v>15.25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1126825</v>
      </c>
      <c r="D23" s="243">
        <f>+D14+D16</f>
        <v>15966998</v>
      </c>
      <c r="E23" s="243">
        <f t="shared" si="0"/>
        <v>14840173</v>
      </c>
      <c r="F23" s="244">
        <f t="shared" si="1"/>
        <v>13.169900383821799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316613</v>
      </c>
      <c r="D24" s="243">
        <f>+D15+D17</f>
        <v>4181030</v>
      </c>
      <c r="E24" s="243">
        <f t="shared" si="0"/>
        <v>3864417</v>
      </c>
      <c r="F24" s="244">
        <f t="shared" si="1"/>
        <v>12.205490614725232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5693878</v>
      </c>
      <c r="D40" s="237">
        <v>12143585</v>
      </c>
      <c r="E40" s="237">
        <f t="shared" ref="E40:E50" si="4">D40-C40</f>
        <v>6449707</v>
      </c>
      <c r="F40" s="238">
        <f t="shared" ref="F40:F50" si="5">IF(C40=0,0,E40/C40)</f>
        <v>1.1327441508230418</v>
      </c>
    </row>
    <row r="41" spans="1:6" ht="20.25" customHeight="1" x14ac:dyDescent="0.3">
      <c r="A41" s="235">
        <v>2</v>
      </c>
      <c r="B41" s="236" t="s">
        <v>435</v>
      </c>
      <c r="C41" s="237">
        <v>1902362</v>
      </c>
      <c r="D41" s="237">
        <v>3406947</v>
      </c>
      <c r="E41" s="237">
        <f t="shared" si="4"/>
        <v>1504585</v>
      </c>
      <c r="F41" s="238">
        <f t="shared" si="5"/>
        <v>0.79090362402108538</v>
      </c>
    </row>
    <row r="42" spans="1:6" ht="20.25" customHeight="1" x14ac:dyDescent="0.3">
      <c r="A42" s="235">
        <v>3</v>
      </c>
      <c r="B42" s="236" t="s">
        <v>436</v>
      </c>
      <c r="C42" s="237">
        <v>2024252</v>
      </c>
      <c r="D42" s="237">
        <v>4004825</v>
      </c>
      <c r="E42" s="237">
        <f t="shared" si="4"/>
        <v>1980573</v>
      </c>
      <c r="F42" s="238">
        <f t="shared" si="5"/>
        <v>0.9784221529730488</v>
      </c>
    </row>
    <row r="43" spans="1:6" ht="20.25" customHeight="1" x14ac:dyDescent="0.3">
      <c r="A43" s="235">
        <v>4</v>
      </c>
      <c r="B43" s="236" t="s">
        <v>437</v>
      </c>
      <c r="C43" s="237">
        <v>572283</v>
      </c>
      <c r="D43" s="237">
        <v>1041484</v>
      </c>
      <c r="E43" s="237">
        <f t="shared" si="4"/>
        <v>469201</v>
      </c>
      <c r="F43" s="238">
        <f t="shared" si="5"/>
        <v>0.81987583066419933</v>
      </c>
    </row>
    <row r="44" spans="1:6" ht="20.25" customHeight="1" x14ac:dyDescent="0.3">
      <c r="A44" s="235">
        <v>5</v>
      </c>
      <c r="B44" s="236" t="s">
        <v>373</v>
      </c>
      <c r="C44" s="239">
        <v>162</v>
      </c>
      <c r="D44" s="239">
        <v>299</v>
      </c>
      <c r="E44" s="239">
        <f t="shared" si="4"/>
        <v>137</v>
      </c>
      <c r="F44" s="238">
        <f t="shared" si="5"/>
        <v>0.84567901234567899</v>
      </c>
    </row>
    <row r="45" spans="1:6" ht="20.25" customHeight="1" x14ac:dyDescent="0.3">
      <c r="A45" s="235">
        <v>6</v>
      </c>
      <c r="B45" s="236" t="s">
        <v>372</v>
      </c>
      <c r="C45" s="239">
        <v>911</v>
      </c>
      <c r="D45" s="239">
        <v>1969</v>
      </c>
      <c r="E45" s="239">
        <f t="shared" si="4"/>
        <v>1058</v>
      </c>
      <c r="F45" s="238">
        <f t="shared" si="5"/>
        <v>1.1613611416026344</v>
      </c>
    </row>
    <row r="46" spans="1:6" ht="20.25" customHeight="1" x14ac:dyDescent="0.3">
      <c r="A46" s="235">
        <v>7</v>
      </c>
      <c r="B46" s="236" t="s">
        <v>438</v>
      </c>
      <c r="C46" s="239">
        <v>1108</v>
      </c>
      <c r="D46" s="239">
        <v>1859</v>
      </c>
      <c r="E46" s="239">
        <f t="shared" si="4"/>
        <v>751</v>
      </c>
      <c r="F46" s="238">
        <f t="shared" si="5"/>
        <v>0.67779783393501802</v>
      </c>
    </row>
    <row r="47" spans="1:6" ht="20.25" customHeight="1" x14ac:dyDescent="0.3">
      <c r="A47" s="235">
        <v>8</v>
      </c>
      <c r="B47" s="236" t="s">
        <v>439</v>
      </c>
      <c r="C47" s="239">
        <v>82</v>
      </c>
      <c r="D47" s="239">
        <v>295</v>
      </c>
      <c r="E47" s="239">
        <f t="shared" si="4"/>
        <v>213</v>
      </c>
      <c r="F47" s="238">
        <f t="shared" si="5"/>
        <v>2.5975609756097562</v>
      </c>
    </row>
    <row r="48" spans="1:6" ht="20.25" customHeight="1" x14ac:dyDescent="0.3">
      <c r="A48" s="235">
        <v>9</v>
      </c>
      <c r="B48" s="236" t="s">
        <v>440</v>
      </c>
      <c r="C48" s="239">
        <v>127</v>
      </c>
      <c r="D48" s="239">
        <v>227</v>
      </c>
      <c r="E48" s="239">
        <f t="shared" si="4"/>
        <v>100</v>
      </c>
      <c r="F48" s="238">
        <f t="shared" si="5"/>
        <v>0.78740157480314965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7718130</v>
      </c>
      <c r="D49" s="243">
        <f>+D40+D42</f>
        <v>16148410</v>
      </c>
      <c r="E49" s="243">
        <f t="shared" si="4"/>
        <v>8430280</v>
      </c>
      <c r="F49" s="244">
        <f t="shared" si="5"/>
        <v>1.0922697596438515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2474645</v>
      </c>
      <c r="D50" s="243">
        <f>+D41+D43</f>
        <v>4448431</v>
      </c>
      <c r="E50" s="243">
        <f t="shared" si="4"/>
        <v>1973786</v>
      </c>
      <c r="F50" s="244">
        <f t="shared" si="5"/>
        <v>0.79760369669184872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85023617</v>
      </c>
      <c r="D53" s="237">
        <v>22853036</v>
      </c>
      <c r="E53" s="237">
        <f t="shared" ref="E53:E63" si="6">D53-C53</f>
        <v>-62170581</v>
      </c>
      <c r="F53" s="238">
        <f t="shared" ref="F53:F63" si="7">IF(C53=0,0,E53/C53)</f>
        <v>-0.73121543394231281</v>
      </c>
    </row>
    <row r="54" spans="1:6" ht="20.25" customHeight="1" x14ac:dyDescent="0.3">
      <c r="A54" s="235">
        <v>2</v>
      </c>
      <c r="B54" s="236" t="s">
        <v>435</v>
      </c>
      <c r="C54" s="237">
        <v>26633498</v>
      </c>
      <c r="D54" s="237">
        <v>10408127</v>
      </c>
      <c r="E54" s="237">
        <f t="shared" si="6"/>
        <v>-16225371</v>
      </c>
      <c r="F54" s="238">
        <f t="shared" si="7"/>
        <v>-0.60920916208603171</v>
      </c>
    </row>
    <row r="55" spans="1:6" ht="20.25" customHeight="1" x14ac:dyDescent="0.3">
      <c r="A55" s="235">
        <v>3</v>
      </c>
      <c r="B55" s="236" t="s">
        <v>436</v>
      </c>
      <c r="C55" s="237">
        <v>21203849</v>
      </c>
      <c r="D55" s="237">
        <v>5288376</v>
      </c>
      <c r="E55" s="237">
        <f t="shared" si="6"/>
        <v>-15915473</v>
      </c>
      <c r="F55" s="238">
        <f t="shared" si="7"/>
        <v>-0.75059358326877357</v>
      </c>
    </row>
    <row r="56" spans="1:6" ht="20.25" customHeight="1" x14ac:dyDescent="0.3">
      <c r="A56" s="235">
        <v>4</v>
      </c>
      <c r="B56" s="236" t="s">
        <v>437</v>
      </c>
      <c r="C56" s="237">
        <v>6002357</v>
      </c>
      <c r="D56" s="237">
        <v>2156264</v>
      </c>
      <c r="E56" s="237">
        <f t="shared" si="6"/>
        <v>-3846093</v>
      </c>
      <c r="F56" s="238">
        <f t="shared" si="7"/>
        <v>-0.64076378662582045</v>
      </c>
    </row>
    <row r="57" spans="1:6" ht="20.25" customHeight="1" x14ac:dyDescent="0.3">
      <c r="A57" s="235">
        <v>5</v>
      </c>
      <c r="B57" s="236" t="s">
        <v>373</v>
      </c>
      <c r="C57" s="239">
        <v>2393</v>
      </c>
      <c r="D57" s="239">
        <v>640</v>
      </c>
      <c r="E57" s="239">
        <f t="shared" si="6"/>
        <v>-1753</v>
      </c>
      <c r="F57" s="238">
        <f t="shared" si="7"/>
        <v>-0.73255328040117007</v>
      </c>
    </row>
    <row r="58" spans="1:6" ht="20.25" customHeight="1" x14ac:dyDescent="0.3">
      <c r="A58" s="235">
        <v>6</v>
      </c>
      <c r="B58" s="236" t="s">
        <v>372</v>
      </c>
      <c r="C58" s="239">
        <v>13591</v>
      </c>
      <c r="D58" s="239">
        <v>3881</v>
      </c>
      <c r="E58" s="239">
        <f t="shared" si="6"/>
        <v>-9710</v>
      </c>
      <c r="F58" s="238">
        <f t="shared" si="7"/>
        <v>-0.71444338164962107</v>
      </c>
    </row>
    <row r="59" spans="1:6" ht="20.25" customHeight="1" x14ac:dyDescent="0.3">
      <c r="A59" s="235">
        <v>7</v>
      </c>
      <c r="B59" s="236" t="s">
        <v>438</v>
      </c>
      <c r="C59" s="239">
        <v>9071</v>
      </c>
      <c r="D59" s="239">
        <v>2375</v>
      </c>
      <c r="E59" s="239">
        <f t="shared" si="6"/>
        <v>-6696</v>
      </c>
      <c r="F59" s="238">
        <f t="shared" si="7"/>
        <v>-0.73817660676882368</v>
      </c>
    </row>
    <row r="60" spans="1:6" ht="20.25" customHeight="1" x14ac:dyDescent="0.3">
      <c r="A60" s="235">
        <v>8</v>
      </c>
      <c r="B60" s="236" t="s">
        <v>439</v>
      </c>
      <c r="C60" s="239">
        <v>1480</v>
      </c>
      <c r="D60" s="239">
        <v>409</v>
      </c>
      <c r="E60" s="239">
        <f t="shared" si="6"/>
        <v>-1071</v>
      </c>
      <c r="F60" s="238">
        <f t="shared" si="7"/>
        <v>-0.72364864864864864</v>
      </c>
    </row>
    <row r="61" spans="1:6" ht="20.25" customHeight="1" x14ac:dyDescent="0.3">
      <c r="A61" s="235">
        <v>9</v>
      </c>
      <c r="B61" s="236" t="s">
        <v>440</v>
      </c>
      <c r="C61" s="239">
        <v>1848</v>
      </c>
      <c r="D61" s="239">
        <v>506</v>
      </c>
      <c r="E61" s="239">
        <f t="shared" si="6"/>
        <v>-1342</v>
      </c>
      <c r="F61" s="238">
        <f t="shared" si="7"/>
        <v>-0.72619047619047616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106227466</v>
      </c>
      <c r="D62" s="243">
        <f>+D53+D55</f>
        <v>28141412</v>
      </c>
      <c r="E62" s="243">
        <f t="shared" si="6"/>
        <v>-78086054</v>
      </c>
      <c r="F62" s="244">
        <f t="shared" si="7"/>
        <v>-0.73508346701972538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32635855</v>
      </c>
      <c r="D63" s="243">
        <f>+D54+D56</f>
        <v>12564391</v>
      </c>
      <c r="E63" s="243">
        <f t="shared" si="6"/>
        <v>-20071464</v>
      </c>
      <c r="F63" s="244">
        <f t="shared" si="7"/>
        <v>-0.61501266015552525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0</v>
      </c>
      <c r="D66" s="237">
        <v>0</v>
      </c>
      <c r="E66" s="237">
        <f t="shared" ref="E66:E76" si="8">D66-C66</f>
        <v>0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435</v>
      </c>
      <c r="C67" s="237">
        <v>0</v>
      </c>
      <c r="D67" s="237">
        <v>0</v>
      </c>
      <c r="E67" s="237">
        <f t="shared" si="8"/>
        <v>0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436</v>
      </c>
      <c r="C68" s="237">
        <v>0</v>
      </c>
      <c r="D68" s="237">
        <v>4158</v>
      </c>
      <c r="E68" s="237">
        <f t="shared" si="8"/>
        <v>4158</v>
      </c>
      <c r="F68" s="238">
        <f t="shared" si="9"/>
        <v>0</v>
      </c>
    </row>
    <row r="69" spans="1:6" ht="20.25" customHeight="1" x14ac:dyDescent="0.3">
      <c r="A69" s="235">
        <v>4</v>
      </c>
      <c r="B69" s="236" t="s">
        <v>437</v>
      </c>
      <c r="C69" s="237">
        <v>0</v>
      </c>
      <c r="D69" s="237">
        <v>1932</v>
      </c>
      <c r="E69" s="237">
        <f t="shared" si="8"/>
        <v>1932</v>
      </c>
      <c r="F69" s="238">
        <f t="shared" si="9"/>
        <v>0</v>
      </c>
    </row>
    <row r="70" spans="1:6" ht="20.25" customHeight="1" x14ac:dyDescent="0.3">
      <c r="A70" s="235">
        <v>5</v>
      </c>
      <c r="B70" s="236" t="s">
        <v>373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372</v>
      </c>
      <c r="C71" s="239">
        <v>0</v>
      </c>
      <c r="D71" s="239">
        <v>0</v>
      </c>
      <c r="E71" s="239">
        <f t="shared" si="8"/>
        <v>0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438</v>
      </c>
      <c r="C72" s="239">
        <v>0</v>
      </c>
      <c r="D72" s="239">
        <v>1</v>
      </c>
      <c r="E72" s="239">
        <f t="shared" si="8"/>
        <v>1</v>
      </c>
      <c r="F72" s="238">
        <f t="shared" si="9"/>
        <v>0</v>
      </c>
    </row>
    <row r="73" spans="1:6" ht="20.25" customHeight="1" x14ac:dyDescent="0.3">
      <c r="A73" s="235">
        <v>8</v>
      </c>
      <c r="B73" s="236" t="s">
        <v>439</v>
      </c>
      <c r="C73" s="239">
        <v>0</v>
      </c>
      <c r="D73" s="239">
        <v>3</v>
      </c>
      <c r="E73" s="239">
        <f t="shared" si="8"/>
        <v>3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0</v>
      </c>
      <c r="D75" s="243">
        <f>+D66+D68</f>
        <v>4158</v>
      </c>
      <c r="E75" s="243">
        <f t="shared" si="8"/>
        <v>4158</v>
      </c>
      <c r="F75" s="244">
        <f t="shared" si="9"/>
        <v>0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0</v>
      </c>
      <c r="D76" s="243">
        <f>+D67+D69</f>
        <v>1932</v>
      </c>
      <c r="E76" s="243">
        <f t="shared" si="8"/>
        <v>1932</v>
      </c>
      <c r="F76" s="244">
        <f t="shared" si="9"/>
        <v>0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233626</v>
      </c>
      <c r="E79" s="237">
        <f t="shared" ref="E79:E89" si="10">D79-C79</f>
        <v>233626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9761</v>
      </c>
      <c r="E80" s="237">
        <f t="shared" si="10"/>
        <v>9761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58213</v>
      </c>
      <c r="E81" s="237">
        <f t="shared" si="10"/>
        <v>58213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174</v>
      </c>
      <c r="E82" s="237">
        <f t="shared" si="10"/>
        <v>174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1</v>
      </c>
      <c r="E83" s="239">
        <f t="shared" si="10"/>
        <v>1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6</v>
      </c>
      <c r="E84" s="239">
        <f t="shared" si="10"/>
        <v>6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29</v>
      </c>
      <c r="E85" s="239">
        <f t="shared" si="10"/>
        <v>29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2</v>
      </c>
      <c r="E86" s="239">
        <f t="shared" si="10"/>
        <v>2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4</v>
      </c>
      <c r="E87" s="239">
        <f t="shared" si="10"/>
        <v>4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291839</v>
      </c>
      <c r="E88" s="243">
        <f t="shared" si="10"/>
        <v>291839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9935</v>
      </c>
      <c r="E89" s="243">
        <f t="shared" si="10"/>
        <v>9935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51186272</v>
      </c>
      <c r="E92" s="237">
        <f t="shared" ref="E92:E102" si="12">D92-C92</f>
        <v>51186272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14001350</v>
      </c>
      <c r="E93" s="237">
        <f t="shared" si="12"/>
        <v>14001350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14301219</v>
      </c>
      <c r="E94" s="237">
        <f t="shared" si="12"/>
        <v>14301219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2927642</v>
      </c>
      <c r="E95" s="237">
        <f t="shared" si="12"/>
        <v>2927642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1396</v>
      </c>
      <c r="E96" s="239">
        <f t="shared" si="12"/>
        <v>1396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8053</v>
      </c>
      <c r="E97" s="239">
        <f t="shared" si="12"/>
        <v>8053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5164</v>
      </c>
      <c r="E98" s="239">
        <f t="shared" si="12"/>
        <v>5164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1066</v>
      </c>
      <c r="E99" s="239">
        <f t="shared" si="12"/>
        <v>1066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1162</v>
      </c>
      <c r="E100" s="239">
        <f t="shared" si="12"/>
        <v>1162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65487491</v>
      </c>
      <c r="E101" s="243">
        <f t="shared" si="12"/>
        <v>65487491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16928992</v>
      </c>
      <c r="E102" s="243">
        <f t="shared" si="12"/>
        <v>16928992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5663302</v>
      </c>
      <c r="D105" s="237">
        <v>5453824</v>
      </c>
      <c r="E105" s="237">
        <f t="shared" ref="E105:E115" si="14">D105-C105</f>
        <v>-209478</v>
      </c>
      <c r="F105" s="238">
        <f t="shared" ref="F105:F115" si="15">IF(C105=0,0,E105/C105)</f>
        <v>-3.6988668448195067E-2</v>
      </c>
    </row>
    <row r="106" spans="1:6" ht="20.25" customHeight="1" x14ac:dyDescent="0.3">
      <c r="A106" s="235">
        <v>2</v>
      </c>
      <c r="B106" s="236" t="s">
        <v>435</v>
      </c>
      <c r="C106" s="237">
        <v>1929870</v>
      </c>
      <c r="D106" s="237">
        <v>1652561</v>
      </c>
      <c r="E106" s="237">
        <f t="shared" si="14"/>
        <v>-277309</v>
      </c>
      <c r="F106" s="238">
        <f t="shared" si="15"/>
        <v>-0.14369309849886261</v>
      </c>
    </row>
    <row r="107" spans="1:6" ht="20.25" customHeight="1" x14ac:dyDescent="0.3">
      <c r="A107" s="235">
        <v>3</v>
      </c>
      <c r="B107" s="236" t="s">
        <v>436</v>
      </c>
      <c r="C107" s="237">
        <v>1723883</v>
      </c>
      <c r="D107" s="237">
        <v>2118288</v>
      </c>
      <c r="E107" s="237">
        <f t="shared" si="14"/>
        <v>394405</v>
      </c>
      <c r="F107" s="238">
        <f t="shared" si="15"/>
        <v>0.2287887287014258</v>
      </c>
    </row>
    <row r="108" spans="1:6" ht="20.25" customHeight="1" x14ac:dyDescent="0.3">
      <c r="A108" s="235">
        <v>4</v>
      </c>
      <c r="B108" s="236" t="s">
        <v>437</v>
      </c>
      <c r="C108" s="237">
        <v>424576</v>
      </c>
      <c r="D108" s="237">
        <v>529786</v>
      </c>
      <c r="E108" s="237">
        <f t="shared" si="14"/>
        <v>105210</v>
      </c>
      <c r="F108" s="238">
        <f t="shared" si="15"/>
        <v>0.24780015827555019</v>
      </c>
    </row>
    <row r="109" spans="1:6" ht="20.25" customHeight="1" x14ac:dyDescent="0.3">
      <c r="A109" s="235">
        <v>5</v>
      </c>
      <c r="B109" s="236" t="s">
        <v>373</v>
      </c>
      <c r="C109" s="239">
        <v>171</v>
      </c>
      <c r="D109" s="239">
        <v>152</v>
      </c>
      <c r="E109" s="239">
        <f t="shared" si="14"/>
        <v>-19</v>
      </c>
      <c r="F109" s="238">
        <f t="shared" si="15"/>
        <v>-0.1111111111111111</v>
      </c>
    </row>
    <row r="110" spans="1:6" ht="20.25" customHeight="1" x14ac:dyDescent="0.3">
      <c r="A110" s="235">
        <v>6</v>
      </c>
      <c r="B110" s="236" t="s">
        <v>372</v>
      </c>
      <c r="C110" s="239">
        <v>1075</v>
      </c>
      <c r="D110" s="239">
        <v>1012</v>
      </c>
      <c r="E110" s="239">
        <f t="shared" si="14"/>
        <v>-63</v>
      </c>
      <c r="F110" s="238">
        <f t="shared" si="15"/>
        <v>-5.8604651162790698E-2</v>
      </c>
    </row>
    <row r="111" spans="1:6" ht="20.25" customHeight="1" x14ac:dyDescent="0.3">
      <c r="A111" s="235">
        <v>7</v>
      </c>
      <c r="B111" s="236" t="s">
        <v>438</v>
      </c>
      <c r="C111" s="239">
        <v>756</v>
      </c>
      <c r="D111" s="239">
        <v>868</v>
      </c>
      <c r="E111" s="239">
        <f t="shared" si="14"/>
        <v>112</v>
      </c>
      <c r="F111" s="238">
        <f t="shared" si="15"/>
        <v>0.14814814814814814</v>
      </c>
    </row>
    <row r="112" spans="1:6" ht="20.25" customHeight="1" x14ac:dyDescent="0.3">
      <c r="A112" s="235">
        <v>8</v>
      </c>
      <c r="B112" s="236" t="s">
        <v>439</v>
      </c>
      <c r="C112" s="239">
        <v>229</v>
      </c>
      <c r="D112" s="239">
        <v>297</v>
      </c>
      <c r="E112" s="239">
        <f t="shared" si="14"/>
        <v>68</v>
      </c>
      <c r="F112" s="238">
        <f t="shared" si="15"/>
        <v>0.29694323144104806</v>
      </c>
    </row>
    <row r="113" spans="1:6" ht="20.25" customHeight="1" x14ac:dyDescent="0.3">
      <c r="A113" s="235">
        <v>9</v>
      </c>
      <c r="B113" s="236" t="s">
        <v>440</v>
      </c>
      <c r="C113" s="239">
        <v>136</v>
      </c>
      <c r="D113" s="239">
        <v>130</v>
      </c>
      <c r="E113" s="239">
        <f t="shared" si="14"/>
        <v>-6</v>
      </c>
      <c r="F113" s="238">
        <f t="shared" si="15"/>
        <v>-4.4117647058823532E-2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7387185</v>
      </c>
      <c r="D114" s="243">
        <f>+D105+D107</f>
        <v>7572112</v>
      </c>
      <c r="E114" s="243">
        <f t="shared" si="14"/>
        <v>184927</v>
      </c>
      <c r="F114" s="244">
        <f t="shared" si="15"/>
        <v>2.5033487045471314E-2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2354446</v>
      </c>
      <c r="D115" s="243">
        <f>+D106+D108</f>
        <v>2182347</v>
      </c>
      <c r="E115" s="243">
        <f t="shared" si="14"/>
        <v>-172099</v>
      </c>
      <c r="F115" s="244">
        <f t="shared" si="15"/>
        <v>-7.3095326883691539E-2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2584371</v>
      </c>
      <c r="D118" s="237">
        <v>3956924</v>
      </c>
      <c r="E118" s="237">
        <f t="shared" ref="E118:E128" si="16">D118-C118</f>
        <v>1372553</v>
      </c>
      <c r="F118" s="238">
        <f t="shared" ref="F118:F128" si="17">IF(C118=0,0,E118/C118)</f>
        <v>0.53109750883290363</v>
      </c>
    </row>
    <row r="119" spans="1:6" ht="20.25" customHeight="1" x14ac:dyDescent="0.3">
      <c r="A119" s="235">
        <v>2</v>
      </c>
      <c r="B119" s="236" t="s">
        <v>435</v>
      </c>
      <c r="C119" s="237">
        <v>742133</v>
      </c>
      <c r="D119" s="237">
        <v>1204839</v>
      </c>
      <c r="E119" s="237">
        <f t="shared" si="16"/>
        <v>462706</v>
      </c>
      <c r="F119" s="238">
        <f t="shared" si="17"/>
        <v>0.62348123584317094</v>
      </c>
    </row>
    <row r="120" spans="1:6" ht="20.25" customHeight="1" x14ac:dyDescent="0.3">
      <c r="A120" s="235">
        <v>3</v>
      </c>
      <c r="B120" s="236" t="s">
        <v>436</v>
      </c>
      <c r="C120" s="237">
        <v>672084</v>
      </c>
      <c r="D120" s="237">
        <v>867098</v>
      </c>
      <c r="E120" s="237">
        <f t="shared" si="16"/>
        <v>195014</v>
      </c>
      <c r="F120" s="238">
        <f t="shared" si="17"/>
        <v>0.29016313437010849</v>
      </c>
    </row>
    <row r="121" spans="1:6" ht="20.25" customHeight="1" x14ac:dyDescent="0.3">
      <c r="A121" s="235">
        <v>4</v>
      </c>
      <c r="B121" s="236" t="s">
        <v>437</v>
      </c>
      <c r="C121" s="237">
        <v>171798</v>
      </c>
      <c r="D121" s="237">
        <v>233945</v>
      </c>
      <c r="E121" s="237">
        <f t="shared" si="16"/>
        <v>62147</v>
      </c>
      <c r="F121" s="238">
        <f t="shared" si="17"/>
        <v>0.3617446070384987</v>
      </c>
    </row>
    <row r="122" spans="1:6" ht="20.25" customHeight="1" x14ac:dyDescent="0.3">
      <c r="A122" s="235">
        <v>5</v>
      </c>
      <c r="B122" s="236" t="s">
        <v>373</v>
      </c>
      <c r="C122" s="239">
        <v>67</v>
      </c>
      <c r="D122" s="239">
        <v>92</v>
      </c>
      <c r="E122" s="239">
        <f t="shared" si="16"/>
        <v>25</v>
      </c>
      <c r="F122" s="238">
        <f t="shared" si="17"/>
        <v>0.37313432835820898</v>
      </c>
    </row>
    <row r="123" spans="1:6" ht="20.25" customHeight="1" x14ac:dyDescent="0.3">
      <c r="A123" s="235">
        <v>6</v>
      </c>
      <c r="B123" s="236" t="s">
        <v>372</v>
      </c>
      <c r="C123" s="239">
        <v>391</v>
      </c>
      <c r="D123" s="239">
        <v>600</v>
      </c>
      <c r="E123" s="239">
        <f t="shared" si="16"/>
        <v>209</v>
      </c>
      <c r="F123" s="238">
        <f t="shared" si="17"/>
        <v>0.53452685421994883</v>
      </c>
    </row>
    <row r="124" spans="1:6" ht="20.25" customHeight="1" x14ac:dyDescent="0.3">
      <c r="A124" s="235">
        <v>7</v>
      </c>
      <c r="B124" s="236" t="s">
        <v>438</v>
      </c>
      <c r="C124" s="239">
        <v>429</v>
      </c>
      <c r="D124" s="239">
        <v>429</v>
      </c>
      <c r="E124" s="239">
        <f t="shared" si="16"/>
        <v>0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439</v>
      </c>
      <c r="C125" s="239">
        <v>69</v>
      </c>
      <c r="D125" s="239">
        <v>66</v>
      </c>
      <c r="E125" s="239">
        <f t="shared" si="16"/>
        <v>-3</v>
      </c>
      <c r="F125" s="238">
        <f t="shared" si="17"/>
        <v>-4.3478260869565216E-2</v>
      </c>
    </row>
    <row r="126" spans="1:6" ht="20.25" customHeight="1" x14ac:dyDescent="0.3">
      <c r="A126" s="235">
        <v>9</v>
      </c>
      <c r="B126" s="236" t="s">
        <v>440</v>
      </c>
      <c r="C126" s="239">
        <v>49</v>
      </c>
      <c r="D126" s="239">
        <v>64</v>
      </c>
      <c r="E126" s="239">
        <f t="shared" si="16"/>
        <v>15</v>
      </c>
      <c r="F126" s="238">
        <f t="shared" si="17"/>
        <v>0.30612244897959184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3256455</v>
      </c>
      <c r="D127" s="243">
        <f>+D118+D120</f>
        <v>4824022</v>
      </c>
      <c r="E127" s="243">
        <f t="shared" si="16"/>
        <v>1567567</v>
      </c>
      <c r="F127" s="244">
        <f t="shared" si="17"/>
        <v>0.48137222838946031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913931</v>
      </c>
      <c r="D128" s="243">
        <f>+D119+D121</f>
        <v>1438784</v>
      </c>
      <c r="E128" s="243">
        <f t="shared" si="16"/>
        <v>524853</v>
      </c>
      <c r="F128" s="244">
        <f t="shared" si="17"/>
        <v>0.57428077174316228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1073268</v>
      </c>
      <c r="D131" s="237">
        <v>934051</v>
      </c>
      <c r="E131" s="237">
        <f t="shared" ref="E131:E141" si="18">D131-C131</f>
        <v>-139217</v>
      </c>
      <c r="F131" s="238">
        <f t="shared" ref="F131:F141" si="19">IF(C131=0,0,E131/C131)</f>
        <v>-0.12971317508767616</v>
      </c>
    </row>
    <row r="132" spans="1:6" ht="20.25" customHeight="1" x14ac:dyDescent="0.3">
      <c r="A132" s="235">
        <v>2</v>
      </c>
      <c r="B132" s="236" t="s">
        <v>435</v>
      </c>
      <c r="C132" s="237">
        <v>441688</v>
      </c>
      <c r="D132" s="237">
        <v>278470</v>
      </c>
      <c r="E132" s="237">
        <f t="shared" si="18"/>
        <v>-163218</v>
      </c>
      <c r="F132" s="238">
        <f t="shared" si="19"/>
        <v>-0.36953233957001325</v>
      </c>
    </row>
    <row r="133" spans="1:6" ht="20.25" customHeight="1" x14ac:dyDescent="0.3">
      <c r="A133" s="235">
        <v>3</v>
      </c>
      <c r="B133" s="236" t="s">
        <v>436</v>
      </c>
      <c r="C133" s="237">
        <v>198085</v>
      </c>
      <c r="D133" s="237">
        <v>462818</v>
      </c>
      <c r="E133" s="237">
        <f t="shared" si="18"/>
        <v>264733</v>
      </c>
      <c r="F133" s="238">
        <f t="shared" si="19"/>
        <v>1.3364616200116113</v>
      </c>
    </row>
    <row r="134" spans="1:6" ht="20.25" customHeight="1" x14ac:dyDescent="0.3">
      <c r="A134" s="235">
        <v>4</v>
      </c>
      <c r="B134" s="236" t="s">
        <v>437</v>
      </c>
      <c r="C134" s="237">
        <v>78181</v>
      </c>
      <c r="D134" s="237">
        <v>82591</v>
      </c>
      <c r="E134" s="237">
        <f t="shared" si="18"/>
        <v>4410</v>
      </c>
      <c r="F134" s="238">
        <f t="shared" si="19"/>
        <v>5.6407567055934305E-2</v>
      </c>
    </row>
    <row r="135" spans="1:6" ht="20.25" customHeight="1" x14ac:dyDescent="0.3">
      <c r="A135" s="235">
        <v>5</v>
      </c>
      <c r="B135" s="236" t="s">
        <v>373</v>
      </c>
      <c r="C135" s="239">
        <v>35</v>
      </c>
      <c r="D135" s="239">
        <v>23</v>
      </c>
      <c r="E135" s="239">
        <f t="shared" si="18"/>
        <v>-12</v>
      </c>
      <c r="F135" s="238">
        <f t="shared" si="19"/>
        <v>-0.34285714285714286</v>
      </c>
    </row>
    <row r="136" spans="1:6" ht="20.25" customHeight="1" x14ac:dyDescent="0.3">
      <c r="A136" s="235">
        <v>6</v>
      </c>
      <c r="B136" s="236" t="s">
        <v>372</v>
      </c>
      <c r="C136" s="239">
        <v>197</v>
      </c>
      <c r="D136" s="239">
        <v>114</v>
      </c>
      <c r="E136" s="239">
        <f t="shared" si="18"/>
        <v>-83</v>
      </c>
      <c r="F136" s="238">
        <f t="shared" si="19"/>
        <v>-0.42131979695431471</v>
      </c>
    </row>
    <row r="137" spans="1:6" ht="20.25" customHeight="1" x14ac:dyDescent="0.3">
      <c r="A137" s="235">
        <v>7</v>
      </c>
      <c r="B137" s="236" t="s">
        <v>438</v>
      </c>
      <c r="C137" s="239">
        <v>84</v>
      </c>
      <c r="D137" s="239">
        <v>140</v>
      </c>
      <c r="E137" s="239">
        <f t="shared" si="18"/>
        <v>56</v>
      </c>
      <c r="F137" s="238">
        <f t="shared" si="19"/>
        <v>0.66666666666666663</v>
      </c>
    </row>
    <row r="138" spans="1:6" ht="20.25" customHeight="1" x14ac:dyDescent="0.3">
      <c r="A138" s="235">
        <v>8</v>
      </c>
      <c r="B138" s="236" t="s">
        <v>439</v>
      </c>
      <c r="C138" s="239">
        <v>34</v>
      </c>
      <c r="D138" s="239">
        <v>20</v>
      </c>
      <c r="E138" s="239">
        <f t="shared" si="18"/>
        <v>-14</v>
      </c>
      <c r="F138" s="238">
        <f t="shared" si="19"/>
        <v>-0.41176470588235292</v>
      </c>
    </row>
    <row r="139" spans="1:6" ht="20.25" customHeight="1" x14ac:dyDescent="0.3">
      <c r="A139" s="235">
        <v>9</v>
      </c>
      <c r="B139" s="236" t="s">
        <v>440</v>
      </c>
      <c r="C139" s="239">
        <v>30</v>
      </c>
      <c r="D139" s="239">
        <v>17</v>
      </c>
      <c r="E139" s="239">
        <f t="shared" si="18"/>
        <v>-13</v>
      </c>
      <c r="F139" s="238">
        <f t="shared" si="19"/>
        <v>-0.43333333333333335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1271353</v>
      </c>
      <c r="D140" s="243">
        <f>+D131+D133</f>
        <v>1396869</v>
      </c>
      <c r="E140" s="243">
        <f t="shared" si="18"/>
        <v>125516</v>
      </c>
      <c r="F140" s="244">
        <f t="shared" si="19"/>
        <v>9.8726317553032086E-2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519869</v>
      </c>
      <c r="D141" s="243">
        <f>+D132+D134</f>
        <v>361061</v>
      </c>
      <c r="E141" s="243">
        <f t="shared" si="18"/>
        <v>-158808</v>
      </c>
      <c r="F141" s="244">
        <f t="shared" si="19"/>
        <v>-0.30547695669485969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2640430</v>
      </c>
      <c r="D183" s="237">
        <v>3091540</v>
      </c>
      <c r="E183" s="237">
        <f t="shared" ref="E183:E193" si="26">D183-C183</f>
        <v>451110</v>
      </c>
      <c r="F183" s="238">
        <f t="shared" ref="F183:F193" si="27">IF(C183=0,0,E183/C183)</f>
        <v>0.17084717261961119</v>
      </c>
    </row>
    <row r="184" spans="1:6" ht="20.25" customHeight="1" x14ac:dyDescent="0.3">
      <c r="A184" s="235">
        <v>2</v>
      </c>
      <c r="B184" s="236" t="s">
        <v>435</v>
      </c>
      <c r="C184" s="237">
        <v>1038681</v>
      </c>
      <c r="D184" s="237">
        <v>1163231</v>
      </c>
      <c r="E184" s="237">
        <f t="shared" si="26"/>
        <v>124550</v>
      </c>
      <c r="F184" s="238">
        <f t="shared" si="27"/>
        <v>0.11991169569867938</v>
      </c>
    </row>
    <row r="185" spans="1:6" ht="20.25" customHeight="1" x14ac:dyDescent="0.3">
      <c r="A185" s="235">
        <v>3</v>
      </c>
      <c r="B185" s="236" t="s">
        <v>436</v>
      </c>
      <c r="C185" s="237">
        <v>1251688</v>
      </c>
      <c r="D185" s="237">
        <v>880687</v>
      </c>
      <c r="E185" s="237">
        <f t="shared" si="26"/>
        <v>-371001</v>
      </c>
      <c r="F185" s="238">
        <f t="shared" si="27"/>
        <v>-0.29640054070982547</v>
      </c>
    </row>
    <row r="186" spans="1:6" ht="20.25" customHeight="1" x14ac:dyDescent="0.3">
      <c r="A186" s="235">
        <v>4</v>
      </c>
      <c r="B186" s="236" t="s">
        <v>437</v>
      </c>
      <c r="C186" s="237">
        <v>303818</v>
      </c>
      <c r="D186" s="237">
        <v>281433</v>
      </c>
      <c r="E186" s="237">
        <f t="shared" si="26"/>
        <v>-22385</v>
      </c>
      <c r="F186" s="238">
        <f t="shared" si="27"/>
        <v>-7.3678978862345215E-2</v>
      </c>
    </row>
    <row r="187" spans="1:6" ht="20.25" customHeight="1" x14ac:dyDescent="0.3">
      <c r="A187" s="235">
        <v>5</v>
      </c>
      <c r="B187" s="236" t="s">
        <v>373</v>
      </c>
      <c r="C187" s="239">
        <v>93</v>
      </c>
      <c r="D187" s="239">
        <v>80</v>
      </c>
      <c r="E187" s="239">
        <f t="shared" si="26"/>
        <v>-13</v>
      </c>
      <c r="F187" s="238">
        <f t="shared" si="27"/>
        <v>-0.13978494623655913</v>
      </c>
    </row>
    <row r="188" spans="1:6" ht="20.25" customHeight="1" x14ac:dyDescent="0.3">
      <c r="A188" s="235">
        <v>6</v>
      </c>
      <c r="B188" s="236" t="s">
        <v>372</v>
      </c>
      <c r="C188" s="239">
        <v>485</v>
      </c>
      <c r="D188" s="239">
        <v>480</v>
      </c>
      <c r="E188" s="239">
        <f t="shared" si="26"/>
        <v>-5</v>
      </c>
      <c r="F188" s="238">
        <f t="shared" si="27"/>
        <v>-1.0309278350515464E-2</v>
      </c>
    </row>
    <row r="189" spans="1:6" ht="20.25" customHeight="1" x14ac:dyDescent="0.3">
      <c r="A189" s="235">
        <v>7</v>
      </c>
      <c r="B189" s="236" t="s">
        <v>438</v>
      </c>
      <c r="C189" s="239">
        <v>512</v>
      </c>
      <c r="D189" s="239">
        <v>407</v>
      </c>
      <c r="E189" s="239">
        <f t="shared" si="26"/>
        <v>-105</v>
      </c>
      <c r="F189" s="238">
        <f t="shared" si="27"/>
        <v>-0.205078125</v>
      </c>
    </row>
    <row r="190" spans="1:6" ht="20.25" customHeight="1" x14ac:dyDescent="0.3">
      <c r="A190" s="235">
        <v>8</v>
      </c>
      <c r="B190" s="236" t="s">
        <v>439</v>
      </c>
      <c r="C190" s="239">
        <v>110</v>
      </c>
      <c r="D190" s="239">
        <v>74</v>
      </c>
      <c r="E190" s="239">
        <f t="shared" si="26"/>
        <v>-36</v>
      </c>
      <c r="F190" s="238">
        <f t="shared" si="27"/>
        <v>-0.32727272727272727</v>
      </c>
    </row>
    <row r="191" spans="1:6" ht="20.25" customHeight="1" x14ac:dyDescent="0.3">
      <c r="A191" s="235">
        <v>9</v>
      </c>
      <c r="B191" s="236" t="s">
        <v>440</v>
      </c>
      <c r="C191" s="239">
        <v>90</v>
      </c>
      <c r="D191" s="239">
        <v>73</v>
      </c>
      <c r="E191" s="239">
        <f t="shared" si="26"/>
        <v>-17</v>
      </c>
      <c r="F191" s="238">
        <f t="shared" si="27"/>
        <v>-0.18888888888888888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3892118</v>
      </c>
      <c r="D192" s="243">
        <f>+D183+D185</f>
        <v>3972227</v>
      </c>
      <c r="E192" s="243">
        <f t="shared" si="26"/>
        <v>80109</v>
      </c>
      <c r="F192" s="244">
        <f t="shared" si="27"/>
        <v>2.0582366721666714E-2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1342499</v>
      </c>
      <c r="D193" s="243">
        <f>+D184+D186</f>
        <v>1444664</v>
      </c>
      <c r="E193" s="243">
        <f t="shared" si="26"/>
        <v>102165</v>
      </c>
      <c r="F193" s="244">
        <f t="shared" si="27"/>
        <v>7.6100615344964873E-2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459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103643190</v>
      </c>
      <c r="D198" s="243">
        <f t="shared" si="28"/>
        <v>112248748</v>
      </c>
      <c r="E198" s="243">
        <f t="shared" ref="E198:E208" si="29">D198-C198</f>
        <v>8605558</v>
      </c>
      <c r="F198" s="251">
        <f t="shared" ref="F198:F208" si="30">IF(C198=0,0,E198/C198)</f>
        <v>8.303061686928008E-2</v>
      </c>
    </row>
    <row r="199" spans="1:9" ht="20.25" customHeight="1" x14ac:dyDescent="0.3">
      <c r="A199" s="249"/>
      <c r="B199" s="250" t="s">
        <v>461</v>
      </c>
      <c r="C199" s="243">
        <f t="shared" si="28"/>
        <v>32953688</v>
      </c>
      <c r="D199" s="243">
        <f t="shared" si="28"/>
        <v>35279434</v>
      </c>
      <c r="E199" s="243">
        <f t="shared" si="29"/>
        <v>2325746</v>
      </c>
      <c r="F199" s="251">
        <f t="shared" si="30"/>
        <v>7.057619772330187E-2</v>
      </c>
    </row>
    <row r="200" spans="1:9" ht="20.25" customHeight="1" x14ac:dyDescent="0.3">
      <c r="A200" s="249"/>
      <c r="B200" s="250" t="s">
        <v>462</v>
      </c>
      <c r="C200" s="243">
        <f t="shared" si="28"/>
        <v>27236342</v>
      </c>
      <c r="D200" s="243">
        <f t="shared" si="28"/>
        <v>31556790</v>
      </c>
      <c r="E200" s="243">
        <f t="shared" si="29"/>
        <v>4320448</v>
      </c>
      <c r="F200" s="251">
        <f t="shared" si="30"/>
        <v>0.15862805658704093</v>
      </c>
    </row>
    <row r="201" spans="1:9" ht="20.25" customHeight="1" x14ac:dyDescent="0.3">
      <c r="A201" s="249"/>
      <c r="B201" s="250" t="s">
        <v>463</v>
      </c>
      <c r="C201" s="243">
        <f t="shared" si="28"/>
        <v>7604170</v>
      </c>
      <c r="D201" s="243">
        <f t="shared" si="28"/>
        <v>8282133</v>
      </c>
      <c r="E201" s="243">
        <f t="shared" si="29"/>
        <v>677963</v>
      </c>
      <c r="F201" s="251">
        <f t="shared" si="30"/>
        <v>8.9156738999785642E-2</v>
      </c>
    </row>
    <row r="202" spans="1:9" ht="20.25" customHeight="1" x14ac:dyDescent="0.3">
      <c r="A202" s="249"/>
      <c r="B202" s="250" t="s">
        <v>464</v>
      </c>
      <c r="C202" s="252">
        <f t="shared" si="28"/>
        <v>2942</v>
      </c>
      <c r="D202" s="252">
        <f t="shared" si="28"/>
        <v>3009</v>
      </c>
      <c r="E202" s="252">
        <f t="shared" si="29"/>
        <v>67</v>
      </c>
      <c r="F202" s="251">
        <f t="shared" si="30"/>
        <v>2.2773623385452073E-2</v>
      </c>
    </row>
    <row r="203" spans="1:9" ht="20.25" customHeight="1" x14ac:dyDescent="0.3">
      <c r="A203" s="249"/>
      <c r="B203" s="250" t="s">
        <v>465</v>
      </c>
      <c r="C203" s="252">
        <f t="shared" si="28"/>
        <v>16791</v>
      </c>
      <c r="D203" s="252">
        <f t="shared" si="28"/>
        <v>17942</v>
      </c>
      <c r="E203" s="252">
        <f t="shared" si="29"/>
        <v>1151</v>
      </c>
      <c r="F203" s="251">
        <f t="shared" si="30"/>
        <v>6.8548627240783755E-2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12086</v>
      </c>
      <c r="D204" s="252">
        <f t="shared" si="28"/>
        <v>12757</v>
      </c>
      <c r="E204" s="252">
        <f t="shared" si="29"/>
        <v>671</v>
      </c>
      <c r="F204" s="251">
        <f t="shared" si="30"/>
        <v>5.5518782061889788E-2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2021</v>
      </c>
      <c r="D205" s="252">
        <f t="shared" si="28"/>
        <v>2484</v>
      </c>
      <c r="E205" s="252">
        <f t="shared" si="29"/>
        <v>463</v>
      </c>
      <c r="F205" s="251">
        <f t="shared" si="30"/>
        <v>0.22909450766947057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2296</v>
      </c>
      <c r="D206" s="252">
        <f t="shared" si="28"/>
        <v>2443</v>
      </c>
      <c r="E206" s="252">
        <f t="shared" si="29"/>
        <v>147</v>
      </c>
      <c r="F206" s="251">
        <f t="shared" si="30"/>
        <v>6.402439024390244E-2</v>
      </c>
    </row>
    <row r="207" spans="1:9" ht="20.25" customHeight="1" x14ac:dyDescent="0.3">
      <c r="A207" s="249"/>
      <c r="B207" s="242" t="s">
        <v>469</v>
      </c>
      <c r="C207" s="243">
        <f>+C198+C200</f>
        <v>130879532</v>
      </c>
      <c r="D207" s="243">
        <f>+D198+D200</f>
        <v>143805538</v>
      </c>
      <c r="E207" s="243">
        <f t="shared" si="29"/>
        <v>12926006</v>
      </c>
      <c r="F207" s="251">
        <f t="shared" si="30"/>
        <v>9.8762623937255517E-2</v>
      </c>
    </row>
    <row r="208" spans="1:9" ht="20.25" customHeight="1" x14ac:dyDescent="0.3">
      <c r="A208" s="249"/>
      <c r="B208" s="242" t="s">
        <v>470</v>
      </c>
      <c r="C208" s="243">
        <f>+C199+C201</f>
        <v>40557858</v>
      </c>
      <c r="D208" s="243">
        <f>+D199+D201</f>
        <v>43561567</v>
      </c>
      <c r="E208" s="243">
        <f t="shared" si="29"/>
        <v>3003709</v>
      </c>
      <c r="F208" s="251">
        <f t="shared" si="30"/>
        <v>7.4059852963635306E-2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FILING&amp;RSAINT VINCENT`S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471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8854379</v>
      </c>
      <c r="D26" s="237">
        <v>8900309</v>
      </c>
      <c r="E26" s="237">
        <f t="shared" ref="E26:E36" si="2">D26-C26</f>
        <v>45930</v>
      </c>
      <c r="F26" s="238">
        <f t="shared" ref="F26:F36" si="3">IF(C26=0,0,E26/C26)</f>
        <v>5.1872638386046043E-3</v>
      </c>
    </row>
    <row r="27" spans="1:6" ht="20.25" customHeight="1" x14ac:dyDescent="0.3">
      <c r="A27" s="235">
        <v>2</v>
      </c>
      <c r="B27" s="236" t="s">
        <v>435</v>
      </c>
      <c r="C27" s="237">
        <v>2161032</v>
      </c>
      <c r="D27" s="237">
        <v>2002951</v>
      </c>
      <c r="E27" s="237">
        <f t="shared" si="2"/>
        <v>-158081</v>
      </c>
      <c r="F27" s="238">
        <f t="shared" si="3"/>
        <v>-7.3150698370038014E-2</v>
      </c>
    </row>
    <row r="28" spans="1:6" ht="20.25" customHeight="1" x14ac:dyDescent="0.3">
      <c r="A28" s="235">
        <v>3</v>
      </c>
      <c r="B28" s="236" t="s">
        <v>436</v>
      </c>
      <c r="C28" s="237">
        <v>13255933</v>
      </c>
      <c r="D28" s="237">
        <v>16475527</v>
      </c>
      <c r="E28" s="237">
        <f t="shared" si="2"/>
        <v>3219594</v>
      </c>
      <c r="F28" s="238">
        <f t="shared" si="3"/>
        <v>0.24287947140348401</v>
      </c>
    </row>
    <row r="29" spans="1:6" ht="20.25" customHeight="1" x14ac:dyDescent="0.3">
      <c r="A29" s="235">
        <v>4</v>
      </c>
      <c r="B29" s="236" t="s">
        <v>437</v>
      </c>
      <c r="C29" s="237">
        <v>3438323</v>
      </c>
      <c r="D29" s="237">
        <v>4757796</v>
      </c>
      <c r="E29" s="237">
        <f t="shared" si="2"/>
        <v>1319473</v>
      </c>
      <c r="F29" s="238">
        <f t="shared" si="3"/>
        <v>0.38375481302949144</v>
      </c>
    </row>
    <row r="30" spans="1:6" ht="20.25" customHeight="1" x14ac:dyDescent="0.3">
      <c r="A30" s="235">
        <v>5</v>
      </c>
      <c r="B30" s="236" t="s">
        <v>373</v>
      </c>
      <c r="C30" s="239">
        <v>713</v>
      </c>
      <c r="D30" s="239">
        <v>709</v>
      </c>
      <c r="E30" s="239">
        <f t="shared" si="2"/>
        <v>-4</v>
      </c>
      <c r="F30" s="238">
        <f t="shared" si="3"/>
        <v>-5.6100981767180924E-3</v>
      </c>
    </row>
    <row r="31" spans="1:6" ht="20.25" customHeight="1" x14ac:dyDescent="0.3">
      <c r="A31" s="235">
        <v>6</v>
      </c>
      <c r="B31" s="236" t="s">
        <v>372</v>
      </c>
      <c r="C31" s="239">
        <v>1980</v>
      </c>
      <c r="D31" s="239">
        <v>2072</v>
      </c>
      <c r="E31" s="239">
        <f t="shared" si="2"/>
        <v>92</v>
      </c>
      <c r="F31" s="238">
        <f t="shared" si="3"/>
        <v>4.6464646464646465E-2</v>
      </c>
    </row>
    <row r="32" spans="1:6" ht="20.25" customHeight="1" x14ac:dyDescent="0.3">
      <c r="A32" s="235">
        <v>7</v>
      </c>
      <c r="B32" s="236" t="s">
        <v>438</v>
      </c>
      <c r="C32" s="239">
        <v>11794</v>
      </c>
      <c r="D32" s="239">
        <v>11708</v>
      </c>
      <c r="E32" s="239">
        <f t="shared" si="2"/>
        <v>-86</v>
      </c>
      <c r="F32" s="238">
        <f t="shared" si="3"/>
        <v>-7.2918433101577069E-3</v>
      </c>
    </row>
    <row r="33" spans="1:6" ht="20.25" customHeight="1" x14ac:dyDescent="0.3">
      <c r="A33" s="235">
        <v>8</v>
      </c>
      <c r="B33" s="236" t="s">
        <v>439</v>
      </c>
      <c r="C33" s="239">
        <v>7291</v>
      </c>
      <c r="D33" s="239">
        <v>8394</v>
      </c>
      <c r="E33" s="239">
        <f t="shared" si="2"/>
        <v>1103</v>
      </c>
      <c r="F33" s="238">
        <f t="shared" si="3"/>
        <v>0.15128240296255657</v>
      </c>
    </row>
    <row r="34" spans="1:6" ht="20.25" customHeight="1" x14ac:dyDescent="0.3">
      <c r="A34" s="235">
        <v>9</v>
      </c>
      <c r="B34" s="236" t="s">
        <v>440</v>
      </c>
      <c r="C34" s="239">
        <v>196</v>
      </c>
      <c r="D34" s="239">
        <v>186</v>
      </c>
      <c r="E34" s="239">
        <f t="shared" si="2"/>
        <v>-10</v>
      </c>
      <c r="F34" s="238">
        <f t="shared" si="3"/>
        <v>-5.1020408163265307E-2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22110312</v>
      </c>
      <c r="D35" s="243">
        <f>+D26+D28</f>
        <v>25375836</v>
      </c>
      <c r="E35" s="243">
        <f t="shared" si="2"/>
        <v>3265524</v>
      </c>
      <c r="F35" s="244">
        <f t="shared" si="3"/>
        <v>0.14769235278091056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5599355</v>
      </c>
      <c r="D36" s="243">
        <f>+D27+D29</f>
        <v>6760747</v>
      </c>
      <c r="E36" s="243">
        <f t="shared" si="2"/>
        <v>1161392</v>
      </c>
      <c r="F36" s="244">
        <f t="shared" si="3"/>
        <v>0.20741531837149099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15493609</v>
      </c>
      <c r="D50" s="237">
        <v>13231104</v>
      </c>
      <c r="E50" s="237">
        <f t="shared" ref="E50:E60" si="6">D50-C50</f>
        <v>-2262505</v>
      </c>
      <c r="F50" s="238">
        <f t="shared" ref="F50:F60" si="7">IF(C50=0,0,E50/C50)</f>
        <v>-0.14602827527143611</v>
      </c>
    </row>
    <row r="51" spans="1:6" ht="20.25" customHeight="1" x14ac:dyDescent="0.3">
      <c r="A51" s="235">
        <v>2</v>
      </c>
      <c r="B51" s="236" t="s">
        <v>435</v>
      </c>
      <c r="C51" s="237">
        <v>4954991</v>
      </c>
      <c r="D51" s="237">
        <v>3250368</v>
      </c>
      <c r="E51" s="237">
        <f t="shared" si="6"/>
        <v>-1704623</v>
      </c>
      <c r="F51" s="238">
        <f t="shared" si="7"/>
        <v>-0.34402141194605601</v>
      </c>
    </row>
    <row r="52" spans="1:6" ht="20.25" customHeight="1" x14ac:dyDescent="0.3">
      <c r="A52" s="235">
        <v>3</v>
      </c>
      <c r="B52" s="236" t="s">
        <v>436</v>
      </c>
      <c r="C52" s="237">
        <v>2057950</v>
      </c>
      <c r="D52" s="237">
        <v>1722342</v>
      </c>
      <c r="E52" s="237">
        <f t="shared" si="6"/>
        <v>-335608</v>
      </c>
      <c r="F52" s="238">
        <f t="shared" si="7"/>
        <v>-0.16307879200174932</v>
      </c>
    </row>
    <row r="53" spans="1:6" ht="20.25" customHeight="1" x14ac:dyDescent="0.3">
      <c r="A53" s="235">
        <v>4</v>
      </c>
      <c r="B53" s="236" t="s">
        <v>437</v>
      </c>
      <c r="C53" s="237">
        <v>451193</v>
      </c>
      <c r="D53" s="237">
        <v>606265</v>
      </c>
      <c r="E53" s="237">
        <f t="shared" si="6"/>
        <v>155072</v>
      </c>
      <c r="F53" s="238">
        <f t="shared" si="7"/>
        <v>0.34369327538326172</v>
      </c>
    </row>
    <row r="54" spans="1:6" ht="20.25" customHeight="1" x14ac:dyDescent="0.3">
      <c r="A54" s="235">
        <v>5</v>
      </c>
      <c r="B54" s="236" t="s">
        <v>373</v>
      </c>
      <c r="C54" s="239">
        <v>557</v>
      </c>
      <c r="D54" s="239">
        <v>383</v>
      </c>
      <c r="E54" s="239">
        <f t="shared" si="6"/>
        <v>-174</v>
      </c>
      <c r="F54" s="238">
        <f t="shared" si="7"/>
        <v>-0.31238779174147219</v>
      </c>
    </row>
    <row r="55" spans="1:6" ht="20.25" customHeight="1" x14ac:dyDescent="0.3">
      <c r="A55" s="235">
        <v>6</v>
      </c>
      <c r="B55" s="236" t="s">
        <v>372</v>
      </c>
      <c r="C55" s="239">
        <v>5643</v>
      </c>
      <c r="D55" s="239">
        <v>4423</v>
      </c>
      <c r="E55" s="239">
        <f t="shared" si="6"/>
        <v>-1220</v>
      </c>
      <c r="F55" s="238">
        <f t="shared" si="7"/>
        <v>-0.21619705830232147</v>
      </c>
    </row>
    <row r="56" spans="1:6" ht="20.25" customHeight="1" x14ac:dyDescent="0.3">
      <c r="A56" s="235">
        <v>7</v>
      </c>
      <c r="B56" s="236" t="s">
        <v>438</v>
      </c>
      <c r="C56" s="239">
        <v>3256</v>
      </c>
      <c r="D56" s="239">
        <v>3439</v>
      </c>
      <c r="E56" s="239">
        <f t="shared" si="6"/>
        <v>183</v>
      </c>
      <c r="F56" s="238">
        <f t="shared" si="7"/>
        <v>5.6203931203931204E-2</v>
      </c>
    </row>
    <row r="57" spans="1:6" ht="20.25" customHeight="1" x14ac:dyDescent="0.3">
      <c r="A57" s="235">
        <v>8</v>
      </c>
      <c r="B57" s="236" t="s">
        <v>439</v>
      </c>
      <c r="C57" s="239">
        <v>285</v>
      </c>
      <c r="D57" s="239">
        <v>6</v>
      </c>
      <c r="E57" s="239">
        <f t="shared" si="6"/>
        <v>-279</v>
      </c>
      <c r="F57" s="238">
        <f t="shared" si="7"/>
        <v>-0.97894736842105268</v>
      </c>
    </row>
    <row r="58" spans="1:6" ht="20.25" customHeight="1" x14ac:dyDescent="0.3">
      <c r="A58" s="235">
        <v>9</v>
      </c>
      <c r="B58" s="236" t="s">
        <v>440</v>
      </c>
      <c r="C58" s="239">
        <v>311</v>
      </c>
      <c r="D58" s="239">
        <v>192</v>
      </c>
      <c r="E58" s="239">
        <f t="shared" si="6"/>
        <v>-119</v>
      </c>
      <c r="F58" s="238">
        <f t="shared" si="7"/>
        <v>-0.38263665594855306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17551559</v>
      </c>
      <c r="D59" s="243">
        <f>+D50+D52</f>
        <v>14953446</v>
      </c>
      <c r="E59" s="243">
        <f t="shared" si="6"/>
        <v>-2598113</v>
      </c>
      <c r="F59" s="244">
        <f t="shared" si="7"/>
        <v>-0.148027477217266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5406184</v>
      </c>
      <c r="D60" s="243">
        <f>+D51+D53</f>
        <v>3856633</v>
      </c>
      <c r="E60" s="243">
        <f t="shared" si="6"/>
        <v>-1549551</v>
      </c>
      <c r="F60" s="244">
        <f t="shared" si="7"/>
        <v>-0.28662564944145447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2954816</v>
      </c>
      <c r="D86" s="237">
        <v>3407737</v>
      </c>
      <c r="E86" s="237">
        <f t="shared" ref="E86:E96" si="12">D86-C86</f>
        <v>452921</v>
      </c>
      <c r="F86" s="238">
        <f t="shared" ref="F86:F96" si="13">IF(C86=0,0,E86/C86)</f>
        <v>0.15328230251900626</v>
      </c>
    </row>
    <row r="87" spans="1:6" ht="20.25" customHeight="1" x14ac:dyDescent="0.3">
      <c r="A87" s="235">
        <v>2</v>
      </c>
      <c r="B87" s="236" t="s">
        <v>435</v>
      </c>
      <c r="C87" s="237">
        <v>690754</v>
      </c>
      <c r="D87" s="237">
        <v>872350</v>
      </c>
      <c r="E87" s="237">
        <f t="shared" si="12"/>
        <v>181596</v>
      </c>
      <c r="F87" s="238">
        <f t="shared" si="13"/>
        <v>0.26289532887250744</v>
      </c>
    </row>
    <row r="88" spans="1:6" ht="20.25" customHeight="1" x14ac:dyDescent="0.3">
      <c r="A88" s="235">
        <v>3</v>
      </c>
      <c r="B88" s="236" t="s">
        <v>436</v>
      </c>
      <c r="C88" s="237">
        <v>2626600</v>
      </c>
      <c r="D88" s="237">
        <v>4303191</v>
      </c>
      <c r="E88" s="237">
        <f t="shared" si="12"/>
        <v>1676591</v>
      </c>
      <c r="F88" s="238">
        <f t="shared" si="13"/>
        <v>0.63831226680880226</v>
      </c>
    </row>
    <row r="89" spans="1:6" ht="20.25" customHeight="1" x14ac:dyDescent="0.3">
      <c r="A89" s="235">
        <v>4</v>
      </c>
      <c r="B89" s="236" t="s">
        <v>437</v>
      </c>
      <c r="C89" s="237">
        <v>703940</v>
      </c>
      <c r="D89" s="237">
        <v>1248509</v>
      </c>
      <c r="E89" s="237">
        <f t="shared" si="12"/>
        <v>544569</v>
      </c>
      <c r="F89" s="238">
        <f t="shared" si="13"/>
        <v>0.77360144330482716</v>
      </c>
    </row>
    <row r="90" spans="1:6" ht="20.25" customHeight="1" x14ac:dyDescent="0.3">
      <c r="A90" s="235">
        <v>5</v>
      </c>
      <c r="B90" s="236" t="s">
        <v>373</v>
      </c>
      <c r="C90" s="239">
        <v>182</v>
      </c>
      <c r="D90" s="239">
        <v>224</v>
      </c>
      <c r="E90" s="239">
        <f t="shared" si="12"/>
        <v>42</v>
      </c>
      <c r="F90" s="238">
        <f t="shared" si="13"/>
        <v>0.23076923076923078</v>
      </c>
    </row>
    <row r="91" spans="1:6" ht="20.25" customHeight="1" x14ac:dyDescent="0.3">
      <c r="A91" s="235">
        <v>6</v>
      </c>
      <c r="B91" s="236" t="s">
        <v>372</v>
      </c>
      <c r="C91" s="239">
        <v>673</v>
      </c>
      <c r="D91" s="239">
        <v>857</v>
      </c>
      <c r="E91" s="239">
        <f t="shared" si="12"/>
        <v>184</v>
      </c>
      <c r="F91" s="238">
        <f t="shared" si="13"/>
        <v>0.27340267459138184</v>
      </c>
    </row>
    <row r="92" spans="1:6" ht="20.25" customHeight="1" x14ac:dyDescent="0.3">
      <c r="A92" s="235">
        <v>7</v>
      </c>
      <c r="B92" s="236" t="s">
        <v>438</v>
      </c>
      <c r="C92" s="239">
        <v>2051</v>
      </c>
      <c r="D92" s="239">
        <v>2929</v>
      </c>
      <c r="E92" s="239">
        <f t="shared" si="12"/>
        <v>878</v>
      </c>
      <c r="F92" s="238">
        <f t="shared" si="13"/>
        <v>0.42808386153096051</v>
      </c>
    </row>
    <row r="93" spans="1:6" ht="20.25" customHeight="1" x14ac:dyDescent="0.3">
      <c r="A93" s="235">
        <v>8</v>
      </c>
      <c r="B93" s="236" t="s">
        <v>439</v>
      </c>
      <c r="C93" s="239">
        <v>1393</v>
      </c>
      <c r="D93" s="239">
        <v>2116</v>
      </c>
      <c r="E93" s="239">
        <f t="shared" si="12"/>
        <v>723</v>
      </c>
      <c r="F93" s="238">
        <f t="shared" si="13"/>
        <v>0.51902368987796121</v>
      </c>
    </row>
    <row r="94" spans="1:6" ht="20.25" customHeight="1" x14ac:dyDescent="0.3">
      <c r="A94" s="235">
        <v>9</v>
      </c>
      <c r="B94" s="236" t="s">
        <v>440</v>
      </c>
      <c r="C94" s="239">
        <v>45</v>
      </c>
      <c r="D94" s="239">
        <v>48</v>
      </c>
      <c r="E94" s="239">
        <f t="shared" si="12"/>
        <v>3</v>
      </c>
      <c r="F94" s="238">
        <f t="shared" si="13"/>
        <v>6.6666666666666666E-2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5581416</v>
      </c>
      <c r="D95" s="243">
        <f>+D86+D88</f>
        <v>7710928</v>
      </c>
      <c r="E95" s="243">
        <f t="shared" si="12"/>
        <v>2129512</v>
      </c>
      <c r="F95" s="244">
        <f t="shared" si="13"/>
        <v>0.38153615498289323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1394694</v>
      </c>
      <c r="D96" s="243">
        <f>+D87+D89</f>
        <v>2120859</v>
      </c>
      <c r="E96" s="243">
        <f t="shared" si="12"/>
        <v>726165</v>
      </c>
      <c r="F96" s="244">
        <f t="shared" si="13"/>
        <v>0.52066259695675177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3935093</v>
      </c>
      <c r="D98" s="237">
        <v>4520665</v>
      </c>
      <c r="E98" s="237">
        <f t="shared" ref="E98:E108" si="14">D98-C98</f>
        <v>585572</v>
      </c>
      <c r="F98" s="238">
        <f t="shared" ref="F98:F108" si="15">IF(C98=0,0,E98/C98)</f>
        <v>0.14880766477437762</v>
      </c>
    </row>
    <row r="99" spans="1:7" ht="20.25" customHeight="1" x14ac:dyDescent="0.3">
      <c r="A99" s="235">
        <v>2</v>
      </c>
      <c r="B99" s="236" t="s">
        <v>435</v>
      </c>
      <c r="C99" s="237">
        <v>1339890</v>
      </c>
      <c r="D99" s="237">
        <v>1224909</v>
      </c>
      <c r="E99" s="237">
        <f t="shared" si="14"/>
        <v>-114981</v>
      </c>
      <c r="F99" s="238">
        <f t="shared" si="15"/>
        <v>-8.5813760831113001E-2</v>
      </c>
    </row>
    <row r="100" spans="1:7" ht="20.25" customHeight="1" x14ac:dyDescent="0.3">
      <c r="A100" s="235">
        <v>3</v>
      </c>
      <c r="B100" s="236" t="s">
        <v>436</v>
      </c>
      <c r="C100" s="237">
        <v>3982351</v>
      </c>
      <c r="D100" s="237">
        <v>6591697</v>
      </c>
      <c r="E100" s="237">
        <f t="shared" si="14"/>
        <v>2609346</v>
      </c>
      <c r="F100" s="238">
        <f t="shared" si="15"/>
        <v>0.65522752765891301</v>
      </c>
    </row>
    <row r="101" spans="1:7" ht="20.25" customHeight="1" x14ac:dyDescent="0.3">
      <c r="A101" s="235">
        <v>4</v>
      </c>
      <c r="B101" s="236" t="s">
        <v>437</v>
      </c>
      <c r="C101" s="237">
        <v>1063586</v>
      </c>
      <c r="D101" s="237">
        <v>1860236</v>
      </c>
      <c r="E101" s="237">
        <f t="shared" si="14"/>
        <v>796650</v>
      </c>
      <c r="F101" s="238">
        <f t="shared" si="15"/>
        <v>0.74902264602956414</v>
      </c>
    </row>
    <row r="102" spans="1:7" ht="20.25" customHeight="1" x14ac:dyDescent="0.3">
      <c r="A102" s="235">
        <v>5</v>
      </c>
      <c r="B102" s="236" t="s">
        <v>373</v>
      </c>
      <c r="C102" s="239">
        <v>273</v>
      </c>
      <c r="D102" s="239">
        <v>362</v>
      </c>
      <c r="E102" s="239">
        <f t="shared" si="14"/>
        <v>89</v>
      </c>
      <c r="F102" s="238">
        <f t="shared" si="15"/>
        <v>0.32600732600732601</v>
      </c>
    </row>
    <row r="103" spans="1:7" ht="20.25" customHeight="1" x14ac:dyDescent="0.3">
      <c r="A103" s="235">
        <v>6</v>
      </c>
      <c r="B103" s="236" t="s">
        <v>372</v>
      </c>
      <c r="C103" s="239">
        <v>953</v>
      </c>
      <c r="D103" s="239">
        <v>1126</v>
      </c>
      <c r="E103" s="239">
        <f t="shared" si="14"/>
        <v>173</v>
      </c>
      <c r="F103" s="238">
        <f t="shared" si="15"/>
        <v>0.18153200419727178</v>
      </c>
    </row>
    <row r="104" spans="1:7" ht="20.25" customHeight="1" x14ac:dyDescent="0.3">
      <c r="A104" s="235">
        <v>7</v>
      </c>
      <c r="B104" s="236" t="s">
        <v>438</v>
      </c>
      <c r="C104" s="239">
        <v>3515</v>
      </c>
      <c r="D104" s="239">
        <v>5051</v>
      </c>
      <c r="E104" s="239">
        <f t="shared" si="14"/>
        <v>1536</v>
      </c>
      <c r="F104" s="238">
        <f t="shared" si="15"/>
        <v>0.43698435277382647</v>
      </c>
    </row>
    <row r="105" spans="1:7" ht="20.25" customHeight="1" x14ac:dyDescent="0.3">
      <c r="A105" s="235">
        <v>8</v>
      </c>
      <c r="B105" s="236" t="s">
        <v>439</v>
      </c>
      <c r="C105" s="239">
        <v>1907</v>
      </c>
      <c r="D105" s="239">
        <v>2710</v>
      </c>
      <c r="E105" s="239">
        <f t="shared" si="14"/>
        <v>803</v>
      </c>
      <c r="F105" s="238">
        <f t="shared" si="15"/>
        <v>0.42108023072889356</v>
      </c>
    </row>
    <row r="106" spans="1:7" ht="20.25" customHeight="1" x14ac:dyDescent="0.3">
      <c r="A106" s="235">
        <v>9</v>
      </c>
      <c r="B106" s="236" t="s">
        <v>440</v>
      </c>
      <c r="C106" s="239">
        <v>97</v>
      </c>
      <c r="D106" s="239">
        <v>99</v>
      </c>
      <c r="E106" s="239">
        <f t="shared" si="14"/>
        <v>2</v>
      </c>
      <c r="F106" s="238">
        <f t="shared" si="15"/>
        <v>2.0618556701030927E-2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7917444</v>
      </c>
      <c r="D107" s="243">
        <f>+D98+D100</f>
        <v>11112362</v>
      </c>
      <c r="E107" s="243">
        <f t="shared" si="14"/>
        <v>3194918</v>
      </c>
      <c r="F107" s="244">
        <f t="shared" si="15"/>
        <v>0.40352896717678077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2403476</v>
      </c>
      <c r="D108" s="243">
        <f>+D99+D101</f>
        <v>3085145</v>
      </c>
      <c r="E108" s="243">
        <f t="shared" si="14"/>
        <v>681669</v>
      </c>
      <c r="F108" s="244">
        <f t="shared" si="15"/>
        <v>0.28361797663051347</v>
      </c>
    </row>
    <row r="109" spans="1:7" s="240" customFormat="1" ht="20.25" customHeight="1" x14ac:dyDescent="0.3">
      <c r="A109" s="689" t="s">
        <v>44</v>
      </c>
      <c r="B109" s="690" t="s">
        <v>478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31237897</v>
      </c>
      <c r="D112" s="243">
        <f t="shared" si="16"/>
        <v>30059815</v>
      </c>
      <c r="E112" s="243">
        <f t="shared" ref="E112:E122" si="17">D112-C112</f>
        <v>-1178082</v>
      </c>
      <c r="F112" s="244">
        <f t="shared" ref="F112:F122" si="18">IF(C112=0,0,E112/C112)</f>
        <v>-3.7713230183197034E-2</v>
      </c>
    </row>
    <row r="113" spans="1:6" ht="20.25" customHeight="1" x14ac:dyDescent="0.3">
      <c r="A113" s="249"/>
      <c r="B113" s="250" t="s">
        <v>461</v>
      </c>
      <c r="C113" s="243">
        <f t="shared" si="16"/>
        <v>9146667</v>
      </c>
      <c r="D113" s="243">
        <f t="shared" si="16"/>
        <v>7350578</v>
      </c>
      <c r="E113" s="243">
        <f t="shared" si="17"/>
        <v>-1796089</v>
      </c>
      <c r="F113" s="244">
        <f t="shared" si="18"/>
        <v>-0.19636540829572127</v>
      </c>
    </row>
    <row r="114" spans="1:6" ht="20.25" customHeight="1" x14ac:dyDescent="0.3">
      <c r="A114" s="249"/>
      <c r="B114" s="250" t="s">
        <v>462</v>
      </c>
      <c r="C114" s="243">
        <f t="shared" si="16"/>
        <v>21922834</v>
      </c>
      <c r="D114" s="243">
        <f t="shared" si="16"/>
        <v>29092757</v>
      </c>
      <c r="E114" s="243">
        <f t="shared" si="17"/>
        <v>7169923</v>
      </c>
      <c r="F114" s="244">
        <f t="shared" si="18"/>
        <v>0.32705274327215178</v>
      </c>
    </row>
    <row r="115" spans="1:6" ht="20.25" customHeight="1" x14ac:dyDescent="0.3">
      <c r="A115" s="249"/>
      <c r="B115" s="250" t="s">
        <v>463</v>
      </c>
      <c r="C115" s="243">
        <f t="shared" si="16"/>
        <v>5657042</v>
      </c>
      <c r="D115" s="243">
        <f t="shared" si="16"/>
        <v>8472806</v>
      </c>
      <c r="E115" s="243">
        <f t="shared" si="17"/>
        <v>2815764</v>
      </c>
      <c r="F115" s="244">
        <f t="shared" si="18"/>
        <v>0.49774493454352997</v>
      </c>
    </row>
    <row r="116" spans="1:6" ht="20.25" customHeight="1" x14ac:dyDescent="0.3">
      <c r="A116" s="249"/>
      <c r="B116" s="250" t="s">
        <v>464</v>
      </c>
      <c r="C116" s="252">
        <f t="shared" si="16"/>
        <v>1725</v>
      </c>
      <c r="D116" s="252">
        <f t="shared" si="16"/>
        <v>1678</v>
      </c>
      <c r="E116" s="252">
        <f t="shared" si="17"/>
        <v>-47</v>
      </c>
      <c r="F116" s="244">
        <f t="shared" si="18"/>
        <v>-2.7246376811594204E-2</v>
      </c>
    </row>
    <row r="117" spans="1:6" ht="20.25" customHeight="1" x14ac:dyDescent="0.3">
      <c r="A117" s="249"/>
      <c r="B117" s="250" t="s">
        <v>465</v>
      </c>
      <c r="C117" s="252">
        <f t="shared" si="16"/>
        <v>9249</v>
      </c>
      <c r="D117" s="252">
        <f t="shared" si="16"/>
        <v>8478</v>
      </c>
      <c r="E117" s="252">
        <f t="shared" si="17"/>
        <v>-771</v>
      </c>
      <c r="F117" s="244">
        <f t="shared" si="18"/>
        <v>-8.336036328251703E-2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20616</v>
      </c>
      <c r="D118" s="252">
        <f t="shared" si="16"/>
        <v>23127</v>
      </c>
      <c r="E118" s="252">
        <f t="shared" si="17"/>
        <v>2511</v>
      </c>
      <c r="F118" s="244">
        <f t="shared" si="18"/>
        <v>0.12179860302677532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10876</v>
      </c>
      <c r="D119" s="252">
        <f t="shared" si="16"/>
        <v>13226</v>
      </c>
      <c r="E119" s="252">
        <f t="shared" si="17"/>
        <v>2350</v>
      </c>
      <c r="F119" s="244">
        <f t="shared" si="18"/>
        <v>0.2160720853254873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649</v>
      </c>
      <c r="D120" s="252">
        <f t="shared" si="16"/>
        <v>525</v>
      </c>
      <c r="E120" s="252">
        <f t="shared" si="17"/>
        <v>-124</v>
      </c>
      <c r="F120" s="244">
        <f t="shared" si="18"/>
        <v>-0.19106317411402157</v>
      </c>
    </row>
    <row r="121" spans="1:6" ht="39.950000000000003" customHeight="1" x14ac:dyDescent="0.3">
      <c r="A121" s="249"/>
      <c r="B121" s="242" t="s">
        <v>441</v>
      </c>
      <c r="C121" s="243">
        <f>+C112+C114</f>
        <v>53160731</v>
      </c>
      <c r="D121" s="243">
        <f>+D112+D114</f>
        <v>59152572</v>
      </c>
      <c r="E121" s="243">
        <f t="shared" si="17"/>
        <v>5991841</v>
      </c>
      <c r="F121" s="244">
        <f t="shared" si="18"/>
        <v>0.1127117872024747</v>
      </c>
    </row>
    <row r="122" spans="1:6" ht="39.950000000000003" customHeight="1" x14ac:dyDescent="0.3">
      <c r="A122" s="249"/>
      <c r="B122" s="242" t="s">
        <v>470</v>
      </c>
      <c r="C122" s="243">
        <f>+C113+C115</f>
        <v>14803709</v>
      </c>
      <c r="D122" s="243">
        <f>+D113+D115</f>
        <v>15823384</v>
      </c>
      <c r="E122" s="243">
        <f t="shared" si="17"/>
        <v>1019675</v>
      </c>
      <c r="F122" s="244">
        <f t="shared" si="18"/>
        <v>6.8879697648744645E-2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FILING&amp;RSAINT VINCENT`S MEDICAL CENTER</oddHeader>
    <oddFooter>&amp;LREPORT 250&amp;C&amp;P of &amp;N&amp;R&amp;D,&amp;T</oddFooter>
  </headerFooter>
  <rowBreaks count="2" manualBreakCount="2">
    <brk id="48" max="3" man="1"/>
    <brk id="8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7535000</v>
      </c>
      <c r="D13" s="23">
        <v>8155000</v>
      </c>
      <c r="E13" s="23">
        <f t="shared" ref="E13:E22" si="0">D13-C13</f>
        <v>620000</v>
      </c>
      <c r="F13" s="24">
        <f t="shared" ref="F13:F22" si="1">IF(C13=0,0,E13/C13)</f>
        <v>8.2282680822826804E-2</v>
      </c>
    </row>
    <row r="14" spans="1:8" ht="24" customHeight="1" x14ac:dyDescent="0.2">
      <c r="A14" s="21">
        <v>2</v>
      </c>
      <c r="B14" s="22" t="s">
        <v>17</v>
      </c>
      <c r="C14" s="23">
        <v>20955000</v>
      </c>
      <c r="D14" s="23">
        <v>4548000</v>
      </c>
      <c r="E14" s="23">
        <f t="shared" si="0"/>
        <v>-16407000</v>
      </c>
      <c r="F14" s="24">
        <f t="shared" si="1"/>
        <v>-0.7829634931997137</v>
      </c>
    </row>
    <row r="15" spans="1:8" ht="35.1" customHeight="1" x14ac:dyDescent="0.2">
      <c r="A15" s="21">
        <v>3</v>
      </c>
      <c r="B15" s="22" t="s">
        <v>18</v>
      </c>
      <c r="C15" s="23">
        <v>45741000</v>
      </c>
      <c r="D15" s="23">
        <v>47626000</v>
      </c>
      <c r="E15" s="23">
        <f t="shared" si="0"/>
        <v>1885000</v>
      </c>
      <c r="F15" s="24">
        <f t="shared" si="1"/>
        <v>4.1210292735182875E-2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3849000</v>
      </c>
      <c r="D19" s="23">
        <v>2852000</v>
      </c>
      <c r="E19" s="23">
        <f t="shared" si="0"/>
        <v>-997000</v>
      </c>
      <c r="F19" s="24">
        <f t="shared" si="1"/>
        <v>-0.2590283190439075</v>
      </c>
    </row>
    <row r="20" spans="1:11" ht="24" customHeight="1" x14ac:dyDescent="0.2">
      <c r="A20" s="21">
        <v>8</v>
      </c>
      <c r="B20" s="22" t="s">
        <v>23</v>
      </c>
      <c r="C20" s="23">
        <v>3114000</v>
      </c>
      <c r="D20" s="23">
        <v>3091000</v>
      </c>
      <c r="E20" s="23">
        <f t="shared" si="0"/>
        <v>-23000</v>
      </c>
      <c r="F20" s="24">
        <f t="shared" si="1"/>
        <v>-7.3859987154784841E-3</v>
      </c>
    </row>
    <row r="21" spans="1:11" ht="24" customHeight="1" x14ac:dyDescent="0.2">
      <c r="A21" s="21">
        <v>9</v>
      </c>
      <c r="B21" s="22" t="s">
        <v>24</v>
      </c>
      <c r="C21" s="23">
        <v>8070000</v>
      </c>
      <c r="D21" s="23">
        <v>8040000</v>
      </c>
      <c r="E21" s="23">
        <f t="shared" si="0"/>
        <v>-30000</v>
      </c>
      <c r="F21" s="24">
        <f t="shared" si="1"/>
        <v>-3.7174721189591076E-3</v>
      </c>
    </row>
    <row r="22" spans="1:11" ht="24" customHeight="1" x14ac:dyDescent="0.25">
      <c r="A22" s="25"/>
      <c r="B22" s="26" t="s">
        <v>25</v>
      </c>
      <c r="C22" s="27">
        <f>SUM(C13:C21)</f>
        <v>89264000</v>
      </c>
      <c r="D22" s="27">
        <f>SUM(D13:D21)</f>
        <v>74312000</v>
      </c>
      <c r="E22" s="27">
        <f t="shared" si="0"/>
        <v>-14952000</v>
      </c>
      <c r="F22" s="28">
        <f t="shared" si="1"/>
        <v>-0.16750313676286072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234848000</v>
      </c>
      <c r="D28" s="23">
        <v>224359000</v>
      </c>
      <c r="E28" s="23">
        <f>D28-C28</f>
        <v>-10489000</v>
      </c>
      <c r="F28" s="24">
        <f>IF(C28=0,0,E28/C28)</f>
        <v>-4.4662930917018666E-2</v>
      </c>
    </row>
    <row r="29" spans="1:11" ht="35.1" customHeight="1" x14ac:dyDescent="0.25">
      <c r="A29" s="25"/>
      <c r="B29" s="26" t="s">
        <v>32</v>
      </c>
      <c r="C29" s="27">
        <f>SUM(C25:C28)</f>
        <v>234848000</v>
      </c>
      <c r="D29" s="27">
        <f>SUM(D25:D28)</f>
        <v>224359000</v>
      </c>
      <c r="E29" s="27">
        <f>D29-C29</f>
        <v>-10489000</v>
      </c>
      <c r="F29" s="28">
        <f>IF(C29=0,0,E29/C29)</f>
        <v>-4.4662930917018666E-2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76973000</v>
      </c>
      <c r="D32" s="23">
        <v>108053000</v>
      </c>
      <c r="E32" s="23">
        <f>D32-C32</f>
        <v>31080000</v>
      </c>
      <c r="F32" s="24">
        <f>IF(C32=0,0,E32/C32)</f>
        <v>0.4037779481116755</v>
      </c>
    </row>
    <row r="33" spans="1:8" ht="24" customHeight="1" x14ac:dyDescent="0.2">
      <c r="A33" s="21">
        <v>7</v>
      </c>
      <c r="B33" s="22" t="s">
        <v>35</v>
      </c>
      <c r="C33" s="23">
        <v>5296000</v>
      </c>
      <c r="D33" s="23">
        <v>13706000</v>
      </c>
      <c r="E33" s="23">
        <f>D33-C33</f>
        <v>8410000</v>
      </c>
      <c r="F33" s="24">
        <f>IF(C33=0,0,E33/C33)</f>
        <v>1.5879909365558913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429297000</v>
      </c>
      <c r="D36" s="23">
        <v>440312000</v>
      </c>
      <c r="E36" s="23">
        <f>D36-C36</f>
        <v>11015000</v>
      </c>
      <c r="F36" s="24">
        <f>IF(C36=0,0,E36/C36)</f>
        <v>2.5658227287868304E-2</v>
      </c>
    </row>
    <row r="37" spans="1:8" ht="24" customHeight="1" x14ac:dyDescent="0.2">
      <c r="A37" s="21">
        <v>2</v>
      </c>
      <c r="B37" s="22" t="s">
        <v>39</v>
      </c>
      <c r="C37" s="23">
        <v>198130000</v>
      </c>
      <c r="D37" s="23">
        <v>212078000</v>
      </c>
      <c r="E37" s="23">
        <f>D37-C37</f>
        <v>13948000</v>
      </c>
      <c r="F37" s="23">
        <f>IF(C37=0,0,E37/C37)</f>
        <v>7.0398223388684192E-2</v>
      </c>
    </row>
    <row r="38" spans="1:8" ht="24" customHeight="1" x14ac:dyDescent="0.25">
      <c r="A38" s="25"/>
      <c r="B38" s="26" t="s">
        <v>40</v>
      </c>
      <c r="C38" s="27">
        <f>C36-C37</f>
        <v>231167000</v>
      </c>
      <c r="D38" s="27">
        <f>D36-D37</f>
        <v>228234000</v>
      </c>
      <c r="E38" s="27">
        <f>D38-C38</f>
        <v>-2933000</v>
      </c>
      <c r="F38" s="28">
        <f>IF(C38=0,0,E38/C38)</f>
        <v>-1.2687797133673923E-2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7882000</v>
      </c>
      <c r="D40" s="23">
        <v>8014000</v>
      </c>
      <c r="E40" s="23">
        <f>D40-C40</f>
        <v>132000</v>
      </c>
      <c r="F40" s="24">
        <f>IF(C40=0,0,E40/C40)</f>
        <v>1.6747018523217458E-2</v>
      </c>
    </row>
    <row r="41" spans="1:8" ht="24" customHeight="1" x14ac:dyDescent="0.25">
      <c r="A41" s="25"/>
      <c r="B41" s="26" t="s">
        <v>42</v>
      </c>
      <c r="C41" s="27">
        <f>+C38+C40</f>
        <v>239049000</v>
      </c>
      <c r="D41" s="27">
        <f>+D38+D40</f>
        <v>236248000</v>
      </c>
      <c r="E41" s="27">
        <f>D41-C41</f>
        <v>-2801000</v>
      </c>
      <c r="F41" s="28">
        <f>IF(C41=0,0,E41/C41)</f>
        <v>-1.1717262987922979E-2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645430000</v>
      </c>
      <c r="D43" s="27">
        <f>D22+D29+D31+D32+D33+D41</f>
        <v>656678000</v>
      </c>
      <c r="E43" s="27">
        <f>D43-C43</f>
        <v>11248000</v>
      </c>
      <c r="F43" s="28">
        <f>IF(C43=0,0,E43/C43)</f>
        <v>1.7427141595525462E-2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20380000</v>
      </c>
      <c r="D49" s="23">
        <v>31652000</v>
      </c>
      <c r="E49" s="23">
        <f t="shared" ref="E49:E56" si="2">D49-C49</f>
        <v>11272000</v>
      </c>
      <c r="F49" s="24">
        <f t="shared" ref="F49:F56" si="3">IF(C49=0,0,E49/C49)</f>
        <v>0.55309126594700686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22512000</v>
      </c>
      <c r="D50" s="23">
        <v>20854000</v>
      </c>
      <c r="E50" s="23">
        <f t="shared" si="2"/>
        <v>-1658000</v>
      </c>
      <c r="F50" s="24">
        <f t="shared" si="3"/>
        <v>-7.3649609097370297E-2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12291000</v>
      </c>
      <c r="D51" s="23">
        <v>10883000</v>
      </c>
      <c r="E51" s="23">
        <f t="shared" si="2"/>
        <v>-1408000</v>
      </c>
      <c r="F51" s="24">
        <f t="shared" si="3"/>
        <v>-0.11455536571475063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1502000</v>
      </c>
      <c r="D53" s="23">
        <v>1427000</v>
      </c>
      <c r="E53" s="23">
        <f t="shared" si="2"/>
        <v>-75000</v>
      </c>
      <c r="F53" s="24">
        <f t="shared" si="3"/>
        <v>-4.9933422103861515E-2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2473000</v>
      </c>
      <c r="D55" s="23">
        <v>459000</v>
      </c>
      <c r="E55" s="23">
        <f t="shared" si="2"/>
        <v>-2014000</v>
      </c>
      <c r="F55" s="24">
        <f t="shared" si="3"/>
        <v>-0.81439547108774768</v>
      </c>
    </row>
    <row r="56" spans="1:6" ht="24" customHeight="1" x14ac:dyDescent="0.25">
      <c r="A56" s="25"/>
      <c r="B56" s="26" t="s">
        <v>54</v>
      </c>
      <c r="C56" s="27">
        <f>SUM(C49:C55)</f>
        <v>59158000</v>
      </c>
      <c r="D56" s="27">
        <f>SUM(D49:D55)</f>
        <v>65275000</v>
      </c>
      <c r="E56" s="27">
        <f t="shared" si="2"/>
        <v>6117000</v>
      </c>
      <c r="F56" s="28">
        <f t="shared" si="3"/>
        <v>0.10340106156394739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78227000</v>
      </c>
      <c r="D59" s="23">
        <v>57659000</v>
      </c>
      <c r="E59" s="23">
        <f>D59-C59</f>
        <v>-20568000</v>
      </c>
      <c r="F59" s="24">
        <f>IF(C59=0,0,E59/C59)</f>
        <v>-0.26292712234906107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78227000</v>
      </c>
      <c r="D61" s="27">
        <f>SUM(D59:D60)</f>
        <v>57659000</v>
      </c>
      <c r="E61" s="27">
        <f>D61-C61</f>
        <v>-20568000</v>
      </c>
      <c r="F61" s="28">
        <f>IF(C61=0,0,E61/C61)</f>
        <v>-0.26292712234906107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42153000</v>
      </c>
      <c r="D63" s="23">
        <v>13962000</v>
      </c>
      <c r="E63" s="23">
        <f>D63-C63</f>
        <v>-28191000</v>
      </c>
      <c r="F63" s="24">
        <f>IF(C63=0,0,E63/C63)</f>
        <v>-0.66877802291651844</v>
      </c>
    </row>
    <row r="64" spans="1:6" ht="24" customHeight="1" x14ac:dyDescent="0.2">
      <c r="A64" s="21">
        <v>4</v>
      </c>
      <c r="B64" s="22" t="s">
        <v>60</v>
      </c>
      <c r="C64" s="23">
        <v>11270000</v>
      </c>
      <c r="D64" s="23">
        <v>13421000</v>
      </c>
      <c r="E64" s="23">
        <f>D64-C64</f>
        <v>2151000</v>
      </c>
      <c r="F64" s="24">
        <f>IF(C64=0,0,E64/C64)</f>
        <v>0.19086069210292814</v>
      </c>
    </row>
    <row r="65" spans="1:6" ht="24" customHeight="1" x14ac:dyDescent="0.25">
      <c r="A65" s="25"/>
      <c r="B65" s="26" t="s">
        <v>61</v>
      </c>
      <c r="C65" s="27">
        <f>SUM(C61:C64)</f>
        <v>131650000</v>
      </c>
      <c r="D65" s="27">
        <f>SUM(D61:D64)</f>
        <v>85042000</v>
      </c>
      <c r="E65" s="27">
        <f>D65-C65</f>
        <v>-46608000</v>
      </c>
      <c r="F65" s="28">
        <f>IF(C65=0,0,E65/C65)</f>
        <v>-0.35402962400303833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425240000</v>
      </c>
      <c r="D70" s="23">
        <v>482267000</v>
      </c>
      <c r="E70" s="23">
        <f>D70-C70</f>
        <v>57027000</v>
      </c>
      <c r="F70" s="24">
        <f>IF(C70=0,0,E70/C70)</f>
        <v>0.13410544633618662</v>
      </c>
    </row>
    <row r="71" spans="1:6" ht="24" customHeight="1" x14ac:dyDescent="0.2">
      <c r="A71" s="21">
        <v>2</v>
      </c>
      <c r="B71" s="22" t="s">
        <v>65</v>
      </c>
      <c r="C71" s="23">
        <v>18588000</v>
      </c>
      <c r="D71" s="23">
        <v>13250000</v>
      </c>
      <c r="E71" s="23">
        <f>D71-C71</f>
        <v>-5338000</v>
      </c>
      <c r="F71" s="24">
        <f>IF(C71=0,0,E71/C71)</f>
        <v>-0.28717452119647086</v>
      </c>
    </row>
    <row r="72" spans="1:6" ht="24" customHeight="1" x14ac:dyDescent="0.2">
      <c r="A72" s="21">
        <v>3</v>
      </c>
      <c r="B72" s="22" t="s">
        <v>66</v>
      </c>
      <c r="C72" s="23">
        <v>10794000</v>
      </c>
      <c r="D72" s="23">
        <v>10844000</v>
      </c>
      <c r="E72" s="23">
        <f>D72-C72</f>
        <v>50000</v>
      </c>
      <c r="F72" s="24">
        <f>IF(C72=0,0,E72/C72)</f>
        <v>4.6322030757828423E-3</v>
      </c>
    </row>
    <row r="73" spans="1:6" ht="24" customHeight="1" x14ac:dyDescent="0.25">
      <c r="A73" s="21"/>
      <c r="B73" s="26" t="s">
        <v>67</v>
      </c>
      <c r="C73" s="27">
        <f>SUM(C70:C72)</f>
        <v>454622000</v>
      </c>
      <c r="D73" s="27">
        <f>SUM(D70:D72)</f>
        <v>506361000</v>
      </c>
      <c r="E73" s="27">
        <f>D73-C73</f>
        <v>51739000</v>
      </c>
      <c r="F73" s="28">
        <f>IF(C73=0,0,E73/C73)</f>
        <v>0.11380663496267229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645430000</v>
      </c>
      <c r="D75" s="27">
        <f>D56+D65+D67+D73</f>
        <v>656678000</v>
      </c>
      <c r="E75" s="27">
        <f>D75-C75</f>
        <v>11248000</v>
      </c>
      <c r="F75" s="28">
        <f>IF(C75=0,0,E75/C75)</f>
        <v>1.7427141595525462E-2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FILING&amp;RST VINCENTS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940977000</v>
      </c>
      <c r="D12" s="51">
        <v>1025861000</v>
      </c>
      <c r="E12" s="51">
        <f t="shared" ref="E12:E19" si="0">D12-C12</f>
        <v>84884000</v>
      </c>
      <c r="F12" s="70">
        <f t="shared" ref="F12:F19" si="1">IF(C12=0,0,E12/C12)</f>
        <v>9.0208368536106615E-2</v>
      </c>
    </row>
    <row r="13" spans="1:8" ht="23.1" customHeight="1" x14ac:dyDescent="0.2">
      <c r="A13" s="25">
        <v>2</v>
      </c>
      <c r="B13" s="48" t="s">
        <v>72</v>
      </c>
      <c r="C13" s="51">
        <v>563014000</v>
      </c>
      <c r="D13" s="51">
        <v>616487000</v>
      </c>
      <c r="E13" s="51">
        <f t="shared" si="0"/>
        <v>53473000</v>
      </c>
      <c r="F13" s="70">
        <f t="shared" si="1"/>
        <v>9.4976323856955605E-2</v>
      </c>
    </row>
    <row r="14" spans="1:8" ht="23.1" customHeight="1" x14ac:dyDescent="0.2">
      <c r="A14" s="25">
        <v>3</v>
      </c>
      <c r="B14" s="48" t="s">
        <v>73</v>
      </c>
      <c r="C14" s="51">
        <v>7667000</v>
      </c>
      <c r="D14" s="51">
        <v>9026000</v>
      </c>
      <c r="E14" s="51">
        <f t="shared" si="0"/>
        <v>1359000</v>
      </c>
      <c r="F14" s="70">
        <f t="shared" si="1"/>
        <v>0.1772531629059606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370296000</v>
      </c>
      <c r="D16" s="27">
        <f>D12-D13-D14-D15</f>
        <v>400348000</v>
      </c>
      <c r="E16" s="27">
        <f t="shared" si="0"/>
        <v>30052000</v>
      </c>
      <c r="F16" s="28">
        <f t="shared" si="1"/>
        <v>8.1156696264609932E-2</v>
      </c>
    </row>
    <row r="17" spans="1:7" ht="23.1" customHeight="1" x14ac:dyDescent="0.2">
      <c r="A17" s="25">
        <v>5</v>
      </c>
      <c r="B17" s="48" t="s">
        <v>76</v>
      </c>
      <c r="C17" s="51">
        <v>39206000</v>
      </c>
      <c r="D17" s="51">
        <v>37202000</v>
      </c>
      <c r="E17" s="51">
        <f t="shared" si="0"/>
        <v>-2004000</v>
      </c>
      <c r="F17" s="70">
        <f t="shared" si="1"/>
        <v>-5.1114625312452179E-2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1302000</v>
      </c>
      <c r="D18" s="51">
        <v>1356000</v>
      </c>
      <c r="E18" s="51">
        <f t="shared" si="0"/>
        <v>54000</v>
      </c>
      <c r="F18" s="70">
        <f t="shared" si="1"/>
        <v>4.1474654377880185E-2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410804000</v>
      </c>
      <c r="D19" s="27">
        <f>SUM(D16:D18)</f>
        <v>438906000</v>
      </c>
      <c r="E19" s="27">
        <f t="shared" si="0"/>
        <v>28102000</v>
      </c>
      <c r="F19" s="28">
        <f t="shared" si="1"/>
        <v>6.8407318331856551E-2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174495000</v>
      </c>
      <c r="D22" s="51">
        <v>182920000</v>
      </c>
      <c r="E22" s="51">
        <f t="shared" ref="E22:E31" si="2">D22-C22</f>
        <v>8425000</v>
      </c>
      <c r="F22" s="70">
        <f t="shared" ref="F22:F31" si="3">IF(C22=0,0,E22/C22)</f>
        <v>4.8282185735980976E-2</v>
      </c>
    </row>
    <row r="23" spans="1:7" ht="23.1" customHeight="1" x14ac:dyDescent="0.2">
      <c r="A23" s="25">
        <v>2</v>
      </c>
      <c r="B23" s="48" t="s">
        <v>81</v>
      </c>
      <c r="C23" s="51">
        <v>46145000</v>
      </c>
      <c r="D23" s="51">
        <v>48538000</v>
      </c>
      <c r="E23" s="51">
        <f t="shared" si="2"/>
        <v>2393000</v>
      </c>
      <c r="F23" s="70">
        <f t="shared" si="3"/>
        <v>5.1858272835626829E-2</v>
      </c>
    </row>
    <row r="24" spans="1:7" ht="23.1" customHeight="1" x14ac:dyDescent="0.2">
      <c r="A24" s="25">
        <v>3</v>
      </c>
      <c r="B24" s="48" t="s">
        <v>82</v>
      </c>
      <c r="C24" s="51">
        <v>2421000</v>
      </c>
      <c r="D24" s="51">
        <v>3205000</v>
      </c>
      <c r="E24" s="51">
        <f t="shared" si="2"/>
        <v>784000</v>
      </c>
      <c r="F24" s="70">
        <f t="shared" si="3"/>
        <v>0.32383312680710452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53678000</v>
      </c>
      <c r="D25" s="51">
        <v>51358000</v>
      </c>
      <c r="E25" s="51">
        <f t="shared" si="2"/>
        <v>-2320000</v>
      </c>
      <c r="F25" s="70">
        <f t="shared" si="3"/>
        <v>-4.3220686314691309E-2</v>
      </c>
    </row>
    <row r="26" spans="1:7" ht="23.1" customHeight="1" x14ac:dyDescent="0.2">
      <c r="A26" s="25">
        <v>5</v>
      </c>
      <c r="B26" s="48" t="s">
        <v>84</v>
      </c>
      <c r="C26" s="51">
        <v>23481000</v>
      </c>
      <c r="D26" s="51">
        <v>24213000</v>
      </c>
      <c r="E26" s="51">
        <f t="shared" si="2"/>
        <v>732000</v>
      </c>
      <c r="F26" s="70">
        <f t="shared" si="3"/>
        <v>3.1174140794685064E-2</v>
      </c>
    </row>
    <row r="27" spans="1:7" ht="23.1" customHeight="1" x14ac:dyDescent="0.2">
      <c r="A27" s="25">
        <v>6</v>
      </c>
      <c r="B27" s="48" t="s">
        <v>85</v>
      </c>
      <c r="C27" s="51">
        <v>21985000</v>
      </c>
      <c r="D27" s="51">
        <v>33993000</v>
      </c>
      <c r="E27" s="51">
        <f t="shared" si="2"/>
        <v>12008000</v>
      </c>
      <c r="F27" s="70">
        <f t="shared" si="3"/>
        <v>0.54619058448942459</v>
      </c>
    </row>
    <row r="28" spans="1:7" ht="23.1" customHeight="1" x14ac:dyDescent="0.2">
      <c r="A28" s="25">
        <v>7</v>
      </c>
      <c r="B28" s="48" t="s">
        <v>86</v>
      </c>
      <c r="C28" s="51">
        <v>2433000</v>
      </c>
      <c r="D28" s="51">
        <v>2776000</v>
      </c>
      <c r="E28" s="51">
        <f t="shared" si="2"/>
        <v>343000</v>
      </c>
      <c r="F28" s="70">
        <f t="shared" si="3"/>
        <v>0.14097821619399917</v>
      </c>
    </row>
    <row r="29" spans="1:7" ht="23.1" customHeight="1" x14ac:dyDescent="0.2">
      <c r="A29" s="25">
        <v>8</v>
      </c>
      <c r="B29" s="48" t="s">
        <v>87</v>
      </c>
      <c r="C29" s="51">
        <v>7511000</v>
      </c>
      <c r="D29" s="51">
        <v>5102000</v>
      </c>
      <c r="E29" s="51">
        <f t="shared" si="2"/>
        <v>-2409000</v>
      </c>
      <c r="F29" s="70">
        <f t="shared" si="3"/>
        <v>-0.32072959659166556</v>
      </c>
    </row>
    <row r="30" spans="1:7" ht="23.1" customHeight="1" x14ac:dyDescent="0.2">
      <c r="A30" s="25">
        <v>9</v>
      </c>
      <c r="B30" s="48" t="s">
        <v>88</v>
      </c>
      <c r="C30" s="51">
        <v>68066000</v>
      </c>
      <c r="D30" s="51">
        <v>74490000</v>
      </c>
      <c r="E30" s="51">
        <f t="shared" si="2"/>
        <v>6424000</v>
      </c>
      <c r="F30" s="70">
        <f t="shared" si="3"/>
        <v>9.4378985102694449E-2</v>
      </c>
    </row>
    <row r="31" spans="1:7" ht="23.1" customHeight="1" x14ac:dyDescent="0.25">
      <c r="A31" s="29"/>
      <c r="B31" s="71" t="s">
        <v>89</v>
      </c>
      <c r="C31" s="27">
        <f>SUM(C22:C30)</f>
        <v>400215000</v>
      </c>
      <c r="D31" s="27">
        <f>SUM(D22:D30)</f>
        <v>426595000</v>
      </c>
      <c r="E31" s="27">
        <f t="shared" si="2"/>
        <v>26380000</v>
      </c>
      <c r="F31" s="28">
        <f t="shared" si="3"/>
        <v>6.5914570918131507E-2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10589000</v>
      </c>
      <c r="D33" s="27">
        <f>+D19-D31</f>
        <v>12311000</v>
      </c>
      <c r="E33" s="27">
        <f>D33-C33</f>
        <v>1722000</v>
      </c>
      <c r="F33" s="28">
        <f>IF(C33=0,0,E33/C33)</f>
        <v>0.16262158844083482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32144000</v>
      </c>
      <c r="D36" s="51">
        <v>11660000</v>
      </c>
      <c r="E36" s="51">
        <f>D36-C36</f>
        <v>-20484000</v>
      </c>
      <c r="F36" s="70">
        <f>IF(C36=0,0,E36/C36)</f>
        <v>-0.63725734196117467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-1004000</v>
      </c>
      <c r="D38" s="51">
        <v>-1229000</v>
      </c>
      <c r="E38" s="51">
        <f>D38-C38</f>
        <v>-225000</v>
      </c>
      <c r="F38" s="70">
        <f>IF(C38=0,0,E38/C38)</f>
        <v>0.22410358565737051</v>
      </c>
    </row>
    <row r="39" spans="1:6" ht="23.1" customHeight="1" x14ac:dyDescent="0.25">
      <c r="A39" s="20"/>
      <c r="B39" s="71" t="s">
        <v>95</v>
      </c>
      <c r="C39" s="27">
        <f>SUM(C36:C38)</f>
        <v>31140000</v>
      </c>
      <c r="D39" s="27">
        <f>SUM(D36:D38)</f>
        <v>10431000</v>
      </c>
      <c r="E39" s="27">
        <f>D39-C39</f>
        <v>-20709000</v>
      </c>
      <c r="F39" s="28">
        <f>IF(C39=0,0,E39/C39)</f>
        <v>-0.66502890173410401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41729000</v>
      </c>
      <c r="D41" s="27">
        <f>D33+D39</f>
        <v>22742000</v>
      </c>
      <c r="E41" s="27">
        <f>D41-C41</f>
        <v>-18987000</v>
      </c>
      <c r="F41" s="28">
        <f>IF(C41=0,0,E41/C41)</f>
        <v>-0.4550073090656378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41729000</v>
      </c>
      <c r="D48" s="27">
        <f>D41+D46</f>
        <v>22742000</v>
      </c>
      <c r="E48" s="27">
        <f>D48-C48</f>
        <v>-18987000</v>
      </c>
      <c r="F48" s="28">
        <f>IF(C48=0,0,E48/C48)</f>
        <v>-0.4550073090656378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FILING&amp;R&amp;8ST VINCENTS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2012-06-28T14:19:56Z</cp:lastPrinted>
  <dcterms:created xsi:type="dcterms:W3CDTF">2006-08-03T13:49:12Z</dcterms:created>
  <dcterms:modified xsi:type="dcterms:W3CDTF">2012-06-28T14:20:31Z</dcterms:modified>
</cp:coreProperties>
</file>