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80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11" i="14"/>
  <c r="D101" i="14"/>
  <c r="D102" i="14"/>
  <c r="D103" i="14" s="1"/>
  <c r="D100" i="14"/>
  <c r="D95" i="14"/>
  <c r="D94" i="14"/>
  <c r="D88" i="14"/>
  <c r="D89" i="14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8" i="14"/>
  <c r="D90" i="14" s="1"/>
  <c r="D44" i="14"/>
  <c r="D36" i="14"/>
  <c r="D35" i="14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/>
  <c r="D86" i="19"/>
  <c r="D88" i="19"/>
  <c r="C86" i="19"/>
  <c r="C88" i="19"/>
  <c r="E83" i="19"/>
  <c r="D83" i="19"/>
  <c r="C83" i="19"/>
  <c r="C102" i="19" s="1"/>
  <c r="E76" i="19"/>
  <c r="E102" i="19" s="1"/>
  <c r="D76" i="19"/>
  <c r="C76" i="19"/>
  <c r="E75" i="19"/>
  <c r="E77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 s="1"/>
  <c r="E54" i="19" s="1"/>
  <c r="E33" i="19"/>
  <c r="D12" i="19"/>
  <c r="D33" i="19"/>
  <c r="C12" i="19"/>
  <c r="C23" i="19" s="1"/>
  <c r="C46" i="19" s="1"/>
  <c r="C34" i="19"/>
  <c r="C22" i="19"/>
  <c r="D21" i="18"/>
  <c r="C21" i="18"/>
  <c r="E21" i="18"/>
  <c r="F21" i="18" s="1"/>
  <c r="D19" i="18"/>
  <c r="C19" i="18"/>
  <c r="E19" i="18"/>
  <c r="F19" i="18" s="1"/>
  <c r="E17" i="18"/>
  <c r="F17" i="18" s="1"/>
  <c r="E15" i="18"/>
  <c r="F15" i="18" s="1"/>
  <c r="D45" i="17"/>
  <c r="C45" i="17"/>
  <c r="E45" i="17"/>
  <c r="D44" i="17"/>
  <c r="C44" i="17"/>
  <c r="E44" i="17" s="1"/>
  <c r="D43" i="17"/>
  <c r="D46" i="17"/>
  <c r="C43" i="17"/>
  <c r="C46" i="17"/>
  <c r="D36" i="17"/>
  <c r="D40" i="17" s="1"/>
  <c r="E40" i="17" s="1"/>
  <c r="C36" i="17"/>
  <c r="C40" i="17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F27" i="17"/>
  <c r="E27" i="17"/>
  <c r="D25" i="17"/>
  <c r="D39" i="17" s="1"/>
  <c r="C25" i="17"/>
  <c r="C39" i="17" s="1"/>
  <c r="E24" i="17"/>
  <c r="F24" i="17" s="1"/>
  <c r="E23" i="17"/>
  <c r="F23" i="17" s="1"/>
  <c r="E22" i="17"/>
  <c r="F22" i="17" s="1"/>
  <c r="D19" i="17"/>
  <c r="D20" i="17"/>
  <c r="C19" i="17"/>
  <c r="C20" i="17" s="1"/>
  <c r="E18" i="17"/>
  <c r="F18" i="17" s="1"/>
  <c r="D16" i="17"/>
  <c r="C16" i="17"/>
  <c r="E16" i="17"/>
  <c r="E15" i="17"/>
  <c r="F15" i="17"/>
  <c r="E13" i="17"/>
  <c r="F13" i="17"/>
  <c r="E12" i="17"/>
  <c r="F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E328" i="15"/>
  <c r="E325" i="15"/>
  <c r="D324" i="15"/>
  <c r="D326" i="15"/>
  <c r="C324" i="15"/>
  <c r="E324" i="15" s="1"/>
  <c r="E318" i="15"/>
  <c r="E315" i="15"/>
  <c r="D314" i="15"/>
  <c r="D316" i="15" s="1"/>
  <c r="D320" i="15" s="1"/>
  <c r="C314" i="15"/>
  <c r="E314" i="15" s="1"/>
  <c r="E308" i="15"/>
  <c r="E305" i="15"/>
  <c r="D301" i="15"/>
  <c r="C301" i="15"/>
  <c r="E301" i="15"/>
  <c r="D293" i="15"/>
  <c r="C293" i="15"/>
  <c r="E293" i="15" s="1"/>
  <c r="D292" i="15"/>
  <c r="C292" i="15"/>
  <c r="E292" i="15"/>
  <c r="D291" i="15"/>
  <c r="C291" i="15"/>
  <c r="E291" i="15" s="1"/>
  <c r="D290" i="15"/>
  <c r="E290" i="15" s="1"/>
  <c r="C290" i="15"/>
  <c r="D288" i="15"/>
  <c r="C288" i="15"/>
  <c r="E288" i="15" s="1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 s="1"/>
  <c r="C279" i="15"/>
  <c r="D278" i="15"/>
  <c r="E278" i="15"/>
  <c r="C278" i="15"/>
  <c r="D277" i="15"/>
  <c r="E277" i="15" s="1"/>
  <c r="C277" i="15"/>
  <c r="D276" i="15"/>
  <c r="E276" i="15"/>
  <c r="C276" i="15"/>
  <c r="E270" i="15"/>
  <c r="D265" i="15"/>
  <c r="D302" i="15"/>
  <c r="C265" i="15"/>
  <c r="C302" i="15"/>
  <c r="D262" i="15"/>
  <c r="E262" i="15"/>
  <c r="C262" i="15"/>
  <c r="D251" i="15"/>
  <c r="C251" i="15"/>
  <c r="D233" i="15"/>
  <c r="C233" i="15"/>
  <c r="E233" i="15"/>
  <c r="D232" i="15"/>
  <c r="C232" i="15"/>
  <c r="E232" i="15" s="1"/>
  <c r="D231" i="15"/>
  <c r="C231" i="15"/>
  <c r="D230" i="15"/>
  <c r="C230" i="15"/>
  <c r="E230" i="15"/>
  <c r="D228" i="15"/>
  <c r="C228" i="15"/>
  <c r="D227" i="15"/>
  <c r="E227" i="15"/>
  <c r="C227" i="15"/>
  <c r="D221" i="15"/>
  <c r="D245" i="15" s="1"/>
  <c r="C221" i="15"/>
  <c r="D220" i="15"/>
  <c r="D244" i="15" s="1"/>
  <c r="C220" i="15"/>
  <c r="C244" i="15"/>
  <c r="D219" i="15"/>
  <c r="E219" i="15"/>
  <c r="C219" i="15"/>
  <c r="C243" i="15"/>
  <c r="D218" i="15"/>
  <c r="D242" i="15"/>
  <c r="C218" i="15"/>
  <c r="C242" i="15" s="1"/>
  <c r="C217" i="15"/>
  <c r="C241" i="15" s="1"/>
  <c r="D216" i="15"/>
  <c r="C216" i="15"/>
  <c r="E216" i="15"/>
  <c r="C240" i="15"/>
  <c r="D215" i="15"/>
  <c r="D239" i="15" s="1"/>
  <c r="C215" i="15"/>
  <c r="E209" i="15"/>
  <c r="E208" i="15"/>
  <c r="E207" i="15"/>
  <c r="E206" i="15"/>
  <c r="D205" i="15"/>
  <c r="D229" i="15"/>
  <c r="E229" i="15" s="1"/>
  <c r="C205" i="15"/>
  <c r="C210" i="15" s="1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 s="1"/>
  <c r="D178" i="15"/>
  <c r="E178" i="15" s="1"/>
  <c r="C178" i="15"/>
  <c r="D177" i="15"/>
  <c r="C177" i="15"/>
  <c r="E177" i="15" s="1"/>
  <c r="D176" i="15"/>
  <c r="E176" i="15" s="1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 s="1"/>
  <c r="D161" i="15"/>
  <c r="E161" i="15" s="1"/>
  <c r="C161" i="15"/>
  <c r="E155" i="15"/>
  <c r="E154" i="15"/>
  <c r="E153" i="15"/>
  <c r="E152" i="15"/>
  <c r="D151" i="15"/>
  <c r="D156" i="15"/>
  <c r="C151" i="15"/>
  <c r="E151" i="15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C75" i="15"/>
  <c r="E75" i="15" s="1"/>
  <c r="D74" i="15"/>
  <c r="E74" i="15" s="1"/>
  <c r="C74" i="15"/>
  <c r="D73" i="15"/>
  <c r="C73" i="15"/>
  <c r="E73" i="15" s="1"/>
  <c r="D72" i="15"/>
  <c r="E72" i="15" s="1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D32" i="15"/>
  <c r="C32" i="15"/>
  <c r="C33" i="15" s="1"/>
  <c r="E31" i="15"/>
  <c r="E30" i="15"/>
  <c r="E29" i="15"/>
  <c r="E28" i="15"/>
  <c r="E27" i="15"/>
  <c r="E26" i="15"/>
  <c r="E25" i="15"/>
  <c r="D22" i="15"/>
  <c r="E22" i="15" s="1"/>
  <c r="E21" i="15"/>
  <c r="D21" i="15"/>
  <c r="D283" i="15"/>
  <c r="C21" i="15"/>
  <c r="C22" i="15"/>
  <c r="C284" i="15" s="1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11" i="14"/>
  <c r="E308" i="14"/>
  <c r="F308" i="14"/>
  <c r="C307" i="14"/>
  <c r="E307" i="14"/>
  <c r="C299" i="14"/>
  <c r="E299" i="14"/>
  <c r="F299" i="14"/>
  <c r="C298" i="14"/>
  <c r="E298" i="14" s="1"/>
  <c r="C297" i="14"/>
  <c r="E297" i="14" s="1"/>
  <c r="C296" i="14"/>
  <c r="E296" i="14" s="1"/>
  <c r="C295" i="14"/>
  <c r="E295" i="14" s="1"/>
  <c r="F295" i="14" s="1"/>
  <c r="C294" i="14"/>
  <c r="E294" i="14"/>
  <c r="C250" i="14"/>
  <c r="E250" i="14"/>
  <c r="F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C237" i="14"/>
  <c r="E237" i="14" s="1"/>
  <c r="E234" i="14"/>
  <c r="F234" i="14"/>
  <c r="E233" i="14"/>
  <c r="F233" i="14"/>
  <c r="C230" i="14"/>
  <c r="E230" i="14" s="1"/>
  <c r="C229" i="14"/>
  <c r="E229" i="14"/>
  <c r="E228" i="14"/>
  <c r="F228" i="14"/>
  <c r="C226" i="14"/>
  <c r="E225" i="14"/>
  <c r="F225" i="14" s="1"/>
  <c r="E224" i="14"/>
  <c r="F224" i="14"/>
  <c r="C223" i="14"/>
  <c r="E223" i="14"/>
  <c r="F223" i="14" s="1"/>
  <c r="E222" i="14"/>
  <c r="F222" i="14"/>
  <c r="E221" i="14"/>
  <c r="F221" i="14" s="1"/>
  <c r="C204" i="14"/>
  <c r="C203" i="14"/>
  <c r="C283" i="14"/>
  <c r="E283" i="14"/>
  <c r="C198" i="14"/>
  <c r="C274" i="14"/>
  <c r="C191" i="14"/>
  <c r="E191" i="14" s="1"/>
  <c r="C189" i="14"/>
  <c r="C278" i="14" s="1"/>
  <c r="C188" i="14"/>
  <c r="C180" i="14"/>
  <c r="E180" i="14" s="1"/>
  <c r="F180" i="14" s="1"/>
  <c r="C179" i="14"/>
  <c r="E179" i="14" s="1"/>
  <c r="C171" i="14"/>
  <c r="E171" i="14" s="1"/>
  <c r="C170" i="14"/>
  <c r="E170" i="14" s="1"/>
  <c r="F170" i="14" s="1"/>
  <c r="E169" i="14"/>
  <c r="F169" i="14" s="1"/>
  <c r="E168" i="14"/>
  <c r="F168" i="14" s="1"/>
  <c r="C165" i="14"/>
  <c r="E165" i="14"/>
  <c r="C164" i="14"/>
  <c r="E164" i="14"/>
  <c r="E163" i="14"/>
  <c r="F163" i="14" s="1"/>
  <c r="C158" i="14"/>
  <c r="C159" i="14"/>
  <c r="E157" i="14"/>
  <c r="F157" i="14"/>
  <c r="E156" i="14"/>
  <c r="F156" i="14" s="1"/>
  <c r="C155" i="14"/>
  <c r="E155" i="14" s="1"/>
  <c r="E154" i="14"/>
  <c r="F154" i="14" s="1"/>
  <c r="E153" i="14"/>
  <c r="F153" i="14" s="1"/>
  <c r="C145" i="14"/>
  <c r="E145" i="14"/>
  <c r="C144" i="14"/>
  <c r="E144" i="14"/>
  <c r="C136" i="14"/>
  <c r="C137" i="14" s="1"/>
  <c r="C135" i="14"/>
  <c r="E134" i="14"/>
  <c r="F134" i="14" s="1"/>
  <c r="E133" i="14"/>
  <c r="F133" i="14" s="1"/>
  <c r="C130" i="14"/>
  <c r="E130" i="14" s="1"/>
  <c r="C129" i="14"/>
  <c r="E129" i="14" s="1"/>
  <c r="E128" i="14"/>
  <c r="F128" i="14" s="1"/>
  <c r="C123" i="14"/>
  <c r="C124" i="14" s="1"/>
  <c r="E122" i="14"/>
  <c r="F122" i="14" s="1"/>
  <c r="E121" i="14"/>
  <c r="F121" i="14" s="1"/>
  <c r="C120" i="14"/>
  <c r="E120" i="14"/>
  <c r="F120" i="14" s="1"/>
  <c r="E119" i="14"/>
  <c r="F119" i="14" s="1"/>
  <c r="E118" i="14"/>
  <c r="F118" i="14" s="1"/>
  <c r="C110" i="14"/>
  <c r="E110" i="14" s="1"/>
  <c r="F110" i="14" s="1"/>
  <c r="C109" i="14"/>
  <c r="C111" i="14"/>
  <c r="C101" i="14"/>
  <c r="E101" i="14"/>
  <c r="C100" i="14"/>
  <c r="E99" i="14"/>
  <c r="F99" i="14" s="1"/>
  <c r="E98" i="14"/>
  <c r="F98" i="14" s="1"/>
  <c r="C95" i="14"/>
  <c r="E95" i="14" s="1"/>
  <c r="F95" i="14" s="1"/>
  <c r="C94" i="14"/>
  <c r="E94" i="14" s="1"/>
  <c r="E93" i="14"/>
  <c r="F93" i="14" s="1"/>
  <c r="C88" i="14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C77" i="14" s="1"/>
  <c r="E74" i="14"/>
  <c r="F74" i="14" s="1"/>
  <c r="E73" i="14"/>
  <c r="F73" i="14" s="1"/>
  <c r="C67" i="14"/>
  <c r="C66" i="14"/>
  <c r="C68" i="14"/>
  <c r="C59" i="14"/>
  <c r="E59" i="14" s="1"/>
  <c r="C58" i="14"/>
  <c r="E58" i="14" s="1"/>
  <c r="E57" i="14"/>
  <c r="F57" i="14" s="1"/>
  <c r="E56" i="14"/>
  <c r="F56" i="14" s="1"/>
  <c r="C53" i="14"/>
  <c r="C52" i="14"/>
  <c r="E51" i="14"/>
  <c r="F51" i="14" s="1"/>
  <c r="C47" i="14"/>
  <c r="E47" i="14" s="1"/>
  <c r="E46" i="14"/>
  <c r="F46" i="14" s="1"/>
  <c r="E45" i="14"/>
  <c r="F45" i="14" s="1"/>
  <c r="C44" i="14"/>
  <c r="E43" i="14"/>
  <c r="F43" i="14"/>
  <c r="E42" i="14"/>
  <c r="F42" i="14"/>
  <c r="C36" i="14"/>
  <c r="E36" i="14"/>
  <c r="C35" i="14"/>
  <c r="E35" i="14"/>
  <c r="C30" i="14"/>
  <c r="C31" i="14"/>
  <c r="C32" i="14" s="1"/>
  <c r="C29" i="14"/>
  <c r="E29" i="14" s="1"/>
  <c r="E28" i="14"/>
  <c r="F28" i="14" s="1"/>
  <c r="E27" i="14"/>
  <c r="F27" i="14" s="1"/>
  <c r="C24" i="14"/>
  <c r="E24" i="14" s="1"/>
  <c r="F24" i="14" s="1"/>
  <c r="C23" i="14"/>
  <c r="E23" i="14"/>
  <c r="F23" i="14" s="1"/>
  <c r="E22" i="14"/>
  <c r="F22" i="14" s="1"/>
  <c r="C20" i="14"/>
  <c r="E19" i="14"/>
  <c r="F19" i="14"/>
  <c r="E18" i="14"/>
  <c r="F18" i="14"/>
  <c r="C17" i="14"/>
  <c r="E17" i="14" s="1"/>
  <c r="E16" i="14"/>
  <c r="F16" i="14" s="1"/>
  <c r="E15" i="14"/>
  <c r="F15" i="14" s="1"/>
  <c r="D21" i="13"/>
  <c r="C21" i="13"/>
  <c r="E21" i="13" s="1"/>
  <c r="E20" i="13"/>
  <c r="F20" i="13" s="1"/>
  <c r="D17" i="13"/>
  <c r="C17" i="13"/>
  <c r="E17" i="13" s="1"/>
  <c r="E16" i="13"/>
  <c r="F16" i="13" s="1"/>
  <c r="D13" i="13"/>
  <c r="C13" i="13"/>
  <c r="E13" i="13" s="1"/>
  <c r="E12" i="13"/>
  <c r="F12" i="13" s="1"/>
  <c r="D99" i="12"/>
  <c r="E99" i="12" s="1"/>
  <c r="F99" i="12" s="1"/>
  <c r="C99" i="12"/>
  <c r="F98" i="12"/>
  <c r="E98" i="12"/>
  <c r="F97" i="12"/>
  <c r="E97" i="12"/>
  <c r="F96" i="12"/>
  <c r="E96" i="12"/>
  <c r="D92" i="12"/>
  <c r="E92" i="12" s="1"/>
  <c r="F92" i="12" s="1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 s="1"/>
  <c r="F84" i="12" s="1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F75" i="12" s="1"/>
  <c r="D70" i="12"/>
  <c r="E70" i="12" s="1"/>
  <c r="F70" i="12" s="1"/>
  <c r="C70" i="12"/>
  <c r="F69" i="12"/>
  <c r="E69" i="12"/>
  <c r="F68" i="12"/>
  <c r="E68" i="12"/>
  <c r="D65" i="12"/>
  <c r="E65" i="12" s="1"/>
  <c r="F65" i="12" s="1"/>
  <c r="C65" i="12"/>
  <c r="F64" i="12"/>
  <c r="E64" i="12"/>
  <c r="F63" i="12"/>
  <c r="E63" i="12"/>
  <c r="D60" i="12"/>
  <c r="C60" i="12"/>
  <c r="F59" i="12"/>
  <c r="E59" i="12"/>
  <c r="F58" i="12"/>
  <c r="E58" i="12"/>
  <c r="E60" i="12"/>
  <c r="F60" i="12" s="1"/>
  <c r="D55" i="12"/>
  <c r="E55" i="12" s="1"/>
  <c r="F55" i="12" s="1"/>
  <c r="C55" i="12"/>
  <c r="F54" i="12"/>
  <c r="E54" i="12"/>
  <c r="F53" i="12"/>
  <c r="E53" i="12"/>
  <c r="D50" i="12"/>
  <c r="E50" i="12" s="1"/>
  <c r="F50" i="12" s="1"/>
  <c r="C50" i="12"/>
  <c r="F49" i="12"/>
  <c r="E49" i="12"/>
  <c r="F48" i="12"/>
  <c r="E48" i="12"/>
  <c r="D45" i="12"/>
  <c r="E45" i="12" s="1"/>
  <c r="F45" i="12" s="1"/>
  <c r="C45" i="12"/>
  <c r="F44" i="12"/>
  <c r="E44" i="12"/>
  <c r="F43" i="12"/>
  <c r="E43" i="12"/>
  <c r="D37" i="12"/>
  <c r="E37" i="12" s="1"/>
  <c r="F37" i="12" s="1"/>
  <c r="C37" i="12"/>
  <c r="F36" i="12"/>
  <c r="E36" i="12"/>
  <c r="F35" i="12"/>
  <c r="E35" i="12"/>
  <c r="F34" i="12"/>
  <c r="E34" i="12"/>
  <c r="F33" i="12"/>
  <c r="E33" i="12"/>
  <c r="F30" i="12"/>
  <c r="D30" i="12"/>
  <c r="E30" i="12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 s="1"/>
  <c r="D17" i="11"/>
  <c r="D31" i="11" s="1"/>
  <c r="F31" i="11" s="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/>
  <c r="D73" i="10"/>
  <c r="D75" i="10"/>
  <c r="C73" i="10"/>
  <c r="C75" i="10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C54" i="10"/>
  <c r="C50" i="10"/>
  <c r="D50" i="10"/>
  <c r="E46" i="10"/>
  <c r="E59" i="10"/>
  <c r="E61" i="10"/>
  <c r="E57" i="10" s="1"/>
  <c r="D46" i="10"/>
  <c r="D48" i="10" s="1"/>
  <c r="D42" i="10" s="1"/>
  <c r="C46" i="10"/>
  <c r="C59" i="10" s="1"/>
  <c r="C61" i="10" s="1"/>
  <c r="C57" i="10" s="1"/>
  <c r="C48" i="10"/>
  <c r="C42" i="10" s="1"/>
  <c r="E45" i="10"/>
  <c r="D45" i="10"/>
  <c r="C45" i="10"/>
  <c r="E38" i="10"/>
  <c r="D38" i="10"/>
  <c r="C38" i="10"/>
  <c r="E34" i="10"/>
  <c r="E33" i="10"/>
  <c r="D33" i="10"/>
  <c r="D34" i="10" s="1"/>
  <c r="E26" i="10"/>
  <c r="D26" i="10"/>
  <c r="C26" i="10"/>
  <c r="E13" i="10"/>
  <c r="E25" i="10"/>
  <c r="E27" i="10" s="1"/>
  <c r="D13" i="10"/>
  <c r="D25" i="10"/>
  <c r="D27" i="10"/>
  <c r="C13" i="10"/>
  <c r="C25" i="10"/>
  <c r="C27" i="10"/>
  <c r="D46" i="9"/>
  <c r="E46" i="9" s="1"/>
  <c r="C46" i="9"/>
  <c r="F46" i="9" s="1"/>
  <c r="F45" i="9"/>
  <c r="E45" i="9"/>
  <c r="F44" i="9"/>
  <c r="E44" i="9"/>
  <c r="D39" i="9"/>
  <c r="E39" i="9" s="1"/>
  <c r="C39" i="9"/>
  <c r="F39" i="9" s="1"/>
  <c r="F38" i="9"/>
  <c r="E38" i="9"/>
  <c r="F37" i="9"/>
  <c r="E37" i="9"/>
  <c r="F36" i="9"/>
  <c r="E36" i="9"/>
  <c r="D31" i="9"/>
  <c r="E31" i="9" s="1"/>
  <c r="F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 s="1"/>
  <c r="C16" i="9"/>
  <c r="C19" i="9" s="1"/>
  <c r="F15" i="9"/>
  <c r="E15" i="9"/>
  <c r="F14" i="9"/>
  <c r="E14" i="9"/>
  <c r="F13" i="9"/>
  <c r="E13" i="9"/>
  <c r="F12" i="9"/>
  <c r="E12" i="9"/>
  <c r="D73" i="8"/>
  <c r="E73" i="8" s="1"/>
  <c r="F73" i="8" s="1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D65" i="8" s="1"/>
  <c r="C61" i="8"/>
  <c r="C65" i="8" s="1"/>
  <c r="C75" i="8" s="1"/>
  <c r="F60" i="8"/>
  <c r="E60" i="8"/>
  <c r="E59" i="8"/>
  <c r="F59" i="8" s="1"/>
  <c r="D56" i="8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F40" i="8"/>
  <c r="E40" i="8"/>
  <c r="D38" i="8"/>
  <c r="D41" i="8" s="1"/>
  <c r="C38" i="8"/>
  <c r="C41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F26" i="8"/>
  <c r="E26" i="8"/>
  <c r="F25" i="8"/>
  <c r="E25" i="8"/>
  <c r="D22" i="8"/>
  <c r="C22" i="8"/>
  <c r="E21" i="8"/>
  <c r="F21" i="8"/>
  <c r="E20" i="8"/>
  <c r="F20" i="8"/>
  <c r="E19" i="8"/>
  <c r="F19" i="8"/>
  <c r="F18" i="8"/>
  <c r="E18" i="8"/>
  <c r="F17" i="8"/>
  <c r="E17" i="8"/>
  <c r="F16" i="8"/>
  <c r="E16" i="8"/>
  <c r="E15" i="8"/>
  <c r="F15" i="8"/>
  <c r="E14" i="8"/>
  <c r="F14" i="8"/>
  <c r="E13" i="8"/>
  <c r="F13" i="8"/>
  <c r="D120" i="7"/>
  <c r="E120" i="7" s="1"/>
  <c r="C120" i="7"/>
  <c r="D119" i="7"/>
  <c r="E119" i="7" s="1"/>
  <c r="F119" i="7" s="1"/>
  <c r="C119" i="7"/>
  <c r="D118" i="7"/>
  <c r="E118" i="7" s="1"/>
  <c r="F118" i="7" s="1"/>
  <c r="C118" i="7"/>
  <c r="D117" i="7"/>
  <c r="E117" i="7" s="1"/>
  <c r="F117" i="7" s="1"/>
  <c r="C117" i="7"/>
  <c r="D116" i="7"/>
  <c r="E116" i="7" s="1"/>
  <c r="F116" i="7" s="1"/>
  <c r="C116" i="7"/>
  <c r="D115" i="7"/>
  <c r="E115" i="7" s="1"/>
  <c r="F115" i="7" s="1"/>
  <c r="C115" i="7"/>
  <c r="D114" i="7"/>
  <c r="E114" i="7" s="1"/>
  <c r="F114" i="7" s="1"/>
  <c r="C114" i="7"/>
  <c r="D113" i="7"/>
  <c r="D122" i="7" s="1"/>
  <c r="C113" i="7"/>
  <c r="E113" i="7" s="1"/>
  <c r="D112" i="7"/>
  <c r="C112" i="7"/>
  <c r="D108" i="7"/>
  <c r="E108" i="7" s="1"/>
  <c r="F108" i="7" s="1"/>
  <c r="C108" i="7"/>
  <c r="D107" i="7"/>
  <c r="E107" i="7" s="1"/>
  <c r="F107" i="7" s="1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F96" i="7"/>
  <c r="D96" i="7"/>
  <c r="E96" i="7"/>
  <c r="C96" i="7"/>
  <c r="F95" i="7"/>
  <c r="D95" i="7"/>
  <c r="E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 s="1"/>
  <c r="F84" i="7" s="1"/>
  <c r="C84" i="7"/>
  <c r="D83" i="7"/>
  <c r="E83" i="7" s="1"/>
  <c r="F83" i="7" s="1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E59" i="7" s="1"/>
  <c r="F59" i="7" s="1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 s="1"/>
  <c r="F48" i="7" s="1"/>
  <c r="C48" i="7"/>
  <c r="D47" i="7"/>
  <c r="E47" i="7" s="1"/>
  <c r="F47" i="7" s="1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F36" i="7" s="1"/>
  <c r="C36" i="7"/>
  <c r="D35" i="7"/>
  <c r="E35" i="7" s="1"/>
  <c r="F35" i="7" s="1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D24" i="7"/>
  <c r="E24" i="7" s="1"/>
  <c r="F24" i="7" s="1"/>
  <c r="C24" i="7"/>
  <c r="D23" i="7"/>
  <c r="E23" i="7" s="1"/>
  <c r="F23" i="7" s="1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F206" i="6" s="1"/>
  <c r="C206" i="6"/>
  <c r="D205" i="6"/>
  <c r="E205" i="6" s="1"/>
  <c r="F205" i="6" s="1"/>
  <c r="C205" i="6"/>
  <c r="D204" i="6"/>
  <c r="E204" i="6" s="1"/>
  <c r="F204" i="6" s="1"/>
  <c r="C204" i="6"/>
  <c r="D203" i="6"/>
  <c r="E203" i="6" s="1"/>
  <c r="C203" i="6"/>
  <c r="D202" i="6"/>
  <c r="C202" i="6"/>
  <c r="D201" i="6"/>
  <c r="C201" i="6"/>
  <c r="D200" i="6"/>
  <c r="C200" i="6"/>
  <c r="D199" i="6"/>
  <c r="C199" i="6"/>
  <c r="D198" i="6"/>
  <c r="E198" i="6" s="1"/>
  <c r="C198" i="6"/>
  <c r="D193" i="6"/>
  <c r="E193" i="6" s="1"/>
  <c r="F193" i="6" s="1"/>
  <c r="C193" i="6"/>
  <c r="D192" i="6"/>
  <c r="E192" i="6" s="1"/>
  <c r="F192" i="6" s="1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F141" i="6" s="1"/>
  <c r="C141" i="6"/>
  <c r="D140" i="6"/>
  <c r="E140" i="6" s="1"/>
  <c r="F140" i="6" s="1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F128" i="6" s="1"/>
  <c r="C128" i="6"/>
  <c r="D127" i="6"/>
  <c r="E127" i="6" s="1"/>
  <c r="F127" i="6" s="1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 s="1"/>
  <c r="F115" i="6" s="1"/>
  <c r="C115" i="6"/>
  <c r="D114" i="6"/>
  <c r="E114" i="6" s="1"/>
  <c r="F114" i="6" s="1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2" i="6"/>
  <c r="D102" i="6"/>
  <c r="E102" i="6"/>
  <c r="C102" i="6"/>
  <c r="F101" i="6"/>
  <c r="D101" i="6"/>
  <c r="E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89" i="6"/>
  <c r="D89" i="6"/>
  <c r="E89" i="6"/>
  <c r="C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6" i="6"/>
  <c r="D76" i="6"/>
  <c r="E76" i="6"/>
  <c r="C76" i="6"/>
  <c r="F75" i="6"/>
  <c r="D75" i="6"/>
  <c r="E75" i="6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D166" i="5" s="1"/>
  <c r="D154" i="5" s="1"/>
  <c r="C164" i="5"/>
  <c r="E162" i="5"/>
  <c r="D162" i="5"/>
  <c r="C162" i="5"/>
  <c r="E161" i="5"/>
  <c r="D161" i="5"/>
  <c r="C161" i="5"/>
  <c r="E160" i="5"/>
  <c r="E166" i="5" s="1"/>
  <c r="E156" i="5" s="1"/>
  <c r="C160" i="5"/>
  <c r="C166" i="5" s="1"/>
  <c r="E147" i="5"/>
  <c r="D147" i="5"/>
  <c r="D143" i="5"/>
  <c r="C147" i="5"/>
  <c r="E145" i="5"/>
  <c r="D145" i="5"/>
  <c r="C145" i="5"/>
  <c r="E144" i="5"/>
  <c r="D144" i="5"/>
  <c r="C144" i="5"/>
  <c r="E143" i="5"/>
  <c r="E149" i="5" s="1"/>
  <c r="E140" i="5" s="1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/>
  <c r="D106" i="5" s="1"/>
  <c r="C107" i="5"/>
  <c r="C109" i="5" s="1"/>
  <c r="C106" i="5" s="1"/>
  <c r="E102" i="5"/>
  <c r="E104" i="5"/>
  <c r="D102" i="5"/>
  <c r="D104" i="5"/>
  <c r="C102" i="5"/>
  <c r="C104" i="5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D84" i="5"/>
  <c r="C84" i="5"/>
  <c r="C79" i="5" s="1"/>
  <c r="E83" i="5"/>
  <c r="E79" i="5" s="1"/>
  <c r="D83" i="5"/>
  <c r="C83" i="5"/>
  <c r="D79" i="5"/>
  <c r="E75" i="5"/>
  <c r="E88" i="5" s="1"/>
  <c r="E90" i="5" s="1"/>
  <c r="E86" i="5" s="1"/>
  <c r="E77" i="5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E57" i="5" s="1"/>
  <c r="E62" i="5" s="1"/>
  <c r="D38" i="5"/>
  <c r="D49" i="5"/>
  <c r="C38" i="5"/>
  <c r="E33" i="5"/>
  <c r="E34" i="5" s="1"/>
  <c r="D33" i="5"/>
  <c r="D34" i="5" s="1"/>
  <c r="E26" i="5"/>
  <c r="D26" i="5"/>
  <c r="C26" i="5"/>
  <c r="E13" i="5"/>
  <c r="E25" i="5"/>
  <c r="E27" i="5" s="1"/>
  <c r="D13" i="5"/>
  <c r="C13" i="5"/>
  <c r="C25" i="5"/>
  <c r="C27" i="5" s="1"/>
  <c r="C21" i="5" s="1"/>
  <c r="E174" i="4"/>
  <c r="F174" i="4"/>
  <c r="D171" i="4"/>
  <c r="E171" i="4"/>
  <c r="C171" i="4"/>
  <c r="F170" i="4"/>
  <c r="E170" i="4"/>
  <c r="E169" i="4"/>
  <c r="F169" i="4" s="1"/>
  <c r="F168" i="4"/>
  <c r="E168" i="4"/>
  <c r="E167" i="4"/>
  <c r="F167" i="4" s="1"/>
  <c r="E166" i="4"/>
  <c r="F166" i="4" s="1"/>
  <c r="F165" i="4"/>
  <c r="E165" i="4"/>
  <c r="E164" i="4"/>
  <c r="F164" i="4" s="1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F153" i="3" s="1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1" i="3"/>
  <c r="C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E41" i="3"/>
  <c r="D41" i="3"/>
  <c r="D52" i="3"/>
  <c r="C41" i="3"/>
  <c r="F41" i="3"/>
  <c r="D38" i="3"/>
  <c r="C38" i="3"/>
  <c r="E37" i="3"/>
  <c r="F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 s="1"/>
  <c r="E24" i="3"/>
  <c r="F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 s="1"/>
  <c r="F45" i="2"/>
  <c r="E45" i="2"/>
  <c r="F44" i="2"/>
  <c r="E44" i="2"/>
  <c r="D39" i="2"/>
  <c r="C39" i="2"/>
  <c r="E39" i="2"/>
  <c r="F39" i="2" s="1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C16" i="2"/>
  <c r="F15" i="2"/>
  <c r="E15" i="2"/>
  <c r="E14" i="2"/>
  <c r="F14" i="2"/>
  <c r="E13" i="2"/>
  <c r="F13" i="2"/>
  <c r="E12" i="2"/>
  <c r="F12" i="2"/>
  <c r="D73" i="1"/>
  <c r="C73" i="1"/>
  <c r="E73" i="1" s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E60" i="1"/>
  <c r="F60" i="1" s="1"/>
  <c r="E59" i="1"/>
  <c r="F59" i="1" s="1"/>
  <c r="D56" i="1"/>
  <c r="C56" i="1"/>
  <c r="F56" i="1" s="1"/>
  <c r="F55" i="1"/>
  <c r="E55" i="1"/>
  <c r="F54" i="1"/>
  <c r="E54" i="1"/>
  <c r="E53" i="1"/>
  <c r="F53" i="1"/>
  <c r="E52" i="1"/>
  <c r="F52" i="1" s="1"/>
  <c r="E51" i="1"/>
  <c r="F51" i="1"/>
  <c r="E50" i="1"/>
  <c r="F50" i="1" s="1"/>
  <c r="A50" i="1"/>
  <c r="A51" i="1"/>
  <c r="A52" i="1" s="1"/>
  <c r="A53" i="1" s="1"/>
  <c r="A54" i="1" s="1"/>
  <c r="A55" i="1" s="1"/>
  <c r="E49" i="1"/>
  <c r="F49" i="1"/>
  <c r="E40" i="1"/>
  <c r="F40" i="1" s="1"/>
  <c r="D38" i="1"/>
  <c r="E38" i="1" s="1"/>
  <c r="F38" i="1" s="1"/>
  <c r="C38" i="1"/>
  <c r="C41" i="1" s="1"/>
  <c r="E37" i="1"/>
  <c r="F37" i="1" s="1"/>
  <c r="E36" i="1"/>
  <c r="F36" i="1" s="1"/>
  <c r="E33" i="1"/>
  <c r="F33" i="1" s="1"/>
  <c r="E32" i="1"/>
  <c r="F32" i="1" s="1"/>
  <c r="E31" i="1"/>
  <c r="F31" i="1" s="1"/>
  <c r="D29" i="1"/>
  <c r="C29" i="1"/>
  <c r="E29" i="1"/>
  <c r="F29" i="1" s="1"/>
  <c r="E28" i="1"/>
  <c r="F28" i="1" s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F16" i="1"/>
  <c r="E16" i="1"/>
  <c r="E15" i="1"/>
  <c r="F15" i="1" s="1"/>
  <c r="E14" i="1"/>
  <c r="F14" i="1" s="1"/>
  <c r="E13" i="1"/>
  <c r="F13" i="1" s="1"/>
  <c r="F17" i="14"/>
  <c r="F36" i="14"/>
  <c r="F307" i="14"/>
  <c r="D37" i="14"/>
  <c r="D264" i="14"/>
  <c r="D300" i="14" s="1"/>
  <c r="F59" i="14"/>
  <c r="E77" i="14"/>
  <c r="F94" i="14"/>
  <c r="F230" i="14"/>
  <c r="E152" i="5"/>
  <c r="E157" i="5"/>
  <c r="E153" i="5"/>
  <c r="C154" i="5"/>
  <c r="C156" i="5"/>
  <c r="C152" i="5"/>
  <c r="C155" i="5"/>
  <c r="C153" i="5"/>
  <c r="C157" i="5"/>
  <c r="E21" i="5"/>
  <c r="C137" i="5"/>
  <c r="C139" i="5"/>
  <c r="C135" i="5"/>
  <c r="C141" i="5" s="1"/>
  <c r="C140" i="5"/>
  <c r="C138" i="5"/>
  <c r="C136" i="5"/>
  <c r="D77" i="5"/>
  <c r="D71" i="5"/>
  <c r="D88" i="5"/>
  <c r="D90" i="5"/>
  <c r="D86" i="5" s="1"/>
  <c r="D155" i="5"/>
  <c r="D153" i="5"/>
  <c r="E53" i="5"/>
  <c r="E43" i="5"/>
  <c r="D21" i="10"/>
  <c r="C21" i="10"/>
  <c r="E111" i="14"/>
  <c r="F111" i="14"/>
  <c r="C19" i="2"/>
  <c r="E136" i="5"/>
  <c r="F73" i="1"/>
  <c r="F46" i="2"/>
  <c r="F68" i="3"/>
  <c r="E93" i="3"/>
  <c r="F93" i="3"/>
  <c r="E49" i="5"/>
  <c r="E71" i="5"/>
  <c r="E138" i="5"/>
  <c r="D208" i="6"/>
  <c r="E302" i="15"/>
  <c r="D15" i="5"/>
  <c r="D17" i="5" s="1"/>
  <c r="D25" i="5"/>
  <c r="D27" i="5"/>
  <c r="E19" i="9"/>
  <c r="F19" i="9"/>
  <c r="D33" i="9"/>
  <c r="C43" i="1"/>
  <c r="D43" i="8"/>
  <c r="C43" i="5"/>
  <c r="C53" i="5"/>
  <c r="C33" i="9"/>
  <c r="E32" i="14"/>
  <c r="F32" i="14"/>
  <c r="E56" i="1"/>
  <c r="C52" i="3"/>
  <c r="E52" i="3" s="1"/>
  <c r="D83" i="4"/>
  <c r="C49" i="5"/>
  <c r="C57" i="5"/>
  <c r="C62" i="5" s="1"/>
  <c r="D149" i="5"/>
  <c r="D140" i="5" s="1"/>
  <c r="D207" i="6"/>
  <c r="E139" i="5"/>
  <c r="E137" i="5"/>
  <c r="E21" i="10"/>
  <c r="E68" i="14"/>
  <c r="F68" i="14" s="1"/>
  <c r="D121" i="7"/>
  <c r="E137" i="14"/>
  <c r="F137" i="14"/>
  <c r="C285" i="14"/>
  <c r="E204" i="14"/>
  <c r="F204" i="14" s="1"/>
  <c r="C269" i="14"/>
  <c r="C180" i="15"/>
  <c r="C145" i="15"/>
  <c r="C169" i="15" s="1"/>
  <c r="D157" i="15"/>
  <c r="C108" i="19"/>
  <c r="C109" i="19"/>
  <c r="D209" i="14"/>
  <c r="D104" i="14"/>
  <c r="D174" i="14"/>
  <c r="E278" i="14"/>
  <c r="D15" i="10"/>
  <c r="D24" i="10" s="1"/>
  <c r="D59" i="10"/>
  <c r="D61" i="10"/>
  <c r="D57" i="10" s="1"/>
  <c r="G17" i="11"/>
  <c r="E20" i="14"/>
  <c r="F20" i="14"/>
  <c r="E31" i="14"/>
  <c r="F31" i="14"/>
  <c r="C48" i="14"/>
  <c r="E52" i="14"/>
  <c r="F52" i="14" s="1"/>
  <c r="E66" i="14"/>
  <c r="F66" i="14" s="1"/>
  <c r="E76" i="14"/>
  <c r="F76" i="14"/>
  <c r="E88" i="14"/>
  <c r="F88" i="14"/>
  <c r="C102" i="14"/>
  <c r="E109" i="14"/>
  <c r="F109" i="14" s="1"/>
  <c r="F129" i="14"/>
  <c r="F155" i="14"/>
  <c r="E159" i="14"/>
  <c r="F159" i="14" s="1"/>
  <c r="F171" i="14"/>
  <c r="C192" i="14"/>
  <c r="C215" i="14"/>
  <c r="F237" i="14"/>
  <c r="C255" i="14"/>
  <c r="F278" i="14"/>
  <c r="D43" i="15"/>
  <c r="D44" i="15" s="1"/>
  <c r="C239" i="15"/>
  <c r="E239" i="15"/>
  <c r="C245" i="15"/>
  <c r="E245" i="15"/>
  <c r="C283" i="15"/>
  <c r="E283" i="15"/>
  <c r="C316" i="15"/>
  <c r="C320" i="15"/>
  <c r="E320" i="15" s="1"/>
  <c r="F40" i="17"/>
  <c r="C146" i="14"/>
  <c r="F144" i="14"/>
  <c r="D71" i="15"/>
  <c r="D65" i="15"/>
  <c r="D66" i="15" s="1"/>
  <c r="D289" i="15"/>
  <c r="E289" i="15"/>
  <c r="E60" i="15"/>
  <c r="D144" i="15"/>
  <c r="D145" i="15" s="1"/>
  <c r="E145" i="15" s="1"/>
  <c r="D175" i="15"/>
  <c r="E139" i="15"/>
  <c r="E231" i="15"/>
  <c r="C37" i="16"/>
  <c r="C38" i="16" s="1"/>
  <c r="C127" i="16" s="1"/>
  <c r="C129" i="16" s="1"/>
  <c r="C133" i="16" s="1"/>
  <c r="C22" i="16"/>
  <c r="D175" i="14"/>
  <c r="D176" i="14" s="1"/>
  <c r="D62" i="14"/>
  <c r="D210" i="14"/>
  <c r="D211" i="14" s="1"/>
  <c r="D105" i="14"/>
  <c r="D254" i="14"/>
  <c r="F17" i="11"/>
  <c r="D33" i="11"/>
  <c r="D36" i="11" s="1"/>
  <c r="F29" i="14"/>
  <c r="F35" i="14"/>
  <c r="C37" i="14"/>
  <c r="F47" i="14"/>
  <c r="F58" i="14"/>
  <c r="F101" i="14"/>
  <c r="F145" i="14"/>
  <c r="F164" i="14"/>
  <c r="F165" i="14"/>
  <c r="C239" i="14"/>
  <c r="E239" i="14"/>
  <c r="F239" i="14" s="1"/>
  <c r="E195" i="15"/>
  <c r="D240" i="15"/>
  <c r="E244" i="15"/>
  <c r="C252" i="15"/>
  <c r="E260" i="15"/>
  <c r="C303" i="15"/>
  <c r="C306" i="15"/>
  <c r="C310" i="15" s="1"/>
  <c r="D303" i="15"/>
  <c r="D41" i="17"/>
  <c r="C277" i="14"/>
  <c r="C261" i="14"/>
  <c r="C254" i="14"/>
  <c r="D33" i="15"/>
  <c r="D295" i="15" s="1"/>
  <c r="E32" i="15"/>
  <c r="E251" i="15"/>
  <c r="C45" i="19"/>
  <c r="C39" i="19"/>
  <c r="C35" i="19"/>
  <c r="C29" i="19"/>
  <c r="C112" i="19" s="1"/>
  <c r="C110" i="19"/>
  <c r="C53" i="19"/>
  <c r="E109" i="19"/>
  <c r="E108" i="19"/>
  <c r="E56" i="8"/>
  <c r="F56" i="8" s="1"/>
  <c r="E61" i="8"/>
  <c r="F61" i="8" s="1"/>
  <c r="E16" i="9"/>
  <c r="F16" i="9" s="1"/>
  <c r="C21" i="14"/>
  <c r="C126" i="14" s="1"/>
  <c r="C89" i="14"/>
  <c r="C193" i="14"/>
  <c r="C266" i="14" s="1"/>
  <c r="C138" i="14"/>
  <c r="C140" i="14" s="1"/>
  <c r="E158" i="14"/>
  <c r="F158" i="14" s="1"/>
  <c r="F179" i="14"/>
  <c r="F191" i="14"/>
  <c r="C200" i="14"/>
  <c r="C205" i="14"/>
  <c r="C214" i="14"/>
  <c r="E214" i="14" s="1"/>
  <c r="F229" i="14"/>
  <c r="C280" i="14"/>
  <c r="C290" i="14"/>
  <c r="E290" i="14"/>
  <c r="F290" i="14" s="1"/>
  <c r="F294" i="14"/>
  <c r="F296" i="14"/>
  <c r="F298" i="14"/>
  <c r="E306" i="14"/>
  <c r="F311" i="14"/>
  <c r="C43" i="15"/>
  <c r="D222" i="15"/>
  <c r="D223" i="15" s="1"/>
  <c r="D330" i="15"/>
  <c r="C41" i="17"/>
  <c r="E226" i="14"/>
  <c r="F226" i="14"/>
  <c r="C227" i="14"/>
  <c r="D55" i="15"/>
  <c r="E55" i="15" s="1"/>
  <c r="E54" i="15"/>
  <c r="C163" i="15"/>
  <c r="E163" i="15"/>
  <c r="C156" i="15"/>
  <c r="D189" i="15"/>
  <c r="D261" i="15"/>
  <c r="E261" i="15"/>
  <c r="E188" i="15"/>
  <c r="E205" i="15"/>
  <c r="D210" i="15"/>
  <c r="E218" i="15"/>
  <c r="D217" i="15"/>
  <c r="E280" i="14"/>
  <c r="F130" i="14"/>
  <c r="C172" i="14"/>
  <c r="C207" i="14"/>
  <c r="E69" i="15"/>
  <c r="E228" i="15"/>
  <c r="E265" i="15"/>
  <c r="E316" i="15"/>
  <c r="C33" i="19"/>
  <c r="D34" i="19"/>
  <c r="C101" i="19"/>
  <c r="C103" i="19" s="1"/>
  <c r="D102" i="19"/>
  <c r="D103" i="19" s="1"/>
  <c r="E111" i="19"/>
  <c r="D125" i="14"/>
  <c r="D138" i="14"/>
  <c r="D161" i="14"/>
  <c r="D267" i="14"/>
  <c r="D268" i="14" s="1"/>
  <c r="D277" i="14"/>
  <c r="D285" i="14"/>
  <c r="D22" i="19"/>
  <c r="E30" i="19"/>
  <c r="E36" i="19"/>
  <c r="E40" i="19"/>
  <c r="E46" i="19"/>
  <c r="C54" i="19"/>
  <c r="D160" i="14"/>
  <c r="D192" i="14"/>
  <c r="E192" i="14"/>
  <c r="F192" i="14" s="1"/>
  <c r="D200" i="14"/>
  <c r="E200" i="14" s="1"/>
  <c r="D206" i="14"/>
  <c r="D262" i="14"/>
  <c r="D272" i="14"/>
  <c r="D274" i="14"/>
  <c r="E274" i="14"/>
  <c r="F274" i="14" s="1"/>
  <c r="C222" i="15"/>
  <c r="E19" i="17"/>
  <c r="F19" i="17"/>
  <c r="E39" i="17"/>
  <c r="E41" i="17"/>
  <c r="E43" i="17"/>
  <c r="D23" i="19"/>
  <c r="C111" i="19"/>
  <c r="D49" i="14"/>
  <c r="D91" i="14"/>
  <c r="D92" i="14" s="1"/>
  <c r="D199" i="14"/>
  <c r="D205" i="14"/>
  <c r="E205" i="14" s="1"/>
  <c r="D215" i="14"/>
  <c r="D261" i="14"/>
  <c r="C30" i="19"/>
  <c r="C36" i="19"/>
  <c r="C40" i="19"/>
  <c r="D190" i="14"/>
  <c r="C141" i="14"/>
  <c r="D255" i="14"/>
  <c r="E255" i="14" s="1"/>
  <c r="F255" i="14" s="1"/>
  <c r="D193" i="14"/>
  <c r="D241" i="15"/>
  <c r="E241" i="15"/>
  <c r="E217" i="15"/>
  <c r="C216" i="14"/>
  <c r="C55" i="19"/>
  <c r="C37" i="19"/>
  <c r="C48" i="19"/>
  <c r="C113" i="19"/>
  <c r="D50" i="14"/>
  <c r="F39" i="17"/>
  <c r="D45" i="19"/>
  <c r="D35" i="19"/>
  <c r="D162" i="14"/>
  <c r="C157" i="15"/>
  <c r="C168" i="15"/>
  <c r="E33" i="15"/>
  <c r="E303" i="15"/>
  <c r="D306" i="15"/>
  <c r="D310" i="15" s="1"/>
  <c r="E310" i="15" s="1"/>
  <c r="D38" i="11"/>
  <c r="D40" i="11" s="1"/>
  <c r="E254" i="14"/>
  <c r="F254" i="14" s="1"/>
  <c r="D168" i="15"/>
  <c r="E168" i="15" s="1"/>
  <c r="E144" i="15"/>
  <c r="D180" i="15"/>
  <c r="E180" i="15" s="1"/>
  <c r="E102" i="14"/>
  <c r="F102" i="14" s="1"/>
  <c r="C103" i="14"/>
  <c r="D20" i="10"/>
  <c r="D140" i="14"/>
  <c r="D141" i="14" s="1"/>
  <c r="D322" i="14" s="1"/>
  <c r="E156" i="15"/>
  <c r="C282" i="14"/>
  <c r="F52" i="3"/>
  <c r="E48" i="19"/>
  <c r="E38" i="19"/>
  <c r="E113" i="19"/>
  <c r="E56" i="19"/>
  <c r="C49" i="14"/>
  <c r="C91" i="14"/>
  <c r="C287" i="14"/>
  <c r="C279" i="14"/>
  <c r="C284" i="14"/>
  <c r="D63" i="14"/>
  <c r="E43" i="15"/>
  <c r="E269" i="14"/>
  <c r="F200" i="14"/>
  <c r="F214" i="14"/>
  <c r="E157" i="15"/>
  <c r="D294" i="15"/>
  <c r="D270" i="14"/>
  <c r="E172" i="14"/>
  <c r="F172" i="14"/>
  <c r="C173" i="14"/>
  <c r="D234" i="15"/>
  <c r="E210" i="15"/>
  <c r="D211" i="15"/>
  <c r="E211" i="15" s="1"/>
  <c r="F280" i="14"/>
  <c r="D271" i="14"/>
  <c r="D263" i="14"/>
  <c r="E261" i="14"/>
  <c r="D46" i="19"/>
  <c r="D40" i="19"/>
  <c r="D36" i="19"/>
  <c r="D30" i="19"/>
  <c r="D54" i="19"/>
  <c r="D287" i="14"/>
  <c r="D279" i="14"/>
  <c r="E279" i="14" s="1"/>
  <c r="F279" i="14" s="1"/>
  <c r="D284" i="14"/>
  <c r="E284" i="14"/>
  <c r="F284" i="14" s="1"/>
  <c r="E277" i="14"/>
  <c r="F277" i="14" s="1"/>
  <c r="E227" i="14"/>
  <c r="F227" i="14" s="1"/>
  <c r="F146" i="14"/>
  <c r="E146" i="14"/>
  <c r="C90" i="14"/>
  <c r="E90" i="14" s="1"/>
  <c r="E48" i="14"/>
  <c r="C160" i="14"/>
  <c r="F48" i="14"/>
  <c r="C125" i="14"/>
  <c r="D138" i="5"/>
  <c r="D136" i="5"/>
  <c r="D135" i="5"/>
  <c r="D139" i="5"/>
  <c r="D41" i="9"/>
  <c r="E33" i="9"/>
  <c r="E125" i="14"/>
  <c r="F205" i="14"/>
  <c r="C253" i="15"/>
  <c r="C254" i="15"/>
  <c r="C223" i="15"/>
  <c r="C158" i="5"/>
  <c r="D246" i="15"/>
  <c r="E89" i="14"/>
  <c r="F89" i="14"/>
  <c r="E240" i="15"/>
  <c r="D253" i="15"/>
  <c r="E253" i="15" s="1"/>
  <c r="E37" i="14"/>
  <c r="F37" i="14" s="1"/>
  <c r="D106" i="14"/>
  <c r="D183" i="14"/>
  <c r="C286" i="14"/>
  <c r="C41" i="9"/>
  <c r="D24" i="5"/>
  <c r="C33" i="2"/>
  <c r="D288" i="14"/>
  <c r="D291" i="14" s="1"/>
  <c r="D305" i="14" s="1"/>
  <c r="C288" i="14"/>
  <c r="D48" i="9"/>
  <c r="C41" i="2"/>
  <c r="C48" i="2" s="1"/>
  <c r="D235" i="15"/>
  <c r="E306" i="15"/>
  <c r="D323" i="14"/>
  <c r="C322" i="14"/>
  <c r="F90" i="14"/>
  <c r="D289" i="14"/>
  <c r="E287" i="14"/>
  <c r="E173" i="14"/>
  <c r="F173" i="14" s="1"/>
  <c r="C175" i="14"/>
  <c r="D95" i="15"/>
  <c r="D84" i="15"/>
  <c r="D97" i="15"/>
  <c r="D98" i="15"/>
  <c r="D96" i="15"/>
  <c r="D83" i="15"/>
  <c r="D100" i="15"/>
  <c r="C92" i="14"/>
  <c r="E126" i="14"/>
  <c r="D194" i="14"/>
  <c r="D196" i="14" s="1"/>
  <c r="D282" i="14"/>
  <c r="D56" i="19"/>
  <c r="D48" i="19"/>
  <c r="D38" i="19"/>
  <c r="C50" i="14"/>
  <c r="D113" i="14"/>
  <c r="E140" i="14"/>
  <c r="E288" i="14"/>
  <c r="F288" i="14" s="1"/>
  <c r="F125" i="14"/>
  <c r="C289" i="14"/>
  <c r="F287" i="14"/>
  <c r="C291" i="14"/>
  <c r="C305" i="14" s="1"/>
  <c r="D181" i="15"/>
  <c r="D169" i="15"/>
  <c r="E169" i="15" s="1"/>
  <c r="E91" i="14"/>
  <c r="E49" i="14"/>
  <c r="E291" i="14"/>
  <c r="E322" i="14"/>
  <c r="E141" i="14"/>
  <c r="D148" i="14"/>
  <c r="C176" i="14"/>
  <c r="E175" i="14"/>
  <c r="E289" i="14"/>
  <c r="F291" i="14"/>
  <c r="E282" i="14"/>
  <c r="D281" i="14"/>
  <c r="D309" i="14"/>
  <c r="D197" i="14"/>
  <c r="C309" i="14"/>
  <c r="E309" i="14"/>
  <c r="D21" i="5"/>
  <c r="C208" i="14"/>
  <c r="E208" i="14" s="1"/>
  <c r="E207" i="14"/>
  <c r="D247" i="15"/>
  <c r="E19" i="2"/>
  <c r="F19" i="2"/>
  <c r="D33" i="2"/>
  <c r="F42" i="3"/>
  <c r="D76" i="15"/>
  <c r="E31" i="2"/>
  <c r="F31" i="2" s="1"/>
  <c r="E42" i="3"/>
  <c r="E43" i="3"/>
  <c r="F43" i="3"/>
  <c r="C95" i="3"/>
  <c r="E85" i="3"/>
  <c r="F85" i="3" s="1"/>
  <c r="E87" i="3"/>
  <c r="F87" i="3" s="1"/>
  <c r="E89" i="3"/>
  <c r="F89" i="3" s="1"/>
  <c r="E91" i="3"/>
  <c r="F91" i="3" s="1"/>
  <c r="C44" i="15"/>
  <c r="E22" i="1"/>
  <c r="F22" i="1" s="1"/>
  <c r="D41" i="1"/>
  <c r="E16" i="2"/>
  <c r="F16" i="2"/>
  <c r="E44" i="3"/>
  <c r="F44" i="3"/>
  <c r="E81" i="3"/>
  <c r="F81" i="3"/>
  <c r="D95" i="3"/>
  <c r="E95" i="3"/>
  <c r="E84" i="3"/>
  <c r="F84" i="3"/>
  <c r="E86" i="3"/>
  <c r="F86" i="3"/>
  <c r="E88" i="3"/>
  <c r="F88" i="3"/>
  <c r="E90" i="3"/>
  <c r="F90" i="3"/>
  <c r="E92" i="3"/>
  <c r="F92" i="3"/>
  <c r="E111" i="3"/>
  <c r="F111" i="3"/>
  <c r="F171" i="4"/>
  <c r="E166" i="3"/>
  <c r="F166" i="3" s="1"/>
  <c r="E179" i="3"/>
  <c r="F179" i="3" s="1"/>
  <c r="E24" i="4"/>
  <c r="F24" i="4" s="1"/>
  <c r="E35" i="4"/>
  <c r="F35" i="4"/>
  <c r="C83" i="4"/>
  <c r="E155" i="4"/>
  <c r="F155" i="4" s="1"/>
  <c r="E15" i="5"/>
  <c r="D43" i="5"/>
  <c r="D53" i="5"/>
  <c r="C43" i="8"/>
  <c r="E36" i="11"/>
  <c r="E38" i="11" s="1"/>
  <c r="E40" i="11" s="1"/>
  <c r="C176" i="4"/>
  <c r="C15" i="5"/>
  <c r="D57" i="5"/>
  <c r="D62" i="5"/>
  <c r="C207" i="6"/>
  <c r="E41" i="8"/>
  <c r="F41" i="8" s="1"/>
  <c r="E65" i="8"/>
  <c r="F65" i="8" s="1"/>
  <c r="D75" i="8"/>
  <c r="E75" i="8" s="1"/>
  <c r="F75" i="8"/>
  <c r="E112" i="7"/>
  <c r="F112" i="7"/>
  <c r="E44" i="14"/>
  <c r="F44" i="14"/>
  <c r="E53" i="14"/>
  <c r="F53" i="14"/>
  <c r="E67" i="14"/>
  <c r="F67" i="14"/>
  <c r="E100" i="14"/>
  <c r="F100" i="14"/>
  <c r="E135" i="14"/>
  <c r="F135" i="14"/>
  <c r="E188" i="14"/>
  <c r="F188" i="14"/>
  <c r="C190" i="14"/>
  <c r="C199" i="14"/>
  <c r="E199" i="14" s="1"/>
  <c r="C206" i="14"/>
  <c r="C262" i="14"/>
  <c r="F283" i="14"/>
  <c r="C121" i="7"/>
  <c r="C15" i="10"/>
  <c r="E15" i="10"/>
  <c r="E48" i="10"/>
  <c r="E42" i="10" s="1"/>
  <c r="C33" i="11"/>
  <c r="C36" i="11" s="1"/>
  <c r="E31" i="11"/>
  <c r="G31" i="11"/>
  <c r="E30" i="14"/>
  <c r="F30" i="14"/>
  <c r="F85" i="14"/>
  <c r="E123" i="14"/>
  <c r="F123" i="14" s="1"/>
  <c r="E189" i="14"/>
  <c r="F189" i="14" s="1"/>
  <c r="E198" i="14"/>
  <c r="F198" i="14" s="1"/>
  <c r="C267" i="14"/>
  <c r="E203" i="14"/>
  <c r="F203" i="14"/>
  <c r="C211" i="15"/>
  <c r="C234" i="15"/>
  <c r="C175" i="15"/>
  <c r="E175" i="15" s="1"/>
  <c r="D243" i="15"/>
  <c r="E243" i="15" s="1"/>
  <c r="F16" i="17"/>
  <c r="F44" i="17"/>
  <c r="F45" i="17"/>
  <c r="E101" i="19"/>
  <c r="E103" i="19"/>
  <c r="C65" i="15"/>
  <c r="C71" i="15"/>
  <c r="C76" i="15" s="1"/>
  <c r="C77" i="15"/>
  <c r="C189" i="15"/>
  <c r="E189" i="15"/>
  <c r="E215" i="15"/>
  <c r="D77" i="19"/>
  <c r="D110" i="19"/>
  <c r="C66" i="15"/>
  <c r="C294" i="15"/>
  <c r="E65" i="15"/>
  <c r="D252" i="15"/>
  <c r="E262" i="14"/>
  <c r="F262" i="14" s="1"/>
  <c r="C272" i="14"/>
  <c r="E207" i="6"/>
  <c r="F207" i="6" s="1"/>
  <c r="E24" i="5"/>
  <c r="E20" i="5" s="1"/>
  <c r="E17" i="5"/>
  <c r="F95" i="3"/>
  <c r="D259" i="15"/>
  <c r="D77" i="15"/>
  <c r="E83" i="4"/>
  <c r="F83" i="4" s="1"/>
  <c r="F208" i="14"/>
  <c r="C210" i="14"/>
  <c r="E71" i="15"/>
  <c r="C121" i="15"/>
  <c r="C112" i="15"/>
  <c r="C126" i="15"/>
  <c r="C124" i="15"/>
  <c r="C115" i="15"/>
  <c r="C235" i="15"/>
  <c r="E235" i="15"/>
  <c r="C181" i="15"/>
  <c r="E181" i="15"/>
  <c r="E267" i="14"/>
  <c r="C271" i="14"/>
  <c r="C270" i="14"/>
  <c r="C38" i="11"/>
  <c r="C40" i="11" s="1"/>
  <c r="F33" i="11"/>
  <c r="F36" i="11" s="1"/>
  <c r="F38" i="11"/>
  <c r="F40" i="11" s="1"/>
  <c r="E24" i="10"/>
  <c r="E20" i="10" s="1"/>
  <c r="E17" i="10"/>
  <c r="E28" i="10" s="1"/>
  <c r="E121" i="7"/>
  <c r="F121" i="7" s="1"/>
  <c r="E206" i="14"/>
  <c r="F199" i="14"/>
  <c r="G33" i="11"/>
  <c r="G36" i="11" s="1"/>
  <c r="G38" i="11" s="1"/>
  <c r="G40" i="11" s="1"/>
  <c r="F43" i="8"/>
  <c r="E43" i="8"/>
  <c r="C98" i="15"/>
  <c r="C83" i="15"/>
  <c r="C96" i="15"/>
  <c r="C85" i="15"/>
  <c r="C99" i="15"/>
  <c r="C97" i="15"/>
  <c r="C95" i="15"/>
  <c r="C258" i="15"/>
  <c r="C87" i="15"/>
  <c r="C100" i="15"/>
  <c r="C89" i="15"/>
  <c r="C101" i="15"/>
  <c r="C88" i="15"/>
  <c r="C90" i="15" s="1"/>
  <c r="C91" i="15" s="1"/>
  <c r="C105" i="15" s="1"/>
  <c r="C86" i="15"/>
  <c r="C84" i="15"/>
  <c r="E44" i="15"/>
  <c r="D41" i="2"/>
  <c r="E33" i="2"/>
  <c r="F33" i="2" s="1"/>
  <c r="C246" i="15"/>
  <c r="E246" i="15" s="1"/>
  <c r="E190" i="14"/>
  <c r="F190" i="14" s="1"/>
  <c r="E84" i="15"/>
  <c r="E95" i="15"/>
  <c r="E41" i="2"/>
  <c r="F41" i="2"/>
  <c r="D48" i="2"/>
  <c r="E48" i="2"/>
  <c r="F48" i="2" s="1"/>
  <c r="E83" i="15"/>
  <c r="D263" i="15"/>
  <c r="E28" i="5"/>
  <c r="E112" i="5"/>
  <c r="E111" i="5" s="1"/>
  <c r="C102" i="15"/>
  <c r="E96" i="15"/>
  <c r="E70" i="10"/>
  <c r="E72" i="10" s="1"/>
  <c r="E69" i="10" s="1"/>
  <c r="E22" i="10"/>
  <c r="E270" i="14"/>
  <c r="F270" i="14" s="1"/>
  <c r="E271" i="14"/>
  <c r="F271" i="14" s="1"/>
  <c r="C273" i="14"/>
  <c r="E210" i="14"/>
  <c r="F210" i="14" s="1"/>
  <c r="D126" i="15"/>
  <c r="E126" i="15" s="1"/>
  <c r="D122" i="15"/>
  <c r="D121" i="15"/>
  <c r="D127" i="15"/>
  <c r="E77" i="15"/>
  <c r="D115" i="15"/>
  <c r="E115" i="15"/>
  <c r="D111" i="15"/>
  <c r="D124" i="15"/>
  <c r="E124" i="15"/>
  <c r="D113" i="15"/>
  <c r="D109" i="15"/>
  <c r="D110" i="15"/>
  <c r="D116" i="15" s="1"/>
  <c r="D125" i="15"/>
  <c r="D114" i="15"/>
  <c r="D123" i="15"/>
  <c r="D112" i="15"/>
  <c r="E112" i="15"/>
  <c r="E272" i="14"/>
  <c r="F272" i="14" s="1"/>
  <c r="E252" i="15"/>
  <c r="D254" i="15"/>
  <c r="E254" i="15" s="1"/>
  <c r="E66" i="15"/>
  <c r="C247" i="15"/>
  <c r="E247" i="15"/>
  <c r="C295" i="15"/>
  <c r="E295" i="15"/>
  <c r="E121" i="15"/>
  <c r="E99" i="5"/>
  <c r="E101" i="5" s="1"/>
  <c r="E98" i="5" s="1"/>
  <c r="E22" i="5"/>
  <c r="D128" i="15"/>
  <c r="C103" i="15"/>
  <c r="D117" i="15" l="1"/>
  <c r="D109" i="19"/>
  <c r="D108" i="19"/>
  <c r="D113" i="19"/>
  <c r="C110" i="15"/>
  <c r="C127" i="15"/>
  <c r="E127" i="15" s="1"/>
  <c r="C113" i="15"/>
  <c r="E113" i="15" s="1"/>
  <c r="C125" i="15"/>
  <c r="E125" i="15" s="1"/>
  <c r="C123" i="15"/>
  <c r="E123" i="15" s="1"/>
  <c r="C122" i="15"/>
  <c r="C111" i="15"/>
  <c r="E111" i="15" s="1"/>
  <c r="E50" i="14"/>
  <c r="E100" i="15"/>
  <c r="D102" i="15"/>
  <c r="E102" i="15" s="1"/>
  <c r="E97" i="15"/>
  <c r="D103" i="15"/>
  <c r="E103" i="15" s="1"/>
  <c r="E305" i="14"/>
  <c r="D70" i="14"/>
  <c r="F91" i="14"/>
  <c r="F49" i="14"/>
  <c r="E193" i="14"/>
  <c r="F193" i="14" s="1"/>
  <c r="D266" i="14"/>
  <c r="E92" i="14"/>
  <c r="F92" i="14" s="1"/>
  <c r="D324" i="14"/>
  <c r="E46" i="17"/>
  <c r="F46" i="17" s="1"/>
  <c r="F43" i="17"/>
  <c r="E160" i="14"/>
  <c r="F160" i="14" s="1"/>
  <c r="D53" i="19"/>
  <c r="D39" i="19"/>
  <c r="D29" i="19"/>
  <c r="E138" i="14"/>
  <c r="F138" i="14" s="1"/>
  <c r="D139" i="14"/>
  <c r="F207" i="14"/>
  <c r="F41" i="17"/>
  <c r="E223" i="15"/>
  <c r="C127" i="14"/>
  <c r="F126" i="14"/>
  <c r="F261" i="14"/>
  <c r="E176" i="14"/>
  <c r="F176" i="14" s="1"/>
  <c r="F33" i="9"/>
  <c r="D112" i="5"/>
  <c r="D111" i="5" s="1"/>
  <c r="D28" i="5"/>
  <c r="D99" i="5" s="1"/>
  <c r="D101" i="5" s="1"/>
  <c r="D98" i="5" s="1"/>
  <c r="D129" i="15"/>
  <c r="C114" i="15"/>
  <c r="E114" i="15" s="1"/>
  <c r="C109" i="15"/>
  <c r="D111" i="19"/>
  <c r="E76" i="15"/>
  <c r="C259" i="15"/>
  <c r="F267" i="14"/>
  <c r="C268" i="14"/>
  <c r="C24" i="10"/>
  <c r="C20" i="10" s="1"/>
  <c r="C17" i="10"/>
  <c r="C28" i="10" s="1"/>
  <c r="F206" i="14"/>
  <c r="C24" i="5"/>
  <c r="C20" i="5" s="1"/>
  <c r="C17" i="5"/>
  <c r="E41" i="1"/>
  <c r="F41" i="1" s="1"/>
  <c r="D43" i="1"/>
  <c r="E43" i="1" s="1"/>
  <c r="F43" i="1" s="1"/>
  <c r="F309" i="14"/>
  <c r="D195" i="14"/>
  <c r="F305" i="14"/>
  <c r="F289" i="14"/>
  <c r="F50" i="14"/>
  <c r="E98" i="15"/>
  <c r="F175" i="14"/>
  <c r="F322" i="14"/>
  <c r="C48" i="9"/>
  <c r="E41" i="9"/>
  <c r="F41" i="9" s="1"/>
  <c r="D304" i="14"/>
  <c r="D273" i="14"/>
  <c r="E273" i="14" s="1"/>
  <c r="F273" i="14" s="1"/>
  <c r="E234" i="15"/>
  <c r="E294" i="15"/>
  <c r="F282" i="14"/>
  <c r="E103" i="14"/>
  <c r="F103" i="14" s="1"/>
  <c r="C105" i="14"/>
  <c r="F141" i="14"/>
  <c r="C211" i="14"/>
  <c r="C56" i="19"/>
  <c r="C38" i="19"/>
  <c r="E215" i="14"/>
  <c r="D216" i="14"/>
  <c r="E216" i="14" s="1"/>
  <c r="F216" i="14" s="1"/>
  <c r="E285" i="14"/>
  <c r="F285" i="14" s="1"/>
  <c r="D286" i="14"/>
  <c r="E286" i="14" s="1"/>
  <c r="F286" i="14" s="1"/>
  <c r="C281" i="14"/>
  <c r="F140" i="14"/>
  <c r="D99" i="15"/>
  <c r="E99" i="15" s="1"/>
  <c r="D88" i="15"/>
  <c r="E88" i="15" s="1"/>
  <c r="D101" i="15"/>
  <c r="E101" i="15" s="1"/>
  <c r="D86" i="15"/>
  <c r="E86" i="15" s="1"/>
  <c r="D87" i="15"/>
  <c r="E87" i="15" s="1"/>
  <c r="D85" i="15"/>
  <c r="D258" i="15"/>
  <c r="D89" i="15"/>
  <c r="E89" i="15" s="1"/>
  <c r="F215" i="14"/>
  <c r="F269" i="14"/>
  <c r="C263" i="14"/>
  <c r="D20" i="5"/>
  <c r="E222" i="15"/>
  <c r="C304" i="14"/>
  <c r="D137" i="5"/>
  <c r="D141" i="5" s="1"/>
  <c r="C161" i="14"/>
  <c r="E21" i="14"/>
  <c r="F21" i="14" s="1"/>
  <c r="D284" i="15"/>
  <c r="E284" i="15" s="1"/>
  <c r="D17" i="10"/>
  <c r="D28" i="10" s="1"/>
  <c r="C194" i="14"/>
  <c r="C47" i="19"/>
  <c r="E135" i="5"/>
  <c r="E141" i="5" s="1"/>
  <c r="D152" i="5"/>
  <c r="C65" i="1"/>
  <c r="C75" i="1" s="1"/>
  <c r="D156" i="5"/>
  <c r="D176" i="4"/>
  <c r="E176" i="4" s="1"/>
  <c r="F176" i="4" s="1"/>
  <c r="D157" i="5"/>
  <c r="E155" i="5"/>
  <c r="E154" i="5"/>
  <c r="D75" i="1"/>
  <c r="D65" i="1"/>
  <c r="E65" i="1" s="1"/>
  <c r="E61" i="1"/>
  <c r="F61" i="1" s="1"/>
  <c r="F25" i="3"/>
  <c r="E38" i="3"/>
  <c r="F38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F94" i="3"/>
  <c r="E137" i="3"/>
  <c r="F137" i="3" s="1"/>
  <c r="E18" i="4"/>
  <c r="F18" i="4" s="1"/>
  <c r="E30" i="4"/>
  <c r="F30" i="4" s="1"/>
  <c r="F198" i="6"/>
  <c r="C77" i="5"/>
  <c r="C71" i="5" s="1"/>
  <c r="E199" i="6"/>
  <c r="F199" i="6" s="1"/>
  <c r="E200" i="6"/>
  <c r="F200" i="6" s="1"/>
  <c r="E201" i="6"/>
  <c r="F201" i="6" s="1"/>
  <c r="E202" i="6"/>
  <c r="F202" i="6" s="1"/>
  <c r="C208" i="6"/>
  <c r="F203" i="6"/>
  <c r="F120" i="7"/>
  <c r="C122" i="7"/>
  <c r="F113" i="7"/>
  <c r="E22" i="8"/>
  <c r="F22" i="8" s="1"/>
  <c r="E29" i="8"/>
  <c r="F29" i="8" s="1"/>
  <c r="F13" i="13"/>
  <c r="F17" i="13"/>
  <c r="F21" i="13"/>
  <c r="C60" i="14"/>
  <c r="E242" i="15"/>
  <c r="E20" i="17"/>
  <c r="F20" i="17" s="1"/>
  <c r="E38" i="8"/>
  <c r="F38" i="8" s="1"/>
  <c r="E124" i="14"/>
  <c r="F124" i="14" s="1"/>
  <c r="C264" i="14"/>
  <c r="E220" i="15"/>
  <c r="E221" i="15"/>
  <c r="C326" i="15"/>
  <c r="C64" i="16"/>
  <c r="C65" i="16" s="1"/>
  <c r="C114" i="16" s="1"/>
  <c r="C116" i="16" s="1"/>
  <c r="C119" i="16" s="1"/>
  <c r="C123" i="16" s="1"/>
  <c r="E34" i="19"/>
  <c r="E136" i="14"/>
  <c r="F136" i="14" s="1"/>
  <c r="C181" i="14"/>
  <c r="F297" i="14"/>
  <c r="E25" i="17"/>
  <c r="F25" i="17" s="1"/>
  <c r="E36" i="17"/>
  <c r="F36" i="17" s="1"/>
  <c r="E22" i="19"/>
  <c r="C300" i="14" l="1"/>
  <c r="E264" i="14"/>
  <c r="F264" i="14" s="1"/>
  <c r="C265" i="14"/>
  <c r="E122" i="7"/>
  <c r="F122" i="7"/>
  <c r="E158" i="5"/>
  <c r="D158" i="5"/>
  <c r="D22" i="10"/>
  <c r="D70" i="10"/>
  <c r="D72" i="10" s="1"/>
  <c r="D69" i="10" s="1"/>
  <c r="E263" i="14"/>
  <c r="F263" i="14" s="1"/>
  <c r="E85" i="15"/>
  <c r="D90" i="15"/>
  <c r="C106" i="14"/>
  <c r="E105" i="14"/>
  <c r="F105" i="14" s="1"/>
  <c r="E304" i="14"/>
  <c r="D310" i="14"/>
  <c r="C70" i="10"/>
  <c r="C72" i="10" s="1"/>
  <c r="C69" i="10" s="1"/>
  <c r="C22" i="10"/>
  <c r="F268" i="14"/>
  <c r="E268" i="14"/>
  <c r="C263" i="15"/>
  <c r="E259" i="15"/>
  <c r="E208" i="6"/>
  <c r="F208" i="6" s="1"/>
  <c r="C148" i="14"/>
  <c r="E127" i="14"/>
  <c r="F127" i="14" s="1"/>
  <c r="D37" i="19"/>
  <c r="D55" i="19"/>
  <c r="D112" i="19"/>
  <c r="D47" i="19"/>
  <c r="D325" i="14"/>
  <c r="E266" i="14"/>
  <c r="F266" i="14" s="1"/>
  <c r="D265" i="14"/>
  <c r="E265" i="14" s="1"/>
  <c r="C116" i="15"/>
  <c r="E116" i="15" s="1"/>
  <c r="E110" i="15"/>
  <c r="E53" i="19"/>
  <c r="E110" i="19"/>
  <c r="E35" i="19"/>
  <c r="E45" i="19"/>
  <c r="E39" i="19"/>
  <c r="E29" i="19"/>
  <c r="E181" i="14"/>
  <c r="F181" i="14" s="1"/>
  <c r="C330" i="15"/>
  <c r="E330" i="15" s="1"/>
  <c r="E326" i="15"/>
  <c r="C61" i="14"/>
  <c r="E60" i="14"/>
  <c r="F60" i="14" s="1"/>
  <c r="E75" i="1"/>
  <c r="F75" i="1" s="1"/>
  <c r="F65" i="1"/>
  <c r="F194" i="14"/>
  <c r="C196" i="14"/>
  <c r="C195" i="14"/>
  <c r="E194" i="14"/>
  <c r="C162" i="14"/>
  <c r="E161" i="14"/>
  <c r="F161" i="14" s="1"/>
  <c r="C310" i="14"/>
  <c r="F304" i="14"/>
  <c r="E258" i="15"/>
  <c r="D264" i="15"/>
  <c r="F211" i="14"/>
  <c r="E211" i="14"/>
  <c r="F48" i="9"/>
  <c r="E48" i="9"/>
  <c r="E281" i="14"/>
  <c r="F281" i="14" s="1"/>
  <c r="C112" i="5"/>
  <c r="C111" i="5" s="1"/>
  <c r="C28" i="5"/>
  <c r="C117" i="15"/>
  <c r="E109" i="15"/>
  <c r="D22" i="5"/>
  <c r="C128" i="15"/>
  <c r="E122" i="15"/>
  <c r="D131" i="15"/>
  <c r="E117" i="15"/>
  <c r="C99" i="5" l="1"/>
  <c r="C101" i="5" s="1"/>
  <c r="C98" i="5" s="1"/>
  <c r="C22" i="5"/>
  <c r="D266" i="15"/>
  <c r="C323" i="14"/>
  <c r="C183" i="14"/>
  <c r="E162" i="14"/>
  <c r="F162" i="14" s="1"/>
  <c r="C104" i="14"/>
  <c r="F61" i="14"/>
  <c r="C209" i="14"/>
  <c r="C62" i="14"/>
  <c r="E61" i="14"/>
  <c r="C174" i="14"/>
  <c r="C139" i="14"/>
  <c r="E47" i="19"/>
  <c r="E112" i="19"/>
  <c r="E55" i="19"/>
  <c r="E37" i="19"/>
  <c r="E263" i="15"/>
  <c r="C264" i="15"/>
  <c r="C266" i="15" s="1"/>
  <c r="C267" i="15" s="1"/>
  <c r="E310" i="14"/>
  <c r="D312" i="14"/>
  <c r="D91" i="15"/>
  <c r="E90" i="15"/>
  <c r="C129" i="15"/>
  <c r="E129" i="15" s="1"/>
  <c r="E128" i="15"/>
  <c r="C131" i="15"/>
  <c r="E131" i="15" s="1"/>
  <c r="C312" i="14"/>
  <c r="F310" i="14"/>
  <c r="E196" i="14"/>
  <c r="F196" i="14" s="1"/>
  <c r="C197" i="14"/>
  <c r="F148" i="14"/>
  <c r="E148" i="14"/>
  <c r="E195" i="14"/>
  <c r="F195" i="14" s="1"/>
  <c r="C113" i="14"/>
  <c r="E106" i="14"/>
  <c r="F106" i="14" s="1"/>
  <c r="C324" i="14"/>
  <c r="F265" i="14"/>
  <c r="F300" i="14"/>
  <c r="E300" i="14"/>
  <c r="C325" i="14" l="1"/>
  <c r="E324" i="14"/>
  <c r="F324" i="14" s="1"/>
  <c r="E197" i="14"/>
  <c r="F197" i="14" s="1"/>
  <c r="C313" i="14"/>
  <c r="D105" i="15"/>
  <c r="E105" i="15" s="1"/>
  <c r="E91" i="15"/>
  <c r="E139" i="14"/>
  <c r="F139" i="14" s="1"/>
  <c r="E209" i="14"/>
  <c r="F209" i="14" s="1"/>
  <c r="E104" i="14"/>
  <c r="F104" i="14"/>
  <c r="E266" i="15"/>
  <c r="D267" i="15"/>
  <c r="E113" i="14"/>
  <c r="F113" i="14" s="1"/>
  <c r="E312" i="14"/>
  <c r="F312" i="14" s="1"/>
  <c r="D313" i="14"/>
  <c r="C268" i="15"/>
  <c r="C269" i="15"/>
  <c r="E174" i="14"/>
  <c r="F174" i="14" s="1"/>
  <c r="C63" i="14"/>
  <c r="E62" i="14"/>
  <c r="F62" i="14" s="1"/>
  <c r="F183" i="14"/>
  <c r="E183" i="14"/>
  <c r="F323" i="14"/>
  <c r="E323" i="14"/>
  <c r="E264" i="15"/>
  <c r="E63" i="14" l="1"/>
  <c r="F63" i="14" s="1"/>
  <c r="C70" i="14"/>
  <c r="C271" i="15"/>
  <c r="E325" i="14"/>
  <c r="F325" i="14" s="1"/>
  <c r="D314" i="14"/>
  <c r="D251" i="14"/>
  <c r="E313" i="14"/>
  <c r="D256" i="14"/>
  <c r="D315" i="14"/>
  <c r="D268" i="15"/>
  <c r="D269" i="15"/>
  <c r="E269" i="15" s="1"/>
  <c r="E267" i="15"/>
  <c r="C251" i="14"/>
  <c r="C256" i="14"/>
  <c r="F313" i="14"/>
  <c r="C314" i="14"/>
  <c r="C315" i="14"/>
  <c r="C318" i="14" l="1"/>
  <c r="C257" i="14"/>
  <c r="D271" i="15"/>
  <c r="E271" i="15" s="1"/>
  <c r="E268" i="15"/>
  <c r="D257" i="14"/>
  <c r="E257" i="14" s="1"/>
  <c r="E256" i="14"/>
  <c r="F256" i="14" s="1"/>
  <c r="E251" i="14"/>
  <c r="F251" i="14" s="1"/>
  <c r="E315" i="14"/>
  <c r="F315" i="14" s="1"/>
  <c r="E314" i="14"/>
  <c r="F314" i="14" s="1"/>
  <c r="D318" i="14"/>
  <c r="E318" i="14" s="1"/>
  <c r="E70" i="14"/>
  <c r="F70" i="14" s="1"/>
  <c r="F257" i="14" l="1"/>
  <c r="F318" i="14"/>
</calcChain>
</file>

<file path=xl/sharedStrings.xml><?xml version="1.0" encoding="utf-8"?>
<sst xmlns="http://schemas.openxmlformats.org/spreadsheetml/2006/main" count="2300" uniqueCount="978">
  <si>
    <t>SAINT VINCENT`S MEDICAL CENTER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</si>
  <si>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</si>
  <si>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</si>
  <si>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</si>
  <si>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</si>
  <si>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</si>
  <si>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</si>
  <si>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</si>
  <si>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</si>
  <si>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</si>
  <si>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</si>
  <si>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</si>
  <si>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</si>
  <si>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</si>
  <si>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</si>
  <si>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</si>
  <si>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</si>
  <si>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</si>
  <si>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</si>
  <si>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</si>
  <si>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</si>
  <si>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</si>
  <si>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</si>
  <si>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</si>
  <si>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</si>
  <si>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</si>
  <si>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</si>
  <si>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</si>
  <si>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</si>
  <si>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</si>
  <si>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</si>
  <si>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</si>
  <si>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</si>
  <si>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</si>
  <si>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</si>
  <si>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</si>
  <si>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</si>
  <si>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</si>
  <si>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</si>
  <si>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</si>
  <si>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</si>
  <si>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</si>
  <si>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</si>
  <si>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</si>
  <si>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</si>
  <si>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</si>
  <si>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</si>
  <si>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</si>
  <si>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</si>
  <si>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</si>
  <si>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</si>
  <si>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</si>
  <si>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</si>
  <si>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</si>
  <si>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</si>
  <si>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</si>
  <si>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</si>
  <si>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</si>
  <si>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</si>
  <si>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</si>
  <si>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</si>
  <si>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</si>
  <si>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</si>
  <si>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</si>
  <si>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</si>
  <si>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</si>
  <si>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</si>
  <si>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</si>
  <si>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</si>
  <si>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</si>
  <si>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</si>
  <si>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</si>
  <si>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</si>
  <si>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</si>
  <si>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</si>
  <si>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</si>
  <si>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</si>
  <si>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</si>
  <si>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</si>
  <si>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</si>
  <si>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</si>
  <si>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</si>
  <si>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</si>
  <si>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</si>
  <si>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</si>
  <si>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</si>
  <si>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</si>
  <si>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</si>
  <si>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</si>
  <si>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</si>
  <si>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</si>
  <si>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</si>
  <si>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</si>
  <si>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</si>
  <si>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</si>
  <si>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</si>
  <si>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</si>
  <si>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</si>
  <si>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</si>
  <si>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</si>
  <si>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</si>
  <si>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</si>
  <si>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</si>
  <si>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</si>
  <si>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</si>
  <si>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</si>
  <si>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</si>
  <si>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</si>
  <si>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</si>
  <si>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</si>
  <si>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</si>
  <si>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</si>
  <si>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</si>
  <si>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</si>
  <si>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</si>
  <si>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</si>
  <si>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</si>
  <si>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</si>
  <si>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</si>
  <si>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</si>
  <si>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</si>
  <si>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</si>
  <si>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</si>
  <si>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</si>
  <si>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</si>
  <si>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</si>
  <si>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</si>
  <si>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</si>
  <si>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</si>
  <si>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</si>
  <si>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</si>
  <si>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</si>
  <si>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</si>
  <si>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</si>
  <si>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</si>
  <si>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</si>
  <si>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</si>
  <si>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</si>
  <si>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</si>
  <si>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</si>
  <si>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</si>
  <si>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</si>
  <si>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</si>
  <si>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</si>
  <si>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</si>
  <si>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</si>
  <si>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</si>
  <si>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</si>
  <si>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</si>
  <si>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</si>
  <si>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</si>
  <si>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</si>
  <si>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</si>
  <si>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</si>
  <si>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</si>
  <si>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</si>
  <si>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</si>
  <si>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</si>
  <si>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</si>
  <si>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</si>
  <si>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</si>
  <si>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</si>
  <si>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</si>
  <si>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</si>
  <si>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</si>
  <si>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</si>
  <si>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</si>
  <si>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</si>
  <si>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</si>
  <si>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</si>
  <si>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</si>
  <si>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</si>
  <si>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</si>
  <si>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</si>
  <si>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</si>
  <si>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</si>
  <si>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</si>
  <si>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</si>
  <si>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</si>
  <si>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</si>
  <si>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</si>
  <si>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</si>
  <si>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</si>
  <si>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</si>
  <si>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</si>
  <si>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</si>
  <si>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</si>
  <si>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</si>
  <si>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</si>
  <si>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</si>
  <si>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</si>
  <si>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</si>
  <si>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</si>
  <si>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</si>
  <si>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</si>
  <si>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</si>
  <si>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</si>
  <si>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</si>
  <si>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</si>
  <si>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</si>
  <si>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</si>
  <si>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</si>
  <si>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</si>
  <si>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</si>
  <si>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</si>
  <si>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</si>
  <si>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</si>
  <si>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</si>
  <si>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</si>
  <si>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</si>
  <si>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</si>
  <si>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</si>
  <si>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</si>
  <si>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</si>
  <si>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</si>
  <si>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</si>
  <si>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</si>
  <si>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</si>
  <si>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</si>
  <si>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</si>
  <si>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</si>
  <si>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</si>
  <si>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</si>
  <si>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</si>
  <si>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</si>
  <si>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</si>
  <si>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</si>
  <si>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</si>
  <si>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</si>
  <si>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</si>
  <si>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</si>
  <si>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</si>
  <si>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</si>
  <si>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</si>
  <si>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</si>
  <si>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</si>
  <si>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</si>
  <si>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</si>
  <si>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</si>
  <si>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</si>
  <si>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</si>
  <si>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</si>
  <si>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</si>
  <si>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</si>
  <si>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</si>
  <si>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</si>
  <si>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</si>
  <si>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</si>
  <si>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</si>
  <si>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</si>
  <si>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</si>
  <si>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</si>
  <si>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</si>
  <si>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</si>
  <si>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</si>
  <si>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</si>
  <si>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</si>
  <si>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</si>
  <si>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</si>
  <si>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</si>
  <si>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</si>
  <si>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</si>
  <si>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</si>
  <si>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</si>
  <si>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</si>
  <si>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</si>
  <si>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</si>
  <si>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</si>
  <si>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</si>
  <si>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</si>
  <si>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</si>
  <si>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</si>
  <si>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</si>
  <si>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</si>
  <si>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</si>
  <si>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</si>
  <si>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</si>
  <si>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</si>
  <si>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</si>
  <si>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</si>
  <si>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</si>
  <si>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</si>
  <si>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</si>
  <si>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</si>
  <si>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</si>
  <si>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</si>
  <si>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</si>
  <si>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</si>
  <si>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</si>
  <si>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</si>
  <si>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</si>
  <si>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</si>
  <si>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</si>
  <si>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</si>
  <si>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</si>
  <si>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</si>
  <si>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</si>
  <si>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</si>
  <si>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</si>
  <si>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</si>
  <si>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</si>
  <si>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</si>
  <si>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</si>
  <si>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</si>
  <si>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</si>
  <si>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</si>
  <si>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</si>
  <si>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</si>
  <si>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</si>
  <si>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</si>
  <si>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</si>
  <si>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</si>
  <si>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</si>
  <si>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</si>
  <si>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</si>
  <si>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</si>
  <si>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</si>
  <si>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</si>
  <si>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</si>
  <si>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</si>
  <si>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</si>
  <si>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</si>
  <si>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</si>
  <si>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</si>
  <si>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</si>
  <si>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</si>
  <si>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</si>
  <si>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</si>
  <si>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</si>
  <si>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</si>
  <si>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</si>
  <si>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</si>
  <si>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</si>
  <si>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</si>
  <si>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</si>
  <si>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</si>
  <si>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</si>
  <si>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</si>
  <si>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</si>
  <si>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</si>
  <si>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</si>
  <si>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</si>
  <si>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</si>
  <si>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</si>
  <si>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</si>
  <si>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</si>
  <si>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</si>
  <si>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</si>
  <si>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</si>
  <si>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</si>
  <si>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</si>
  <si>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</si>
  <si>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</si>
  <si>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</si>
  <si>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</si>
  <si>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</si>
  <si>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</si>
  <si>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</si>
  <si>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</si>
  <si>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</si>
  <si>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</si>
  <si>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</si>
  <si>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</si>
  <si>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</si>
  <si>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</si>
  <si>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</si>
  <si>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</si>
  <si>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</si>
  <si>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</si>
  <si>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</si>
  <si>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</si>
  <si>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</si>
  <si>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</si>
  <si>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</si>
  <si>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</si>
  <si>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</si>
  <si>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</si>
  <si>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</si>
  <si>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</si>
  <si>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</si>
  <si>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</si>
  <si>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</si>
  <si>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</si>
  <si>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</si>
  <si>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</si>
  <si>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</si>
  <si>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</si>
  <si>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</si>
  <si>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</si>
  <si>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</si>
  <si>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</si>
  <si>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</si>
  <si>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</si>
  <si>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</si>
  <si>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</si>
  <si>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</si>
  <si>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</si>
  <si>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</si>
  <si>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</si>
  <si>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</si>
  <si>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</si>
  <si>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</si>
  <si>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</si>
  <si>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</si>
  <si>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</si>
  <si>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</si>
  <si>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</si>
  <si>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</si>
  <si>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</si>
  <si>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</si>
  <si>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</si>
  <si>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</si>
  <si>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</si>
  <si>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</si>
  <si>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</si>
  <si>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</si>
  <si>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</si>
  <si>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</si>
  <si>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</si>
  <si>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</si>
  <si>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</si>
  <si>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</si>
  <si>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</si>
  <si>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</si>
  <si>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</si>
  <si>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</si>
  <si>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</si>
  <si>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</si>
  <si>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</si>
  <si>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</si>
  <si>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</si>
  <si>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</si>
  <si>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</si>
  <si>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</si>
  <si>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</si>
  <si>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</si>
  <si>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</si>
  <si>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</si>
  <si>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</si>
  <si>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</si>
  <si>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</si>
  <si>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</si>
  <si>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</si>
  <si>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</si>
  <si>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</si>
  <si>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</si>
  <si>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</si>
  <si>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</si>
  <si>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</si>
  <si>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</si>
  <si>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</si>
  <si>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</si>
  <si>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</si>
  <si>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</si>
  <si>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</si>
  <si>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</si>
  <si>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</si>
  <si>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</si>
  <si>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</si>
  <si>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</si>
  <si>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</si>
  <si>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</si>
  <si>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</si>
  <si>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</si>
  <si>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</si>
  <si>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</si>
  <si>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</si>
  <si>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</si>
  <si>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</si>
  <si>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</si>
  <si>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</si>
  <si>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</si>
  <si>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</si>
  <si>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</si>
  <si>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</si>
  <si>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</si>
  <si>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</si>
  <si>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</si>
  <si>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</si>
  <si>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 VINCENTS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</si>
  <si>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</si>
  <si>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</si>
  <si>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</si>
  <si>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</si>
  <si>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</si>
  <si>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</si>
  <si>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</si>
  <si>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</si>
  <si>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</si>
  <si>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</si>
  <si>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</si>
  <si>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</si>
  <si>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</si>
  <si>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</si>
  <si>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</si>
  <si>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</si>
  <si>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</si>
  <si>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</si>
  <si>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</si>
  <si>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</si>
  <si>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</si>
  <si>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</si>
  <si>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</si>
  <si>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</si>
  <si>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</si>
  <si>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</si>
  <si>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</si>
  <si>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</si>
  <si>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</si>
  <si>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</si>
  <si>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</si>
  <si>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</si>
  <si>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</si>
  <si>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</si>
  <si>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</si>
  <si>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</si>
  <si>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</si>
  <si>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</si>
  <si>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</si>
  <si>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</si>
  <si>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</si>
  <si>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</si>
  <si>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</si>
  <si>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</si>
  <si>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</si>
  <si>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</si>
  <si>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</si>
  <si>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</si>
  <si>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</si>
  <si>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</si>
  <si>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</si>
  <si>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</si>
  <si>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</si>
  <si>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</si>
  <si>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</si>
  <si>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</si>
  <si>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</si>
  <si>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</si>
  <si>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</si>
  <si>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</si>
  <si>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</si>
  <si>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</si>
  <si>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</si>
  <si>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</si>
  <si>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</si>
  <si>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</si>
  <si>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</si>
  <si>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</si>
  <si>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</si>
  <si>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</si>
  <si>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</si>
  <si>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</si>
  <si>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</si>
  <si>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</si>
  <si>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</si>
  <si>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</si>
  <si>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</si>
  <si>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</si>
  <si>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</si>
  <si>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</si>
  <si>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</si>
  <si>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</si>
  <si>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</si>
  <si>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</si>
  <si>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</si>
  <si>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</si>
  <si>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</si>
  <si>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</si>
  <si>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</si>
  <si>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</si>
  <si>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</si>
  <si>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</si>
  <si>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</si>
  <si>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</si>
  <si>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</si>
  <si>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</si>
  <si>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</si>
  <si>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</si>
  <si>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</si>
  <si>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</si>
  <si>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</si>
  <si>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</si>
  <si>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</si>
  <si>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St. Vincents Medical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</si>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</sst>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164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B3" sqref="B3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10599000</v>
      </c>
      <c r="D13" s="23">
        <v>6014000</v>
      </c>
      <c r="E13" s="23">
        <f t="shared" ref="E13:E22" si="0">D13-C13</f>
        <v>-4585000</v>
      </c>
      <c r="F13" s="24">
        <f t="shared" ref="F13:F22" si="1">IF(C13=0,0,E13/C13)</f>
        <v>-0.43258797999811305</v>
      </c>
    </row>
    <row r="14" spans="1:8" ht="24" customHeight="1" x14ac:dyDescent="0.2">
      <c r="A14" s="21">
        <v>2</v>
      </c>
      <c r="B14" s="22" t="s">
        <v>17</v>
      </c>
      <c r="C14" s="23">
        <v>7793000</v>
      </c>
      <c r="D14" s="23">
        <v>15056000</v>
      </c>
      <c r="E14" s="23">
        <f t="shared" si="0"/>
        <v>7263000</v>
      </c>
      <c r="F14" s="24">
        <f t="shared" si="1"/>
        <v>0.93199024765815475</v>
      </c>
    </row>
    <row r="15" spans="1:8" ht="32.25" customHeight="1" x14ac:dyDescent="0.2">
      <c r="A15" s="21">
        <v>3</v>
      </c>
      <c r="B15" s="22" t="s">
        <v>18</v>
      </c>
      <c r="C15" s="23">
        <v>40833000</v>
      </c>
      <c r="D15" s="23">
        <v>44277000</v>
      </c>
      <c r="E15" s="23">
        <f t="shared" si="0"/>
        <v>3444000</v>
      </c>
      <c r="F15" s="24">
        <f t="shared" si="1"/>
        <v>8.4343545661597241E-2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2905000</v>
      </c>
      <c r="D17" s="23">
        <v>11057000</v>
      </c>
      <c r="E17" s="23">
        <f t="shared" si="0"/>
        <v>8152000</v>
      </c>
      <c r="F17" s="24">
        <f t="shared" si="1"/>
        <v>2.806196213425129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4070000</v>
      </c>
      <c r="D19" s="23">
        <v>3849000</v>
      </c>
      <c r="E19" s="23">
        <f t="shared" si="0"/>
        <v>-221000</v>
      </c>
      <c r="F19" s="24">
        <f t="shared" si="1"/>
        <v>-5.4299754299754296E-2</v>
      </c>
    </row>
    <row r="20" spans="1:11" ht="24" customHeight="1" x14ac:dyDescent="0.2">
      <c r="A20" s="21">
        <v>8</v>
      </c>
      <c r="B20" s="22" t="s">
        <v>23</v>
      </c>
      <c r="C20" s="23">
        <v>2410000</v>
      </c>
      <c r="D20" s="23">
        <v>2737000</v>
      </c>
      <c r="E20" s="23">
        <f t="shared" si="0"/>
        <v>327000</v>
      </c>
      <c r="F20" s="24">
        <f t="shared" si="1"/>
        <v>0.13568464730290455</v>
      </c>
    </row>
    <row r="21" spans="1:11" ht="24" customHeight="1" x14ac:dyDescent="0.2">
      <c r="A21" s="21">
        <v>9</v>
      </c>
      <c r="B21" s="22" t="s">
        <v>24</v>
      </c>
      <c r="C21" s="23">
        <v>1082000</v>
      </c>
      <c r="D21" s="23">
        <v>1144000</v>
      </c>
      <c r="E21" s="23">
        <f t="shared" si="0"/>
        <v>62000</v>
      </c>
      <c r="F21" s="24">
        <f t="shared" si="1"/>
        <v>5.730129390018484E-2</v>
      </c>
    </row>
    <row r="22" spans="1:11" ht="24" customHeight="1" x14ac:dyDescent="0.25">
      <c r="A22" s="25"/>
      <c r="B22" s="26" t="s">
        <v>25</v>
      </c>
      <c r="C22" s="27">
        <f>SUM(C13:C21)</f>
        <v>69692000</v>
      </c>
      <c r="D22" s="27">
        <f>SUM(D13:D21)</f>
        <v>84134000</v>
      </c>
      <c r="E22" s="27">
        <f t="shared" si="0"/>
        <v>14442000</v>
      </c>
      <c r="F22" s="28">
        <f t="shared" si="1"/>
        <v>0.20722608046834645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174181000</v>
      </c>
      <c r="D28" s="23">
        <v>192369000</v>
      </c>
      <c r="E28" s="23">
        <f>D28-C28</f>
        <v>18188000</v>
      </c>
      <c r="F28" s="24">
        <f>IF(C28=0,0,E28/C28)</f>
        <v>0.10442011470826325</v>
      </c>
    </row>
    <row r="29" spans="1:11" ht="24" customHeight="1" x14ac:dyDescent="0.25">
      <c r="A29" s="25"/>
      <c r="B29" s="26" t="s">
        <v>32</v>
      </c>
      <c r="C29" s="27">
        <f>SUM(C25:C28)</f>
        <v>174181000</v>
      </c>
      <c r="D29" s="27">
        <f>SUM(D25:D28)</f>
        <v>192369000</v>
      </c>
      <c r="E29" s="27">
        <f>D29-C29</f>
        <v>18188000</v>
      </c>
      <c r="F29" s="28">
        <f>IF(C29=0,0,E29/C29)</f>
        <v>0.10442011470826325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41403000</v>
      </c>
      <c r="D31" s="23">
        <v>23218000</v>
      </c>
      <c r="E31" s="23">
        <f>D31-C31</f>
        <v>-18185000</v>
      </c>
      <c r="F31" s="24">
        <f>IF(C31=0,0,E31/C31)</f>
        <v>-0.43921938023814699</v>
      </c>
    </row>
    <row r="32" spans="1:11" ht="24" customHeight="1" x14ac:dyDescent="0.2">
      <c r="A32" s="21">
        <v>6</v>
      </c>
      <c r="B32" s="22" t="s">
        <v>34</v>
      </c>
      <c r="C32" s="23">
        <v>35060000</v>
      </c>
      <c r="D32" s="23">
        <v>50474000</v>
      </c>
      <c r="E32" s="23">
        <f>D32-C32</f>
        <v>15414000</v>
      </c>
      <c r="F32" s="24">
        <f>IF(C32=0,0,E32/C32)</f>
        <v>0.43964632059326869</v>
      </c>
    </row>
    <row r="33" spans="1:8" ht="24" customHeight="1" x14ac:dyDescent="0.2">
      <c r="A33" s="21">
        <v>7</v>
      </c>
      <c r="B33" s="22" t="s">
        <v>35</v>
      </c>
      <c r="C33" s="23">
        <v>3735000</v>
      </c>
      <c r="D33" s="23">
        <v>4445000</v>
      </c>
      <c r="E33" s="23">
        <f>D33-C33</f>
        <v>710000</v>
      </c>
      <c r="F33" s="24">
        <f>IF(C33=0,0,E33/C33)</f>
        <v>0.19009370816599733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299512000</v>
      </c>
      <c r="D36" s="23">
        <v>388908000</v>
      </c>
      <c r="E36" s="23">
        <f>D36-C36</f>
        <v>89396000</v>
      </c>
      <c r="F36" s="24">
        <f>IF(C36=0,0,E36/C36)</f>
        <v>0.2984721814151019</v>
      </c>
    </row>
    <row r="37" spans="1:8" ht="24" customHeight="1" x14ac:dyDescent="0.2">
      <c r="A37" s="21">
        <v>2</v>
      </c>
      <c r="B37" s="22" t="s">
        <v>39</v>
      </c>
      <c r="C37" s="23">
        <v>162502000</v>
      </c>
      <c r="D37" s="23">
        <v>183826000</v>
      </c>
      <c r="E37" s="23">
        <f>D37-C37</f>
        <v>21324000</v>
      </c>
      <c r="F37" s="24">
        <f>IF(C37=0,0,E37/C37)</f>
        <v>0.13122300033230361</v>
      </c>
    </row>
    <row r="38" spans="1:8" ht="24" customHeight="1" x14ac:dyDescent="0.25">
      <c r="A38" s="25"/>
      <c r="B38" s="26" t="s">
        <v>40</v>
      </c>
      <c r="C38" s="27">
        <f>C36-C37</f>
        <v>137010000</v>
      </c>
      <c r="D38" s="27">
        <f>D36-D37</f>
        <v>205082000</v>
      </c>
      <c r="E38" s="27">
        <f>D38-C38</f>
        <v>68072000</v>
      </c>
      <c r="F38" s="28">
        <f>IF(C38=0,0,E38/C38)</f>
        <v>0.49683964674111381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68279000</v>
      </c>
      <c r="D40" s="23">
        <v>7882000</v>
      </c>
      <c r="E40" s="23">
        <f>D40-C40</f>
        <v>-60397000</v>
      </c>
      <c r="F40" s="24">
        <f>IF(C40=0,0,E40/C40)</f>
        <v>-0.88456187114632612</v>
      </c>
    </row>
    <row r="41" spans="1:8" ht="24" customHeight="1" x14ac:dyDescent="0.25">
      <c r="A41" s="25"/>
      <c r="B41" s="26" t="s">
        <v>42</v>
      </c>
      <c r="C41" s="27">
        <f>+C38+C40</f>
        <v>205289000</v>
      </c>
      <c r="D41" s="27">
        <f>+D38+D40</f>
        <v>212964000</v>
      </c>
      <c r="E41" s="27">
        <f>D41-C41</f>
        <v>7675000</v>
      </c>
      <c r="F41" s="28">
        <f>IF(C41=0,0,E41/C41)</f>
        <v>3.7386318799351156E-2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529360000</v>
      </c>
      <c r="D43" s="27">
        <f>D22+D29+D31+D32+D33+D41</f>
        <v>567604000</v>
      </c>
      <c r="E43" s="27">
        <f>D43-C43</f>
        <v>38244000</v>
      </c>
      <c r="F43" s="28">
        <f>IF(C43=0,0,E43/C43)</f>
        <v>7.2245730693667826E-2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26491000</v>
      </c>
      <c r="D49" s="23">
        <v>22763000</v>
      </c>
      <c r="E49" s="23">
        <f t="shared" ref="E49:E56" si="2">D49-C49</f>
        <v>-3728000</v>
      </c>
      <c r="F49" s="24">
        <f t="shared" ref="F49:F56" si="3">IF(C49=0,0,E49/C49)</f>
        <v>-0.14072703937186215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17966000</v>
      </c>
      <c r="D50" s="23">
        <v>15249000</v>
      </c>
      <c r="E50" s="23">
        <f t="shared" si="2"/>
        <v>-2717000</v>
      </c>
      <c r="F50" s="24">
        <f t="shared" si="3"/>
        <v>-0.1512301013024602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9102000</v>
      </c>
      <c r="D51" s="23">
        <v>12219000</v>
      </c>
      <c r="E51" s="23">
        <f t="shared" si="2"/>
        <v>3117000</v>
      </c>
      <c r="F51" s="24">
        <f t="shared" si="3"/>
        <v>0.34245220830586687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404000</v>
      </c>
      <c r="D52" s="23">
        <v>404000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1162000</v>
      </c>
      <c r="D53" s="23">
        <v>1035000</v>
      </c>
      <c r="E53" s="23">
        <f t="shared" si="2"/>
        <v>-127000</v>
      </c>
      <c r="F53" s="24">
        <f t="shared" si="3"/>
        <v>-0.10929432013769363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55125000</v>
      </c>
      <c r="D56" s="27">
        <f>SUM(D49:D55)</f>
        <v>51670000</v>
      </c>
      <c r="E56" s="27">
        <f t="shared" si="2"/>
        <v>-3455000</v>
      </c>
      <c r="F56" s="28">
        <f t="shared" si="3"/>
        <v>-6.2675736961451248E-2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59493000</v>
      </c>
      <c r="D59" s="23">
        <v>59295000</v>
      </c>
      <c r="E59" s="23">
        <f>D59-C59</f>
        <v>-198000</v>
      </c>
      <c r="F59" s="24">
        <f>IF(C59=0,0,E59/C59)</f>
        <v>-3.3281226362765369E-3</v>
      </c>
    </row>
    <row r="60" spans="1:6" ht="24" customHeight="1" x14ac:dyDescent="0.2">
      <c r="A60" s="21">
        <v>2</v>
      </c>
      <c r="B60" s="22" t="s">
        <v>57</v>
      </c>
      <c r="C60" s="23">
        <v>11596000</v>
      </c>
      <c r="D60" s="23">
        <v>11191000</v>
      </c>
      <c r="E60" s="23">
        <f>D60-C60</f>
        <v>-405000</v>
      </c>
      <c r="F60" s="24">
        <f>IF(C60=0,0,E60/C60)</f>
        <v>-3.492583649534322E-2</v>
      </c>
    </row>
    <row r="61" spans="1:6" ht="24" customHeight="1" x14ac:dyDescent="0.25">
      <c r="A61" s="25"/>
      <c r="B61" s="26" t="s">
        <v>58</v>
      </c>
      <c r="C61" s="27">
        <f>SUM(C59:C60)</f>
        <v>71089000</v>
      </c>
      <c r="D61" s="27">
        <f>SUM(D59:D60)</f>
        <v>70486000</v>
      </c>
      <c r="E61" s="27">
        <f>D61-C61</f>
        <v>-603000</v>
      </c>
      <c r="F61" s="28">
        <f>IF(C61=0,0,E61/C61)</f>
        <v>-8.4823249729212673E-3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37094000</v>
      </c>
      <c r="D63" s="23">
        <v>37854000</v>
      </c>
      <c r="E63" s="23">
        <f>D63-C63</f>
        <v>760000</v>
      </c>
      <c r="F63" s="24">
        <f>IF(C63=0,0,E63/C63)</f>
        <v>2.0488488704372674E-2</v>
      </c>
    </row>
    <row r="64" spans="1:6" ht="24" customHeight="1" x14ac:dyDescent="0.2">
      <c r="A64" s="21">
        <v>4</v>
      </c>
      <c r="B64" s="22" t="s">
        <v>60</v>
      </c>
      <c r="C64" s="23">
        <v>9542000</v>
      </c>
      <c r="D64" s="23">
        <v>10868000</v>
      </c>
      <c r="E64" s="23">
        <f>D64-C64</f>
        <v>1326000</v>
      </c>
      <c r="F64" s="24">
        <f>IF(C64=0,0,E64/C64)</f>
        <v>0.13896457765667575</v>
      </c>
    </row>
    <row r="65" spans="1:6" ht="24" customHeight="1" x14ac:dyDescent="0.25">
      <c r="A65" s="25"/>
      <c r="B65" s="26" t="s">
        <v>61</v>
      </c>
      <c r="C65" s="27">
        <f>SUM(C61:C64)</f>
        <v>117725000</v>
      </c>
      <c r="D65" s="27">
        <f>SUM(D61:D64)</f>
        <v>119208000</v>
      </c>
      <c r="E65" s="27">
        <f>D65-C65</f>
        <v>1483000</v>
      </c>
      <c r="F65" s="28">
        <f>IF(C65=0,0,E65/C65)</f>
        <v>1.2597154385219791E-2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314991000</v>
      </c>
      <c r="D70" s="23">
        <v>373265000</v>
      </c>
      <c r="E70" s="23">
        <f>D70-C70</f>
        <v>58274000</v>
      </c>
      <c r="F70" s="24">
        <f>IF(C70=0,0,E70/C70)</f>
        <v>0.18500211117143028</v>
      </c>
    </row>
    <row r="71" spans="1:6" ht="24" customHeight="1" x14ac:dyDescent="0.2">
      <c r="A71" s="21">
        <v>2</v>
      </c>
      <c r="B71" s="22" t="s">
        <v>65</v>
      </c>
      <c r="C71" s="23">
        <v>33709000</v>
      </c>
      <c r="D71" s="23">
        <v>15105000</v>
      </c>
      <c r="E71" s="23">
        <f>D71-C71</f>
        <v>-18604000</v>
      </c>
      <c r="F71" s="24">
        <f>IF(C71=0,0,E71/C71)</f>
        <v>-0.55190008603043694</v>
      </c>
    </row>
    <row r="72" spans="1:6" ht="24" customHeight="1" x14ac:dyDescent="0.2">
      <c r="A72" s="21">
        <v>3</v>
      </c>
      <c r="B72" s="22" t="s">
        <v>66</v>
      </c>
      <c r="C72" s="23">
        <v>7810000</v>
      </c>
      <c r="D72" s="23">
        <v>8356000</v>
      </c>
      <c r="E72" s="23">
        <f>D72-C72</f>
        <v>546000</v>
      </c>
      <c r="F72" s="24">
        <f>IF(C72=0,0,E72/C72)</f>
        <v>6.9910371318822023E-2</v>
      </c>
    </row>
    <row r="73" spans="1:6" ht="24" customHeight="1" x14ac:dyDescent="0.25">
      <c r="A73" s="21"/>
      <c r="B73" s="26" t="s">
        <v>67</v>
      </c>
      <c r="C73" s="27">
        <f>SUM(C70:C72)</f>
        <v>356510000</v>
      </c>
      <c r="D73" s="27">
        <f>SUM(D70:D72)</f>
        <v>396726000</v>
      </c>
      <c r="E73" s="27">
        <f>D73-C73</f>
        <v>40216000</v>
      </c>
      <c r="F73" s="28">
        <f>IF(C73=0,0,E73/C73)</f>
        <v>0.11280468991052145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529360000</v>
      </c>
      <c r="D75" s="27">
        <f>D56+D65+D67+D73</f>
        <v>567604000</v>
      </c>
      <c r="E75" s="27">
        <f>D75-C75</f>
        <v>38244000</v>
      </c>
      <c r="F75" s="28">
        <f>IF(C75=0,0,E75/C75)</f>
        <v>7.2245730693667826E-2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activeCell="A2" sqref="A2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328957000</v>
      </c>
      <c r="D11" s="51">
        <v>346694000</v>
      </c>
      <c r="E11" s="51">
        <v>370296000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42945000</v>
      </c>
      <c r="D12" s="49">
        <v>40358000</v>
      </c>
      <c r="E12" s="49">
        <v>40508000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371902000</v>
      </c>
      <c r="D13" s="51">
        <f>+D11+D12</f>
        <v>387052000</v>
      </c>
      <c r="E13" s="51">
        <f>+E11+E12</f>
        <v>410804000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352513000</v>
      </c>
      <c r="D14" s="49">
        <v>375628000</v>
      </c>
      <c r="E14" s="49">
        <v>400215000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19389000</v>
      </c>
      <c r="D15" s="51">
        <f>+D13-D14</f>
        <v>11424000</v>
      </c>
      <c r="E15" s="51">
        <f>+E13-E14</f>
        <v>10589000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-39299000</v>
      </c>
      <c r="D16" s="49">
        <v>-6287000</v>
      </c>
      <c r="E16" s="49">
        <v>31140000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-19910000</v>
      </c>
      <c r="D17" s="51">
        <f>D15+D16</f>
        <v>5137000</v>
      </c>
      <c r="E17" s="51">
        <f>E15+E16</f>
        <v>41729000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5.8294723739713714E-2</v>
      </c>
      <c r="D20" s="169">
        <f>IF(+D27=0,0,+D24/+D27)</f>
        <v>3.0002757606397645E-2</v>
      </c>
      <c r="E20" s="169">
        <f>IF(+E27=0,0,+E24/+E27)</f>
        <v>2.3960049237007404E-2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-0.11815587953205473</v>
      </c>
      <c r="D21" s="169">
        <f>IF(+D27=0,0,+D26/+D27)</f>
        <v>-1.651149659238638E-2</v>
      </c>
      <c r="E21" s="169">
        <f>IF(+E27=0,0,+E26/+E27)</f>
        <v>7.0461415925999679E-2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-5.9861155792341018E-2</v>
      </c>
      <c r="D22" s="169">
        <f>IF(+D27=0,0,+D28/+D27)</f>
        <v>1.3491261014011267E-2</v>
      </c>
      <c r="E22" s="169">
        <f>IF(+E27=0,0,+E28/+E27)</f>
        <v>9.4421465163007076E-2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19389000</v>
      </c>
      <c r="D24" s="51">
        <f>+D15</f>
        <v>11424000</v>
      </c>
      <c r="E24" s="51">
        <f>+E15</f>
        <v>10589000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371902000</v>
      </c>
      <c r="D25" s="51">
        <f>+D13</f>
        <v>387052000</v>
      </c>
      <c r="E25" s="51">
        <f>+E13</f>
        <v>410804000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-39299000</v>
      </c>
      <c r="D26" s="51">
        <f>+D16</f>
        <v>-6287000</v>
      </c>
      <c r="E26" s="51">
        <f>+E16</f>
        <v>31140000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332603000</v>
      </c>
      <c r="D27" s="51">
        <f>SUM(D25:D26)</f>
        <v>380765000</v>
      </c>
      <c r="E27" s="51">
        <f>SUM(E25:E26)</f>
        <v>441944000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-19910000</v>
      </c>
      <c r="D28" s="51">
        <f>+D17</f>
        <v>5137000</v>
      </c>
      <c r="E28" s="51">
        <f>+E17</f>
        <v>41729000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380972000</v>
      </c>
      <c r="D31" s="51">
        <v>364490000</v>
      </c>
      <c r="E31" s="52">
        <v>425240000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433498000</v>
      </c>
      <c r="D32" s="51">
        <v>411285000</v>
      </c>
      <c r="E32" s="51">
        <v>454622000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-6160000</v>
      </c>
      <c r="D33" s="51">
        <f>+D32-C32</f>
        <v>-22213000</v>
      </c>
      <c r="E33" s="51">
        <f>+E32-D32</f>
        <v>43337000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0.9859</v>
      </c>
      <c r="D34" s="171">
        <f>IF(C32=0,0,+D33/C32)</f>
        <v>-5.12412975377049E-2</v>
      </c>
      <c r="E34" s="171">
        <f>IF(D32=0,0,+E33/D32)</f>
        <v>0.10536975576546677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1.3604413142282206</v>
      </c>
      <c r="D38" s="269">
        <f>IF(+D40=0,0,+D39/+D40)</f>
        <v>1.255309325946445</v>
      </c>
      <c r="E38" s="269">
        <f>IF(+E40=0,0,+E39/+E40)</f>
        <v>1.5089083471381723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78424000</v>
      </c>
      <c r="D39" s="270">
        <v>76132000</v>
      </c>
      <c r="E39" s="270">
        <v>89264000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57646000</v>
      </c>
      <c r="D40" s="270">
        <v>60648000</v>
      </c>
      <c r="E40" s="270">
        <v>59158000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23.768317063155465</v>
      </c>
      <c r="D42" s="271">
        <f>IF((D48/365)=0,0,+D45/(D48/365))</f>
        <v>23.919551639872108</v>
      </c>
      <c r="E42" s="271">
        <f>IF((E48/365)=0,0,+E45/(E48/365))</f>
        <v>27.602632095855434</v>
      </c>
    </row>
    <row r="43" spans="1:14" ht="24" customHeight="1" x14ac:dyDescent="0.2">
      <c r="A43" s="17">
        <v>5</v>
      </c>
      <c r="B43" s="188" t="s">
        <v>16</v>
      </c>
      <c r="C43" s="272">
        <v>13867000</v>
      </c>
      <c r="D43" s="272">
        <v>12274000</v>
      </c>
      <c r="E43" s="272">
        <v>7535000</v>
      </c>
    </row>
    <row r="44" spans="1:14" ht="24" customHeight="1" x14ac:dyDescent="0.2">
      <c r="A44" s="17">
        <v>6</v>
      </c>
      <c r="B44" s="273" t="s">
        <v>17</v>
      </c>
      <c r="C44" s="274">
        <v>7859000</v>
      </c>
      <c r="D44" s="274">
        <v>11030000</v>
      </c>
      <c r="E44" s="274">
        <v>20955000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21726000</v>
      </c>
      <c r="D45" s="270">
        <f>+D43+D44</f>
        <v>23304000</v>
      </c>
      <c r="E45" s="270">
        <f>+E43+E44</f>
        <v>28490000</v>
      </c>
    </row>
    <row r="46" spans="1:14" ht="24" customHeight="1" x14ac:dyDescent="0.2">
      <c r="A46" s="17">
        <v>8</v>
      </c>
      <c r="B46" s="45" t="s">
        <v>324</v>
      </c>
      <c r="C46" s="270">
        <f>+C14</f>
        <v>352513000</v>
      </c>
      <c r="D46" s="270">
        <f>+D14</f>
        <v>375628000</v>
      </c>
      <c r="E46" s="270">
        <f>+E14</f>
        <v>400215000</v>
      </c>
    </row>
    <row r="47" spans="1:14" ht="24" customHeight="1" x14ac:dyDescent="0.2">
      <c r="A47" s="17">
        <v>9</v>
      </c>
      <c r="B47" s="45" t="s">
        <v>347</v>
      </c>
      <c r="C47" s="270">
        <v>18876000</v>
      </c>
      <c r="D47" s="270">
        <v>20021000</v>
      </c>
      <c r="E47" s="270">
        <v>23481000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333637000</v>
      </c>
      <c r="D48" s="270">
        <f>+D46-D47</f>
        <v>355607000</v>
      </c>
      <c r="E48" s="270">
        <f>+E46-E47</f>
        <v>376734000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38.150259760394214</v>
      </c>
      <c r="D50" s="278">
        <f>IF((D55/365)=0,0,+D54/(D55/365))</f>
        <v>34.213946592672499</v>
      </c>
      <c r="E50" s="278">
        <f>IF((E55/365)=0,0,+E54/(E55/365))</f>
        <v>32.971595696415839</v>
      </c>
    </row>
    <row r="51" spans="1:5" ht="24" customHeight="1" x14ac:dyDescent="0.2">
      <c r="A51" s="17">
        <v>12</v>
      </c>
      <c r="B51" s="188" t="s">
        <v>350</v>
      </c>
      <c r="C51" s="279">
        <v>44228000</v>
      </c>
      <c r="D51" s="279">
        <v>41629000</v>
      </c>
      <c r="E51" s="279">
        <v>45741000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9845000</v>
      </c>
      <c r="D53" s="270">
        <v>9131000</v>
      </c>
      <c r="E53" s="270">
        <v>12291000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34383000</v>
      </c>
      <c r="D54" s="280">
        <f>+D51+D52-D53</f>
        <v>32498000</v>
      </c>
      <c r="E54" s="280">
        <f>+E51+E52-E53</f>
        <v>33450000</v>
      </c>
    </row>
    <row r="55" spans="1:5" ht="24" customHeight="1" x14ac:dyDescent="0.2">
      <c r="A55" s="17">
        <v>16</v>
      </c>
      <c r="B55" s="45" t="s">
        <v>75</v>
      </c>
      <c r="C55" s="270">
        <f>+C11</f>
        <v>328957000</v>
      </c>
      <c r="D55" s="270">
        <f>+D11</f>
        <v>346694000</v>
      </c>
      <c r="E55" s="270">
        <f>+E11</f>
        <v>370296000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63.064917859829698</v>
      </c>
      <c r="D57" s="283">
        <f>IF((D61/365)=0,0,+D58/(D61/365))</f>
        <v>62.249955709533282</v>
      </c>
      <c r="E57" s="283">
        <f>IF((E61/365)=0,0,+E58/(E61/365))</f>
        <v>57.315426799811007</v>
      </c>
    </row>
    <row r="58" spans="1:5" ht="24" customHeight="1" x14ac:dyDescent="0.2">
      <c r="A58" s="17">
        <v>18</v>
      </c>
      <c r="B58" s="45" t="s">
        <v>54</v>
      </c>
      <c r="C58" s="281">
        <f>+C40</f>
        <v>57646000</v>
      </c>
      <c r="D58" s="281">
        <f>+D40</f>
        <v>60648000</v>
      </c>
      <c r="E58" s="281">
        <f>+E40</f>
        <v>59158000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352513000</v>
      </c>
      <c r="D59" s="281">
        <f t="shared" si="0"/>
        <v>375628000</v>
      </c>
      <c r="E59" s="281">
        <f t="shared" si="0"/>
        <v>400215000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18876000</v>
      </c>
      <c r="D60" s="176">
        <f t="shared" si="0"/>
        <v>20021000</v>
      </c>
      <c r="E60" s="176">
        <f t="shared" si="0"/>
        <v>23481000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333637000</v>
      </c>
      <c r="D61" s="281">
        <f>+D59-D60</f>
        <v>355607000</v>
      </c>
      <c r="E61" s="281">
        <f>+E59-E60</f>
        <v>376734000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73.138173578691806</v>
      </c>
      <c r="D65" s="284">
        <f>IF(D67=0,0,(D66/D67)*100)</f>
        <v>68.312051130437084</v>
      </c>
      <c r="E65" s="284">
        <f>IF(E67=0,0,(E66/E67)*100)</f>
        <v>70.437072959112541</v>
      </c>
    </row>
    <row r="66" spans="1:5" ht="24" customHeight="1" x14ac:dyDescent="0.2">
      <c r="A66" s="17">
        <v>2</v>
      </c>
      <c r="B66" s="45" t="s">
        <v>67</v>
      </c>
      <c r="C66" s="281">
        <f>+C32</f>
        <v>433498000</v>
      </c>
      <c r="D66" s="281">
        <f>+D32</f>
        <v>411285000</v>
      </c>
      <c r="E66" s="281">
        <f>+E32</f>
        <v>454622000</v>
      </c>
    </row>
    <row r="67" spans="1:5" ht="24" customHeight="1" x14ac:dyDescent="0.2">
      <c r="A67" s="17">
        <v>3</v>
      </c>
      <c r="B67" s="45" t="s">
        <v>43</v>
      </c>
      <c r="C67" s="281">
        <v>592711000</v>
      </c>
      <c r="D67" s="281">
        <v>602068000</v>
      </c>
      <c r="E67" s="281">
        <v>645430000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-0.7512405640843075</v>
      </c>
      <c r="D69" s="284">
        <f>IF(D75=0,0,(D72/D75)*100)</f>
        <v>18.031823394495415</v>
      </c>
      <c r="E69" s="284">
        <f>IF(E75=0,0,(E72/E75)*100)</f>
        <v>47.465152673144814</v>
      </c>
    </row>
    <row r="70" spans="1:5" ht="24" customHeight="1" x14ac:dyDescent="0.2">
      <c r="A70" s="17">
        <v>5</v>
      </c>
      <c r="B70" s="45" t="s">
        <v>358</v>
      </c>
      <c r="C70" s="281">
        <f>+C28</f>
        <v>-19910000</v>
      </c>
      <c r="D70" s="281">
        <f>+D28</f>
        <v>5137000</v>
      </c>
      <c r="E70" s="281">
        <f>+E28</f>
        <v>41729000</v>
      </c>
    </row>
    <row r="71" spans="1:5" ht="24" customHeight="1" x14ac:dyDescent="0.2">
      <c r="A71" s="17">
        <v>6</v>
      </c>
      <c r="B71" s="45" t="s">
        <v>347</v>
      </c>
      <c r="C71" s="176">
        <f>+C47</f>
        <v>18876000</v>
      </c>
      <c r="D71" s="176">
        <f>+D47</f>
        <v>20021000</v>
      </c>
      <c r="E71" s="176">
        <f>+E47</f>
        <v>23481000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-1034000</v>
      </c>
      <c r="D72" s="281">
        <f>+D70+D71</f>
        <v>25158000</v>
      </c>
      <c r="E72" s="281">
        <f>+E70+E71</f>
        <v>65210000</v>
      </c>
    </row>
    <row r="73" spans="1:5" ht="24" customHeight="1" x14ac:dyDescent="0.2">
      <c r="A73" s="17">
        <v>8</v>
      </c>
      <c r="B73" s="45" t="s">
        <v>54</v>
      </c>
      <c r="C73" s="270">
        <f>+C40</f>
        <v>57646000</v>
      </c>
      <c r="D73" s="270">
        <f>+D40</f>
        <v>60648000</v>
      </c>
      <c r="E73" s="270">
        <f>+E40</f>
        <v>59158000</v>
      </c>
    </row>
    <row r="74" spans="1:5" ht="24" customHeight="1" x14ac:dyDescent="0.2">
      <c r="A74" s="17">
        <v>9</v>
      </c>
      <c r="B74" s="45" t="s">
        <v>58</v>
      </c>
      <c r="C74" s="281">
        <v>79993000</v>
      </c>
      <c r="D74" s="281">
        <v>78872000</v>
      </c>
      <c r="E74" s="281">
        <v>78227000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137639000</v>
      </c>
      <c r="D75" s="270">
        <f>+D73+D74</f>
        <v>139520000</v>
      </c>
      <c r="E75" s="270">
        <f>+E73+E74</f>
        <v>137385000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15.578267194556478</v>
      </c>
      <c r="D77" s="286">
        <f>IF(D80=0,0,(D78/D80)*100)</f>
        <v>16.09117078813523</v>
      </c>
      <c r="E77" s="286">
        <f>IF(E80=0,0,(E78/E80)*100)</f>
        <v>14.68089458739718</v>
      </c>
    </row>
    <row r="78" spans="1:5" ht="24" customHeight="1" x14ac:dyDescent="0.2">
      <c r="A78" s="17">
        <v>12</v>
      </c>
      <c r="B78" s="45" t="s">
        <v>58</v>
      </c>
      <c r="C78" s="270">
        <f>+C74</f>
        <v>79993000</v>
      </c>
      <c r="D78" s="270">
        <f>+D74</f>
        <v>78872000</v>
      </c>
      <c r="E78" s="270">
        <f>+E74</f>
        <v>78227000</v>
      </c>
    </row>
    <row r="79" spans="1:5" ht="24" customHeight="1" x14ac:dyDescent="0.2">
      <c r="A79" s="17">
        <v>13</v>
      </c>
      <c r="B79" s="45" t="s">
        <v>67</v>
      </c>
      <c r="C79" s="270">
        <f>+C32</f>
        <v>433498000</v>
      </c>
      <c r="D79" s="270">
        <f>+D32</f>
        <v>411285000</v>
      </c>
      <c r="E79" s="270">
        <f>+E32</f>
        <v>454622000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513491000</v>
      </c>
      <c r="D80" s="270">
        <f>+D78+D79</f>
        <v>490157000</v>
      </c>
      <c r="E80" s="270">
        <f>+E78+E79</f>
        <v>532849000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FILING&amp;R&amp;8ST VINCENTS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>
      <selection activeCell="A2" sqref="A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77511</v>
      </c>
      <c r="D11" s="297">
        <v>242</v>
      </c>
      <c r="E11" s="297">
        <v>242</v>
      </c>
      <c r="F11" s="298">
        <f>IF(D11=0,0,$C11/(D11*365))</f>
        <v>0.87751613268425221</v>
      </c>
      <c r="G11" s="298">
        <f>IF(E11=0,0,$C11/(E11*365))</f>
        <v>0.87751613268425221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7435</v>
      </c>
      <c r="D13" s="297">
        <v>30</v>
      </c>
      <c r="E13" s="297">
        <v>30</v>
      </c>
      <c r="F13" s="298">
        <f>IF(D13=0,0,$C13/(D13*365))</f>
        <v>0.67899543378995431</v>
      </c>
      <c r="G13" s="298">
        <f>IF(E13=0,0,$C13/(E13*365))</f>
        <v>0.67899543378995431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4864</v>
      </c>
      <c r="D15" s="297">
        <v>17</v>
      </c>
      <c r="E15" s="297">
        <v>17</v>
      </c>
      <c r="F15" s="298">
        <f t="shared" ref="F15:G17" si="0">IF(D15=0,0,$C15/(D15*365))</f>
        <v>0.78388396454472198</v>
      </c>
      <c r="G15" s="298">
        <f t="shared" si="0"/>
        <v>0.78388396454472198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23113</v>
      </c>
      <c r="D16" s="297">
        <v>75</v>
      </c>
      <c r="E16" s="297">
        <v>75</v>
      </c>
      <c r="F16" s="298">
        <f t="shared" si="0"/>
        <v>0.844310502283105</v>
      </c>
      <c r="G16" s="298">
        <f t="shared" si="0"/>
        <v>0.844310502283105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27977</v>
      </c>
      <c r="D17" s="300">
        <f>SUM(D15:D16)</f>
        <v>92</v>
      </c>
      <c r="E17" s="300">
        <f>SUM(E15:E16)</f>
        <v>92</v>
      </c>
      <c r="F17" s="301">
        <f t="shared" si="0"/>
        <v>0.8331447290053603</v>
      </c>
      <c r="G17" s="301">
        <f t="shared" si="0"/>
        <v>0.8331447290053603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2742</v>
      </c>
      <c r="D19" s="297">
        <v>10</v>
      </c>
      <c r="E19" s="297">
        <v>10</v>
      </c>
      <c r="F19" s="298">
        <f>IF(D19=0,0,$C19/(D19*365))</f>
        <v>0.75123287671232875</v>
      </c>
      <c r="G19" s="298">
        <f>IF(E19=0,0,$C19/(E19*365))</f>
        <v>0.75123287671232875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3368</v>
      </c>
      <c r="D21" s="297">
        <v>22</v>
      </c>
      <c r="E21" s="297">
        <v>22</v>
      </c>
      <c r="F21" s="298">
        <f>IF(D21=0,0,$C21/(D21*365))</f>
        <v>0.41942714819427146</v>
      </c>
      <c r="G21" s="298">
        <f>IF(E21=0,0,$C21/(E21*365))</f>
        <v>0.41942714819427146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3779</v>
      </c>
      <c r="D23" s="297">
        <v>27</v>
      </c>
      <c r="E23" s="297">
        <v>27</v>
      </c>
      <c r="F23" s="298">
        <f>IF(D23=0,0,$C23/(D23*365))</f>
        <v>0.3834601725012684</v>
      </c>
      <c r="G23" s="298">
        <f>IF(E23=0,0,$C23/(E23*365))</f>
        <v>0.3834601725012684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119033</v>
      </c>
      <c r="D31" s="300">
        <f>SUM(D10:D29)-D17-D23</f>
        <v>396</v>
      </c>
      <c r="E31" s="300">
        <f>SUM(E10:E29)-E17-E23</f>
        <v>396</v>
      </c>
      <c r="F31" s="301">
        <f>IF(D31=0,0,$C31/(D31*365))</f>
        <v>0.82352981873529818</v>
      </c>
      <c r="G31" s="301">
        <f>IF(E31=0,0,$C31/(E31*365))</f>
        <v>0.82352981873529818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122812</v>
      </c>
      <c r="D33" s="300">
        <f>SUM(D10:D29)-D17</f>
        <v>423</v>
      </c>
      <c r="E33" s="300">
        <f>SUM(E10:E29)-E17</f>
        <v>423</v>
      </c>
      <c r="F33" s="301">
        <f>IF(D33=0,0,$C33/(D33*365))</f>
        <v>0.79544026684801972</v>
      </c>
      <c r="G33" s="301">
        <f>IF(E33=0,0,$C33/(E33*365))</f>
        <v>0.79544026684801972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122812</v>
      </c>
      <c r="D36" s="300">
        <f>+D33</f>
        <v>423</v>
      </c>
      <c r="E36" s="300">
        <f>+E33</f>
        <v>423</v>
      </c>
      <c r="F36" s="301">
        <f>+F33</f>
        <v>0.79544026684801972</v>
      </c>
      <c r="G36" s="301">
        <f>+G33</f>
        <v>0.79544026684801972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125447</v>
      </c>
      <c r="D37" s="302">
        <v>415</v>
      </c>
      <c r="E37" s="302">
        <v>423</v>
      </c>
      <c r="F37" s="301">
        <f>IF(D37=0,0,$C37/(D37*365))</f>
        <v>0.82816966496121469</v>
      </c>
      <c r="G37" s="301">
        <f>IF(E37=0,0,$C37/(E37*365))</f>
        <v>0.81250688169953689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-2635</v>
      </c>
      <c r="D38" s="300">
        <f>+D36-D37</f>
        <v>8</v>
      </c>
      <c r="E38" s="300">
        <f>+E36-E37</f>
        <v>0</v>
      </c>
      <c r="F38" s="301">
        <f>+F36-F37</f>
        <v>-3.2729398113194974E-2</v>
      </c>
      <c r="G38" s="301">
        <f>+G36-G37</f>
        <v>-1.706661485151717E-2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-2.1004886525783799E-2</v>
      </c>
      <c r="D40" s="148">
        <f>IF(D37=0,0,D38/D37)</f>
        <v>1.9277108433734941E-2</v>
      </c>
      <c r="E40" s="148">
        <f>IF(E37=0,0,E38/E37)</f>
        <v>0</v>
      </c>
      <c r="F40" s="148">
        <f>IF(F37=0,0,F38/F37)</f>
        <v>-3.9520160539480487E-2</v>
      </c>
      <c r="G40" s="148">
        <f>IF(G37=0,0,G38/G37)</f>
        <v>-2.1004886525783747E-2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520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FILING&amp;RSAINT VINCENT`S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A2" sqref="A2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6951</v>
      </c>
      <c r="D12" s="296">
        <v>6959</v>
      </c>
      <c r="E12" s="296">
        <f>+D12-C12</f>
        <v>8</v>
      </c>
      <c r="F12" s="316">
        <f>IF(C12=0,0,+E12/C12)</f>
        <v>1.1509135376204863E-3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1868</v>
      </c>
      <c r="D13" s="296">
        <v>2080</v>
      </c>
      <c r="E13" s="296">
        <f>+D13-C13</f>
        <v>212</v>
      </c>
      <c r="F13" s="316">
        <f>IF(C13=0,0,+E13/C13)</f>
        <v>0.11349036402569593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7324</v>
      </c>
      <c r="D14" s="296">
        <v>8133</v>
      </c>
      <c r="E14" s="296">
        <f>+D14-C14</f>
        <v>809</v>
      </c>
      <c r="F14" s="316">
        <f>IF(C14=0,0,+E14/C14)</f>
        <v>0.1104587657018023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16143</v>
      </c>
      <c r="D16" s="300">
        <f>SUM(D12:D15)</f>
        <v>17172</v>
      </c>
      <c r="E16" s="300">
        <f>+D16-C16</f>
        <v>1029</v>
      </c>
      <c r="F16" s="309">
        <f>IF(C16=0,0,+E16/C16)</f>
        <v>6.3742798736294376E-2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1181</v>
      </c>
      <c r="D19" s="296">
        <v>1269</v>
      </c>
      <c r="E19" s="296">
        <f>+D19-C19</f>
        <v>88</v>
      </c>
      <c r="F19" s="316">
        <f>IF(C19=0,0,+E19/C19)</f>
        <v>7.4513124470787465E-2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1786</v>
      </c>
      <c r="D20" s="296">
        <v>1642</v>
      </c>
      <c r="E20" s="296">
        <f>+D20-C20</f>
        <v>-144</v>
      </c>
      <c r="F20" s="316">
        <f>IF(C20=0,0,+E20/C20)</f>
        <v>-8.062709966405375E-2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120</v>
      </c>
      <c r="D21" s="296">
        <v>137</v>
      </c>
      <c r="E21" s="296">
        <f>+D21-C21</f>
        <v>17</v>
      </c>
      <c r="F21" s="316">
        <f>IF(C21=0,0,+E21/C21)</f>
        <v>0.14166666666666666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3087</v>
      </c>
      <c r="D23" s="300">
        <f>SUM(D19:D22)</f>
        <v>3048</v>
      </c>
      <c r="E23" s="300">
        <f>+D23-C23</f>
        <v>-39</v>
      </c>
      <c r="F23" s="309">
        <f>IF(C23=0,0,+E23/C23)</f>
        <v>-1.2633624878522837E-2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5</v>
      </c>
      <c r="D33" s="296">
        <v>31</v>
      </c>
      <c r="E33" s="296">
        <f>+D33-C33</f>
        <v>26</v>
      </c>
      <c r="F33" s="316">
        <f>IF(C33=0,0,+E33/C33)</f>
        <v>5.2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385</v>
      </c>
      <c r="D34" s="296">
        <v>482</v>
      </c>
      <c r="E34" s="296">
        <f>+D34-C34</f>
        <v>97</v>
      </c>
      <c r="F34" s="316">
        <f>IF(C34=0,0,+E34/C34)</f>
        <v>0.25194805194805192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1</v>
      </c>
      <c r="D35" s="296">
        <v>0</v>
      </c>
      <c r="E35" s="296">
        <f>+D35-C35</f>
        <v>-1</v>
      </c>
      <c r="F35" s="316">
        <f>IF(C35=0,0,+E35/C35)</f>
        <v>-1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391</v>
      </c>
      <c r="D37" s="300">
        <f>SUM(D33:D36)</f>
        <v>513</v>
      </c>
      <c r="E37" s="300">
        <f>+D37-C37</f>
        <v>122</v>
      </c>
      <c r="F37" s="309">
        <f>IF(C37=0,0,+E37/C37)</f>
        <v>0.31202046035805625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877</v>
      </c>
      <c r="D43" s="296">
        <v>920</v>
      </c>
      <c r="E43" s="296">
        <f>+D43-C43</f>
        <v>43</v>
      </c>
      <c r="F43" s="316">
        <f>IF(C43=0,0,+E43/C43)</f>
        <v>4.9030786773090078E-2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12125</v>
      </c>
      <c r="D44" s="296">
        <v>15537</v>
      </c>
      <c r="E44" s="296">
        <f>+D44-C44</f>
        <v>3412</v>
      </c>
      <c r="F44" s="316">
        <f>IF(C44=0,0,+E44/C44)</f>
        <v>0.28140206185567013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13002</v>
      </c>
      <c r="D45" s="300">
        <f>SUM(D43:D44)</f>
        <v>16457</v>
      </c>
      <c r="E45" s="300">
        <f>+D45-C45</f>
        <v>3455</v>
      </c>
      <c r="F45" s="309">
        <f>IF(C45=0,0,+E45/C45)</f>
        <v>0.26572834948469465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1395</v>
      </c>
      <c r="D48" s="296">
        <v>1188</v>
      </c>
      <c r="E48" s="296">
        <f>+D48-C48</f>
        <v>-207</v>
      </c>
      <c r="F48" s="316">
        <f>IF(C48=0,0,+E48/C48)</f>
        <v>-0.14838709677419354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578</v>
      </c>
      <c r="D49" s="296">
        <v>600</v>
      </c>
      <c r="E49" s="296">
        <f>+D49-C49</f>
        <v>22</v>
      </c>
      <c r="F49" s="316">
        <f>IF(C49=0,0,+E49/C49)</f>
        <v>3.8062283737024222E-2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1973</v>
      </c>
      <c r="D50" s="300">
        <f>SUM(D48:D49)</f>
        <v>1788</v>
      </c>
      <c r="E50" s="300">
        <f>+D50-C50</f>
        <v>-185</v>
      </c>
      <c r="F50" s="309">
        <f>IF(C50=0,0,+E50/C50)</f>
        <v>-9.3765838824125702E-2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132</v>
      </c>
      <c r="D53" s="296">
        <v>448</v>
      </c>
      <c r="E53" s="296">
        <f>+D53-C53</f>
        <v>316</v>
      </c>
      <c r="F53" s="316">
        <f>IF(C53=0,0,+E53/C53)</f>
        <v>2.393939393939394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1120</v>
      </c>
      <c r="D54" s="296">
        <v>454</v>
      </c>
      <c r="E54" s="296">
        <f>+D54-C54</f>
        <v>-666</v>
      </c>
      <c r="F54" s="316">
        <f>IF(C54=0,0,+E54/C54)</f>
        <v>-0.59464285714285714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1252</v>
      </c>
      <c r="D55" s="300">
        <f>SUM(D53:D54)</f>
        <v>902</v>
      </c>
      <c r="E55" s="300">
        <f>+D55-C55</f>
        <v>-350</v>
      </c>
      <c r="F55" s="309">
        <f>IF(C55=0,0,+E55/C55)</f>
        <v>-0.2795527156549521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751</v>
      </c>
      <c r="D58" s="296">
        <v>677</v>
      </c>
      <c r="E58" s="296">
        <f>+D58-C58</f>
        <v>-74</v>
      </c>
      <c r="F58" s="316">
        <f>IF(C58=0,0,+E58/C58)</f>
        <v>-9.8535286284953394E-2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275</v>
      </c>
      <c r="D59" s="296">
        <v>276</v>
      </c>
      <c r="E59" s="296">
        <f>+D59-C59</f>
        <v>1</v>
      </c>
      <c r="F59" s="316">
        <f>IF(C59=0,0,+E59/C59)</f>
        <v>3.6363636363636364E-3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1026</v>
      </c>
      <c r="D60" s="300">
        <f>SUM(D58:D59)</f>
        <v>953</v>
      </c>
      <c r="E60" s="300">
        <f>SUM(E58:E59)</f>
        <v>-73</v>
      </c>
      <c r="F60" s="309">
        <f>IF(C60=0,0,+E60/C60)</f>
        <v>-7.1150097465886936E-2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5806</v>
      </c>
      <c r="D63" s="296">
        <v>5926</v>
      </c>
      <c r="E63" s="296">
        <f>+D63-C63</f>
        <v>120</v>
      </c>
      <c r="F63" s="316">
        <f>IF(C63=0,0,+E63/C63)</f>
        <v>2.0668274199104376E-2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6749</v>
      </c>
      <c r="D64" s="296">
        <v>6696</v>
      </c>
      <c r="E64" s="296">
        <f>+D64-C64</f>
        <v>-53</v>
      </c>
      <c r="F64" s="316">
        <f>IF(C64=0,0,+E64/C64)</f>
        <v>-7.8530152615202253E-3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12555</v>
      </c>
      <c r="D65" s="300">
        <f>SUM(D63:D64)</f>
        <v>12622</v>
      </c>
      <c r="E65" s="300">
        <f>+D65-C65</f>
        <v>67</v>
      </c>
      <c r="F65" s="309">
        <f>IF(C65=0,0,+E65/C65)</f>
        <v>5.3365193150139391E-3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653</v>
      </c>
      <c r="D68" s="296">
        <v>1983</v>
      </c>
      <c r="E68" s="296">
        <f>+D68-C68</f>
        <v>1330</v>
      </c>
      <c r="F68" s="316">
        <f>IF(C68=0,0,+E68/C68)</f>
        <v>2.0367534456355285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1387</v>
      </c>
      <c r="D69" s="296">
        <v>4319</v>
      </c>
      <c r="E69" s="296">
        <f>+D69-C69</f>
        <v>2932</v>
      </c>
      <c r="F69" s="318">
        <f>IF(C69=0,0,+E69/C69)</f>
        <v>2.1139149242970441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2040</v>
      </c>
      <c r="D70" s="300">
        <f>SUM(D68:D69)</f>
        <v>6302</v>
      </c>
      <c r="E70" s="300">
        <f>+D70-C70</f>
        <v>4262</v>
      </c>
      <c r="F70" s="309">
        <f>IF(C70=0,0,+E70/C70)</f>
        <v>2.0892156862745099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10882</v>
      </c>
      <c r="D73" s="319">
        <v>14253</v>
      </c>
      <c r="E73" s="296">
        <f>+D73-C73</f>
        <v>3371</v>
      </c>
      <c r="F73" s="316">
        <f>IF(C73=0,0,+E73/C73)</f>
        <v>0.309777614409116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50431</v>
      </c>
      <c r="D74" s="319">
        <v>54760</v>
      </c>
      <c r="E74" s="296">
        <f>+D74-C74</f>
        <v>4329</v>
      </c>
      <c r="F74" s="316">
        <f>IF(C74=0,0,+E74/C74)</f>
        <v>8.5840058694057225E-2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61313</v>
      </c>
      <c r="D75" s="300">
        <f>SUM(D73:D74)</f>
        <v>69013</v>
      </c>
      <c r="E75" s="300">
        <f>SUM(E73:E74)</f>
        <v>7700</v>
      </c>
      <c r="F75" s="309">
        <f>IF(C75=0,0,+E75/C75)</f>
        <v>0.12558511245575979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15670</v>
      </c>
      <c r="E81" s="296">
        <f t="shared" si="0"/>
        <v>15670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48196</v>
      </c>
      <c r="D82" s="319">
        <v>49569</v>
      </c>
      <c r="E82" s="296">
        <f t="shared" si="0"/>
        <v>1373</v>
      </c>
      <c r="F82" s="316">
        <f t="shared" si="1"/>
        <v>2.8487841314631921E-2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15751</v>
      </c>
      <c r="D83" s="319">
        <v>15544</v>
      </c>
      <c r="E83" s="296">
        <f t="shared" si="0"/>
        <v>-207</v>
      </c>
      <c r="F83" s="316">
        <f t="shared" si="1"/>
        <v>-1.3142022728715638E-2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63947</v>
      </c>
      <c r="D84" s="320">
        <f>SUM(D79:D83)</f>
        <v>80783</v>
      </c>
      <c r="E84" s="300">
        <f t="shared" si="0"/>
        <v>16836</v>
      </c>
      <c r="F84" s="309">
        <f t="shared" si="1"/>
        <v>0.26328052918823402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1952</v>
      </c>
      <c r="D87" s="322">
        <v>1869</v>
      </c>
      <c r="E87" s="323">
        <f t="shared" ref="E87:E92" si="2">+D87-C87</f>
        <v>-83</v>
      </c>
      <c r="F87" s="318">
        <f t="shared" ref="F87:F92" si="3">IF(C87=0,0,+E87/C87)</f>
        <v>-4.2520491803278687E-2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971</v>
      </c>
      <c r="D88" s="322">
        <v>997</v>
      </c>
      <c r="E88" s="296">
        <f t="shared" si="2"/>
        <v>26</v>
      </c>
      <c r="F88" s="316">
        <f t="shared" si="3"/>
        <v>2.6776519052523172E-2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1610</v>
      </c>
      <c r="D89" s="322">
        <v>1774</v>
      </c>
      <c r="E89" s="296">
        <f t="shared" si="2"/>
        <v>164</v>
      </c>
      <c r="F89" s="316">
        <f t="shared" si="3"/>
        <v>0.10186335403726708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3217</v>
      </c>
      <c r="D90" s="322">
        <v>3144</v>
      </c>
      <c r="E90" s="296">
        <f t="shared" si="2"/>
        <v>-73</v>
      </c>
      <c r="F90" s="316">
        <f t="shared" si="3"/>
        <v>-2.2691949020826857E-2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80395</v>
      </c>
      <c r="D91" s="322">
        <v>88792</v>
      </c>
      <c r="E91" s="296">
        <f t="shared" si="2"/>
        <v>8397</v>
      </c>
      <c r="F91" s="316">
        <f t="shared" si="3"/>
        <v>0.10444679395484793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88145</v>
      </c>
      <c r="D92" s="320">
        <f>SUM(D87:D91)</f>
        <v>96576</v>
      </c>
      <c r="E92" s="300">
        <f t="shared" si="2"/>
        <v>8431</v>
      </c>
      <c r="F92" s="309">
        <f t="shared" si="3"/>
        <v>9.5649214362697826E-2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766.9</v>
      </c>
      <c r="D96" s="325">
        <v>740.3</v>
      </c>
      <c r="E96" s="326">
        <f>+D96-C96</f>
        <v>-26.600000000000023</v>
      </c>
      <c r="F96" s="316">
        <f>IF(C96=0,0,+E96/C96)</f>
        <v>-3.4685095840396432E-2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143.80000000000001</v>
      </c>
      <c r="D97" s="325">
        <v>95.9</v>
      </c>
      <c r="E97" s="326">
        <f>+D97-C97</f>
        <v>-47.900000000000006</v>
      </c>
      <c r="F97" s="316">
        <f>IF(C97=0,0,+E97/C97)</f>
        <v>-0.33310152990264258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1138.9000000000001</v>
      </c>
      <c r="D98" s="325">
        <v>1183.9000000000001</v>
      </c>
      <c r="E98" s="326">
        <f>+D98-C98</f>
        <v>45</v>
      </c>
      <c r="F98" s="316">
        <f>IF(C98=0,0,+E98/C98)</f>
        <v>3.9511809640881551E-2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2049.6000000000004</v>
      </c>
      <c r="D99" s="327">
        <f>SUM(D96:D98)</f>
        <v>2020.1</v>
      </c>
      <c r="E99" s="327">
        <f>+D99-C99</f>
        <v>-29.500000000000455</v>
      </c>
      <c r="F99" s="309">
        <f>IF(C99=0,0,+E99/C99)</f>
        <v>-1.4393052302888587E-2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FILING&amp;RSAINT VINCENT`S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activeCell="A2" sqref="A2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6749</v>
      </c>
      <c r="D12" s="296">
        <v>6696</v>
      </c>
      <c r="E12" s="296">
        <f>+D12-C12</f>
        <v>-53</v>
      </c>
      <c r="F12" s="316">
        <f>IF(C12=0,0,+E12/C12)</f>
        <v>-7.8530152615202253E-3</v>
      </c>
    </row>
    <row r="13" spans="1:16" ht="15.75" customHeight="1" x14ac:dyDescent="0.25">
      <c r="A13" s="294"/>
      <c r="B13" s="135" t="s">
        <v>584</v>
      </c>
      <c r="C13" s="300">
        <f>SUM(C11:C12)</f>
        <v>6749</v>
      </c>
      <c r="D13" s="300">
        <f>SUM(D11:D12)</f>
        <v>6696</v>
      </c>
      <c r="E13" s="300">
        <f>+D13-C13</f>
        <v>-53</v>
      </c>
      <c r="F13" s="309">
        <f>IF(C13=0,0,+E13/C13)</f>
        <v>-7.8530152615202253E-3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1387</v>
      </c>
      <c r="D16" s="296">
        <v>4319</v>
      </c>
      <c r="E16" s="296">
        <f>+D16-C16</f>
        <v>2932</v>
      </c>
      <c r="F16" s="316">
        <f>IF(C16=0,0,+E16/C16)</f>
        <v>2.1139149242970441</v>
      </c>
    </row>
    <row r="17" spans="1:6" ht="15.75" customHeight="1" x14ac:dyDescent="0.25">
      <c r="A17" s="294"/>
      <c r="B17" s="135" t="s">
        <v>585</v>
      </c>
      <c r="C17" s="300">
        <f>SUM(C15:C16)</f>
        <v>1387</v>
      </c>
      <c r="D17" s="300">
        <f>SUM(D15:D16)</f>
        <v>4319</v>
      </c>
      <c r="E17" s="300">
        <f>+D17-C17</f>
        <v>2932</v>
      </c>
      <c r="F17" s="309">
        <f>IF(C17=0,0,+E17/C17)</f>
        <v>2.1139149242970441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50431</v>
      </c>
      <c r="D20" s="296">
        <v>54760</v>
      </c>
      <c r="E20" s="296">
        <f>+D20-C20</f>
        <v>4329</v>
      </c>
      <c r="F20" s="316">
        <f>IF(C20=0,0,+E20/C20)</f>
        <v>8.5840058694057225E-2</v>
      </c>
    </row>
    <row r="21" spans="1:6" ht="15.75" customHeight="1" x14ac:dyDescent="0.25">
      <c r="A21" s="294"/>
      <c r="B21" s="135" t="s">
        <v>587</v>
      </c>
      <c r="C21" s="300">
        <f>SUM(C19:C20)</f>
        <v>50431</v>
      </c>
      <c r="D21" s="300">
        <f>SUM(D19:D20)</f>
        <v>54760</v>
      </c>
      <c r="E21" s="300">
        <f>+D21-C21</f>
        <v>4329</v>
      </c>
      <c r="F21" s="309">
        <f>IF(C21=0,0,+E21/C21)</f>
        <v>8.5840058694057225E-2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FILING&amp;RSAINT VINCENT`S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activeCell="A2" sqref="A2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333759984</v>
      </c>
      <c r="D15" s="361">
        <v>359183423</v>
      </c>
      <c r="E15" s="361">
        <f t="shared" ref="E15:E24" si="0">D15-C15</f>
        <v>25423439</v>
      </c>
      <c r="F15" s="362">
        <f t="shared" ref="F15:F24" si="1">IF(C15=0,0,E15/C15)</f>
        <v>7.6172819447402659E-2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120803786</v>
      </c>
      <c r="D16" s="361">
        <v>122330717</v>
      </c>
      <c r="E16" s="361">
        <f t="shared" si="0"/>
        <v>1526931</v>
      </c>
      <c r="F16" s="362">
        <f t="shared" si="1"/>
        <v>1.2639761141260921E-2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0.36194808182876709</v>
      </c>
      <c r="D17" s="366">
        <f>IF(LN_IA1=0,0,LN_IA2/LN_IA1)</f>
        <v>0.34058007459882134</v>
      </c>
      <c r="E17" s="367">
        <f t="shared" si="0"/>
        <v>-2.1368007229945751E-2</v>
      </c>
      <c r="F17" s="362">
        <f t="shared" si="1"/>
        <v>-5.9036111262097186E-2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9746</v>
      </c>
      <c r="D18" s="369">
        <v>9920</v>
      </c>
      <c r="E18" s="369">
        <f t="shared" si="0"/>
        <v>174</v>
      </c>
      <c r="F18" s="362">
        <f t="shared" si="1"/>
        <v>1.7853478350092346E-2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1.5299</v>
      </c>
      <c r="D19" s="372">
        <v>1.5162</v>
      </c>
      <c r="E19" s="373">
        <f t="shared" si="0"/>
        <v>-1.3700000000000045E-2</v>
      </c>
      <c r="F19" s="362">
        <f t="shared" si="1"/>
        <v>-8.9548336492581513E-3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14910.4054</v>
      </c>
      <c r="D20" s="376">
        <f>LN_IA4*LN_IA5</f>
        <v>15040.704</v>
      </c>
      <c r="E20" s="376">
        <f t="shared" si="0"/>
        <v>130.29860000000008</v>
      </c>
      <c r="F20" s="362">
        <f t="shared" si="1"/>
        <v>8.7387697721485209E-3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8101.9786356714358</v>
      </c>
      <c r="D21" s="378">
        <f>IF(LN_IA6=0,0,LN_IA2/LN_IA6)</f>
        <v>8133.3105817387277</v>
      </c>
      <c r="E21" s="378">
        <f t="shared" si="0"/>
        <v>31.331946067291938</v>
      </c>
      <c r="F21" s="362">
        <f t="shared" si="1"/>
        <v>3.8671968263830608E-3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64038</v>
      </c>
      <c r="D22" s="369">
        <v>62768</v>
      </c>
      <c r="E22" s="369">
        <f t="shared" si="0"/>
        <v>-1270</v>
      </c>
      <c r="F22" s="362">
        <f t="shared" si="1"/>
        <v>-1.9831974764983291E-2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1886.4390830444424</v>
      </c>
      <c r="D23" s="378">
        <f>IF(LN_IA8=0,0,LN_IA2/LN_IA8)</f>
        <v>1948.9344411164925</v>
      </c>
      <c r="E23" s="378">
        <f t="shared" si="0"/>
        <v>62.495358072050067</v>
      </c>
      <c r="F23" s="362">
        <f t="shared" si="1"/>
        <v>3.3128744327747657E-2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6.5706956700184689</v>
      </c>
      <c r="D24" s="379">
        <f>IF(LN_IA4=0,0,LN_IA8/LN_IA4)</f>
        <v>6.3274193548387094</v>
      </c>
      <c r="E24" s="379">
        <f t="shared" si="0"/>
        <v>-0.24327631517975945</v>
      </c>
      <c r="F24" s="362">
        <f t="shared" si="1"/>
        <v>-3.7024438110839435E-2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80723437</v>
      </c>
      <c r="D27" s="361">
        <v>90278603</v>
      </c>
      <c r="E27" s="361">
        <f t="shared" ref="E27:E32" si="2">D27-C27</f>
        <v>9555166</v>
      </c>
      <c r="F27" s="362">
        <f t="shared" ref="F27:F32" si="3">IF(C27=0,0,E27/C27)</f>
        <v>0.11836916706111014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24868355</v>
      </c>
      <c r="D28" s="361">
        <v>25816532</v>
      </c>
      <c r="E28" s="361">
        <f t="shared" si="2"/>
        <v>948177</v>
      </c>
      <c r="F28" s="362">
        <f t="shared" si="3"/>
        <v>3.8127853651759434E-2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0.30806858483986505</v>
      </c>
      <c r="D29" s="366">
        <f>IF(LN_IA11=0,0,LN_IA12/LN_IA11)</f>
        <v>0.28596512509171196</v>
      </c>
      <c r="E29" s="367">
        <f t="shared" si="2"/>
        <v>-2.2103459748153087E-2</v>
      </c>
      <c r="F29" s="362">
        <f t="shared" si="3"/>
        <v>-7.1748502884974558E-2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0.24186074086101347</v>
      </c>
      <c r="D30" s="366">
        <f>IF(LN_IA1=0,0,LN_IA11/LN_IA1)</f>
        <v>0.25134401316733374</v>
      </c>
      <c r="E30" s="367">
        <f t="shared" si="2"/>
        <v>9.4832723063202617E-3</v>
      </c>
      <c r="F30" s="362">
        <f t="shared" si="3"/>
        <v>3.9209638871361405E-2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2357.1747804314373</v>
      </c>
      <c r="D31" s="376">
        <f>LN_IA14*LN_IA4</f>
        <v>2493.3326106199506</v>
      </c>
      <c r="E31" s="376">
        <f t="shared" si="2"/>
        <v>136.15783018851334</v>
      </c>
      <c r="F31" s="362">
        <f t="shared" si="3"/>
        <v>5.7763145660158541E-2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10550.068330295095</v>
      </c>
      <c r="D32" s="378">
        <f>IF(LN_IA15=0,0,LN_IA12/LN_IA15)</f>
        <v>10354.227065429866</v>
      </c>
      <c r="E32" s="378">
        <f t="shared" si="2"/>
        <v>-195.84126486522837</v>
      </c>
      <c r="F32" s="362">
        <f t="shared" si="3"/>
        <v>-1.8563032838646128E-2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414483421</v>
      </c>
      <c r="D35" s="361">
        <f>LN_IA1+LN_IA11</f>
        <v>449462026</v>
      </c>
      <c r="E35" s="361">
        <f>D35-C35</f>
        <v>34978605</v>
      </c>
      <c r="F35" s="362">
        <f>IF(C35=0,0,E35/C35)</f>
        <v>8.4390842257596591E-2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145672141</v>
      </c>
      <c r="D36" s="361">
        <f>LN_IA2+LN_IA12</f>
        <v>148147249</v>
      </c>
      <c r="E36" s="361">
        <f>D36-C36</f>
        <v>2475108</v>
      </c>
      <c r="F36" s="362">
        <f>IF(C36=0,0,E36/C36)</f>
        <v>1.6990949559806359E-2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268811280</v>
      </c>
      <c r="D37" s="361">
        <f>LN_IA17-LN_IA18</f>
        <v>301314777</v>
      </c>
      <c r="E37" s="361">
        <f>D37-C37</f>
        <v>32503497</v>
      </c>
      <c r="F37" s="362">
        <f>IF(C37=0,0,E37/C37)</f>
        <v>0.12091567362798168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192685203</v>
      </c>
      <c r="D42" s="361">
        <v>200918072</v>
      </c>
      <c r="E42" s="361">
        <f t="shared" ref="E42:E53" si="4">D42-C42</f>
        <v>8232869</v>
      </c>
      <c r="F42" s="362">
        <f t="shared" ref="F42:F53" si="5">IF(C42=0,0,E42/C42)</f>
        <v>4.272704323849922E-2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91369062</v>
      </c>
      <c r="D43" s="361">
        <v>98741983</v>
      </c>
      <c r="E43" s="361">
        <f t="shared" si="4"/>
        <v>7372921</v>
      </c>
      <c r="F43" s="362">
        <f t="shared" si="5"/>
        <v>8.0693845800890465E-2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0.47418826447197399</v>
      </c>
      <c r="D44" s="366">
        <f>IF(LN_IB1=0,0,LN_IB2/LN_IB1)</f>
        <v>0.49145396438006833</v>
      </c>
      <c r="E44" s="367">
        <f t="shared" si="4"/>
        <v>1.7265699908094345E-2</v>
      </c>
      <c r="F44" s="362">
        <f t="shared" si="5"/>
        <v>3.6411065396821526E-2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8200</v>
      </c>
      <c r="D45" s="369">
        <v>7897</v>
      </c>
      <c r="E45" s="369">
        <f t="shared" si="4"/>
        <v>-303</v>
      </c>
      <c r="F45" s="362">
        <f t="shared" si="5"/>
        <v>-3.695121951219512E-2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1.1909000000000001</v>
      </c>
      <c r="D46" s="372">
        <v>1.2276</v>
      </c>
      <c r="E46" s="373">
        <f t="shared" si="4"/>
        <v>3.6699999999999955E-2</v>
      </c>
      <c r="F46" s="362">
        <f t="shared" si="5"/>
        <v>3.0817029137626965E-2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9765.380000000001</v>
      </c>
      <c r="D47" s="376">
        <f>LN_IB4*LN_IB5</f>
        <v>9694.3572000000004</v>
      </c>
      <c r="E47" s="376">
        <f t="shared" si="4"/>
        <v>-71.022800000000643</v>
      </c>
      <c r="F47" s="362">
        <f t="shared" si="5"/>
        <v>-7.272917182946351E-3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9356.4266828326181</v>
      </c>
      <c r="D48" s="378">
        <f>IF(LN_IB6=0,0,LN_IB2/LN_IB6)</f>
        <v>10185.511113619787</v>
      </c>
      <c r="E48" s="378">
        <f t="shared" si="4"/>
        <v>829.08443078716846</v>
      </c>
      <c r="F48" s="362">
        <f t="shared" si="5"/>
        <v>8.8611225085362039E-2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-1254.4480471611823</v>
      </c>
      <c r="D49" s="378">
        <f>LN_IA7-LN_IB7</f>
        <v>-2052.2005318810589</v>
      </c>
      <c r="E49" s="378">
        <f t="shared" si="4"/>
        <v>-797.75248471987652</v>
      </c>
      <c r="F49" s="362">
        <f t="shared" si="5"/>
        <v>0.63593903830867404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-12250161.870786868</v>
      </c>
      <c r="D50" s="391">
        <f>LN_IB8*LN_IB6</f>
        <v>-19894765.002084974</v>
      </c>
      <c r="E50" s="391">
        <f t="shared" si="4"/>
        <v>-7644603.1312981062</v>
      </c>
      <c r="F50" s="362">
        <f t="shared" si="5"/>
        <v>0.62404098916670625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36714</v>
      </c>
      <c r="D51" s="369">
        <v>35424</v>
      </c>
      <c r="E51" s="369">
        <f t="shared" si="4"/>
        <v>-1290</v>
      </c>
      <c r="F51" s="362">
        <f t="shared" si="5"/>
        <v>-3.5136460205916001E-2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2488.6708612518387</v>
      </c>
      <c r="D52" s="378">
        <f>IF(LN_IB10=0,0,LN_IB2/LN_IB10)</f>
        <v>2787.4317694218607</v>
      </c>
      <c r="E52" s="378">
        <f t="shared" si="4"/>
        <v>298.76090817002205</v>
      </c>
      <c r="F52" s="362">
        <f t="shared" si="5"/>
        <v>0.12004838117473712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4.4773170731707319</v>
      </c>
      <c r="D53" s="379">
        <f>IF(LN_IB4=0,0,LN_IB10/LN_IB4)</f>
        <v>4.4857540838293026</v>
      </c>
      <c r="E53" s="379">
        <f t="shared" si="4"/>
        <v>8.4370106585707205E-3</v>
      </c>
      <c r="F53" s="362">
        <f t="shared" si="5"/>
        <v>1.8843898077104077E-3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123472848</v>
      </c>
      <c r="D56" s="361">
        <v>128398715</v>
      </c>
      <c r="E56" s="361">
        <f t="shared" ref="E56:E63" si="6">D56-C56</f>
        <v>4925867</v>
      </c>
      <c r="F56" s="362">
        <f t="shared" ref="F56:F63" si="7">IF(C56=0,0,E56/C56)</f>
        <v>3.9894333691889897E-2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50855109</v>
      </c>
      <c r="D57" s="361">
        <v>50243179</v>
      </c>
      <c r="E57" s="361">
        <f t="shared" si="6"/>
        <v>-611930</v>
      </c>
      <c r="F57" s="362">
        <f t="shared" si="7"/>
        <v>-1.2032812671780921E-2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0.4118728110977079</v>
      </c>
      <c r="D58" s="366">
        <f>IF(LN_IB13=0,0,LN_IB14/LN_IB13)</f>
        <v>0.39130593324084278</v>
      </c>
      <c r="E58" s="367">
        <f t="shared" si="6"/>
        <v>-2.0566877856865118E-2</v>
      </c>
      <c r="F58" s="362">
        <f t="shared" si="7"/>
        <v>-4.9935021935657881E-2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0.64080088184041828</v>
      </c>
      <c r="D59" s="366">
        <f>IF(LN_IB1=0,0,LN_IB13/LN_IB1)</f>
        <v>0.63906005926634613</v>
      </c>
      <c r="E59" s="367">
        <f t="shared" si="6"/>
        <v>-1.7408225740721539E-3</v>
      </c>
      <c r="F59" s="362">
        <f t="shared" si="7"/>
        <v>-2.7166357341338356E-3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5254.5672310914297</v>
      </c>
      <c r="D60" s="376">
        <f>LN_IB16*LN_IB4</f>
        <v>5046.6572880263357</v>
      </c>
      <c r="E60" s="376">
        <f t="shared" si="6"/>
        <v>-207.90994306509401</v>
      </c>
      <c r="F60" s="362">
        <f t="shared" si="7"/>
        <v>-3.9567472242982203E-2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9678.2678312856697</v>
      </c>
      <c r="D61" s="378">
        <f>IF(LN_IB17=0,0,LN_IB14/LN_IB17)</f>
        <v>9955.7342875662707</v>
      </c>
      <c r="E61" s="378">
        <f t="shared" si="6"/>
        <v>277.46645628060105</v>
      </c>
      <c r="F61" s="362">
        <f t="shared" si="7"/>
        <v>2.86690202335248E-2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871.80049900942504</v>
      </c>
      <c r="D62" s="378">
        <f>LN_IA16-LN_IB18</f>
        <v>398.49277786359562</v>
      </c>
      <c r="E62" s="378">
        <f t="shared" si="6"/>
        <v>-473.30772114582942</v>
      </c>
      <c r="F62" s="362">
        <f t="shared" si="7"/>
        <v>-0.54290829344972935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4580934.334144081</v>
      </c>
      <c r="D63" s="361">
        <f>LN_IB19*LN_IB17</f>
        <v>2011056.4816311745</v>
      </c>
      <c r="E63" s="361">
        <f t="shared" si="6"/>
        <v>-2569877.8525129063</v>
      </c>
      <c r="F63" s="362">
        <f t="shared" si="7"/>
        <v>-0.56099425686115445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316158051</v>
      </c>
      <c r="D66" s="361">
        <f>LN_IB1+LN_IB13</f>
        <v>329316787</v>
      </c>
      <c r="E66" s="361">
        <f>D66-C66</f>
        <v>13158736</v>
      </c>
      <c r="F66" s="362">
        <f>IF(C66=0,0,E66/C66)</f>
        <v>4.1620752526716452E-2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142224171</v>
      </c>
      <c r="D67" s="361">
        <f>LN_IB2+LN_IB14</f>
        <v>148985162</v>
      </c>
      <c r="E67" s="361">
        <f>D67-C67</f>
        <v>6760991</v>
      </c>
      <c r="F67" s="362">
        <f>IF(C67=0,0,E67/C67)</f>
        <v>4.7537566592671505E-2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173933880</v>
      </c>
      <c r="D68" s="361">
        <f>LN_IB21-LN_IB22</f>
        <v>180331625</v>
      </c>
      <c r="E68" s="361">
        <f>D68-C68</f>
        <v>6397745</v>
      </c>
      <c r="F68" s="362">
        <f>IF(C68=0,0,E68/C68)</f>
        <v>3.6782626823480276E-2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-7669227.536642787</v>
      </c>
      <c r="D70" s="353">
        <f>LN_IB9+LN_IB20</f>
        <v>-17883708.5204538</v>
      </c>
      <c r="E70" s="361">
        <f>D70-C70</f>
        <v>-10214480.983811013</v>
      </c>
      <c r="F70" s="362">
        <f>IF(C70=0,0,E70/C70)</f>
        <v>1.3318787237707141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305724906</v>
      </c>
      <c r="D73" s="400">
        <v>314090520</v>
      </c>
      <c r="E73" s="400">
        <f>D73-C73</f>
        <v>8365614</v>
      </c>
      <c r="F73" s="401">
        <f>IF(C73=0,0,E73/C73)</f>
        <v>2.7363207366559793E-2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174790464</v>
      </c>
      <c r="D74" s="400">
        <v>185607039</v>
      </c>
      <c r="E74" s="400">
        <f>D74-C74</f>
        <v>10816575</v>
      </c>
      <c r="F74" s="401">
        <f>IF(C74=0,0,E74/C74)</f>
        <v>6.188309563615553E-2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130934442</v>
      </c>
      <c r="D76" s="353">
        <f>LN_IB32-LN_IB33</f>
        <v>128483481</v>
      </c>
      <c r="E76" s="400">
        <f>D76-C76</f>
        <v>-2450961</v>
      </c>
      <c r="F76" s="401">
        <f>IF(C76=0,0,E76/C76)</f>
        <v>-1.8718993738866662E-2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0.42827535287556845</v>
      </c>
      <c r="D77" s="366">
        <f>IF(LN_IB1=0,0,LN_IB34/LN_IB32)</f>
        <v>0.40906513510818476</v>
      </c>
      <c r="E77" s="405">
        <f>D77-C77</f>
        <v>-1.9210217767383686E-2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20406154</v>
      </c>
      <c r="D83" s="361">
        <v>18013248</v>
      </c>
      <c r="E83" s="361">
        <f t="shared" ref="E83:E95" si="8">D83-C83</f>
        <v>-2392906</v>
      </c>
      <c r="F83" s="362">
        <f t="shared" ref="F83:F95" si="9">IF(C83=0,0,E83/C83)</f>
        <v>-0.11726393910386053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1590034</v>
      </c>
      <c r="D84" s="361">
        <v>1010117</v>
      </c>
      <c r="E84" s="361">
        <f t="shared" si="8"/>
        <v>-579917</v>
      </c>
      <c r="F84" s="362">
        <f t="shared" si="9"/>
        <v>-0.36471987391464583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7.7919337470451322E-2</v>
      </c>
      <c r="D85" s="366">
        <f>IF(LN_IC1=0,0,LN_IC2/LN_IC1)</f>
        <v>5.6076338925661821E-2</v>
      </c>
      <c r="E85" s="367">
        <f t="shared" si="8"/>
        <v>-2.1842998544789501E-2</v>
      </c>
      <c r="F85" s="362">
        <f t="shared" si="9"/>
        <v>-0.28032834022841674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955</v>
      </c>
      <c r="D86" s="369">
        <v>1024</v>
      </c>
      <c r="E86" s="369">
        <f t="shared" si="8"/>
        <v>69</v>
      </c>
      <c r="F86" s="362">
        <f t="shared" si="9"/>
        <v>7.2251308900523559E-2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1.0987</v>
      </c>
      <c r="D87" s="372">
        <v>1.0674999999999999</v>
      </c>
      <c r="E87" s="373">
        <f t="shared" si="8"/>
        <v>-3.1200000000000117E-2</v>
      </c>
      <c r="F87" s="362">
        <f t="shared" si="9"/>
        <v>-2.8397196686993826E-2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1049.2584999999999</v>
      </c>
      <c r="D88" s="376">
        <f>LN_IC4*LN_IC5</f>
        <v>1093.1199999999999</v>
      </c>
      <c r="E88" s="376">
        <f t="shared" si="8"/>
        <v>43.861499999999978</v>
      </c>
      <c r="F88" s="362">
        <f t="shared" si="9"/>
        <v>4.1802377583788915E-2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1515.3882479865545</v>
      </c>
      <c r="D89" s="378">
        <f>IF(LN_IC6=0,0,LN_IC2/LN_IC6)</f>
        <v>924.06780591334905</v>
      </c>
      <c r="E89" s="378">
        <f t="shared" si="8"/>
        <v>-591.32044207320541</v>
      </c>
      <c r="F89" s="362">
        <f t="shared" si="9"/>
        <v>-0.39021052384355825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7841.0384348460639</v>
      </c>
      <c r="D90" s="378">
        <f>LN_IB7-LN_IC7</f>
        <v>9261.4433077064368</v>
      </c>
      <c r="E90" s="378">
        <f t="shared" si="8"/>
        <v>1420.404872860373</v>
      </c>
      <c r="F90" s="362">
        <f t="shared" si="9"/>
        <v>0.18115009697542167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6586.5903876848815</v>
      </c>
      <c r="D91" s="378">
        <f>LN_IA7-LN_IC7</f>
        <v>7209.2427758253789</v>
      </c>
      <c r="E91" s="378">
        <f t="shared" si="8"/>
        <v>622.65238814049735</v>
      </c>
      <c r="F91" s="362">
        <f t="shared" si="9"/>
        <v>9.4533339936348049E-2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6911035.9502966572</v>
      </c>
      <c r="D92" s="353">
        <f>LN_IC9*LN_IC6</f>
        <v>7880567.4631102374</v>
      </c>
      <c r="E92" s="353">
        <f t="shared" si="8"/>
        <v>969531.51281358022</v>
      </c>
      <c r="F92" s="362">
        <f t="shared" si="9"/>
        <v>0.14028743589041279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4657</v>
      </c>
      <c r="D93" s="369">
        <v>5403</v>
      </c>
      <c r="E93" s="369">
        <f t="shared" si="8"/>
        <v>746</v>
      </c>
      <c r="F93" s="362">
        <f t="shared" si="9"/>
        <v>0.16018896285162121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341.42881683487224</v>
      </c>
      <c r="D94" s="411">
        <f>IF(LN_IC11=0,0,LN_IC2/LN_IC11)</f>
        <v>186.95483990375718</v>
      </c>
      <c r="E94" s="411">
        <f t="shared" si="8"/>
        <v>-154.47397693111506</v>
      </c>
      <c r="F94" s="362">
        <f t="shared" si="9"/>
        <v>-0.45243391686479839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4.8764397905759163</v>
      </c>
      <c r="D95" s="379">
        <f>IF(LN_IC4=0,0,LN_IC11/LN_IC4)</f>
        <v>5.2763671875</v>
      </c>
      <c r="E95" s="379">
        <f t="shared" si="8"/>
        <v>0.39992739692408374</v>
      </c>
      <c r="F95" s="362">
        <f t="shared" si="9"/>
        <v>8.2012167503220948E-2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20686277</v>
      </c>
      <c r="D98" s="361">
        <v>22035587</v>
      </c>
      <c r="E98" s="361">
        <f t="shared" ref="E98:E106" si="10">D98-C98</f>
        <v>1349310</v>
      </c>
      <c r="F98" s="362">
        <f t="shared" ref="F98:F106" si="11">IF(C98=0,0,E98/C98)</f>
        <v>6.5227300204865279E-2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1462161</v>
      </c>
      <c r="D99" s="361">
        <v>1818473</v>
      </c>
      <c r="E99" s="361">
        <f t="shared" si="10"/>
        <v>356312</v>
      </c>
      <c r="F99" s="362">
        <f t="shared" si="11"/>
        <v>0.24368862252515283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7.0682655946258485E-2</v>
      </c>
      <c r="D100" s="366">
        <f>IF(LN_IC14=0,0,LN_IC15/LN_IC14)</f>
        <v>8.2524372960883677E-2</v>
      </c>
      <c r="E100" s="367">
        <f t="shared" si="10"/>
        <v>1.1841717014625192E-2</v>
      </c>
      <c r="F100" s="362">
        <f t="shared" si="11"/>
        <v>0.16753356047668466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1.0137273785153242</v>
      </c>
      <c r="D101" s="366">
        <f>IF(LN_IC1=0,0,LN_IC14/LN_IC1)</f>
        <v>1.2232989297654704</v>
      </c>
      <c r="E101" s="367">
        <f t="shared" si="10"/>
        <v>0.20957155125014615</v>
      </c>
      <c r="F101" s="362">
        <f t="shared" si="11"/>
        <v>0.20673364031765482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968.10964648213462</v>
      </c>
      <c r="D102" s="376">
        <f>LN_IC17*LN_IC4</f>
        <v>1252.6581040798417</v>
      </c>
      <c r="E102" s="376">
        <f t="shared" si="10"/>
        <v>284.54845759770706</v>
      </c>
      <c r="F102" s="362">
        <f t="shared" si="11"/>
        <v>0.29392172532489902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1510.3258244694937</v>
      </c>
      <c r="D103" s="378">
        <f>IF(LN_IC18=0,0,LN_IC15/LN_IC18)</f>
        <v>1451.6914025282149</v>
      </c>
      <c r="E103" s="378">
        <f t="shared" si="10"/>
        <v>-58.634421941278788</v>
      </c>
      <c r="F103" s="362">
        <f t="shared" si="11"/>
        <v>-3.8822366002961184E-2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8167.9420068161762</v>
      </c>
      <c r="D104" s="378">
        <f>LN_IB18-LN_IC19</f>
        <v>8504.0428850380558</v>
      </c>
      <c r="E104" s="378">
        <f t="shared" si="10"/>
        <v>336.10087822187961</v>
      </c>
      <c r="F104" s="362">
        <f t="shared" si="11"/>
        <v>4.1148783615432415E-2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9039.7425058256013</v>
      </c>
      <c r="D105" s="378">
        <f>LN_IA16-LN_IC19</f>
        <v>8902.5356629016514</v>
      </c>
      <c r="E105" s="378">
        <f t="shared" si="10"/>
        <v>-137.20684292394981</v>
      </c>
      <c r="F105" s="362">
        <f t="shared" si="11"/>
        <v>-1.5178180444357545E-2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8751461.9216043483</v>
      </c>
      <c r="D106" s="361">
        <f>LN_IC21*LN_IC18</f>
        <v>11151833.444993559</v>
      </c>
      <c r="E106" s="361">
        <f t="shared" si="10"/>
        <v>2400371.5233892109</v>
      </c>
      <c r="F106" s="362">
        <f t="shared" si="11"/>
        <v>0.27428234789704331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41092431</v>
      </c>
      <c r="D109" s="361">
        <f>LN_IC1+LN_IC14</f>
        <v>40048835</v>
      </c>
      <c r="E109" s="361">
        <f>D109-C109</f>
        <v>-1043596</v>
      </c>
      <c r="F109" s="362">
        <f>IF(C109=0,0,E109/C109)</f>
        <v>-2.5396307169074518E-2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3052195</v>
      </c>
      <c r="D110" s="361">
        <f>LN_IC2+LN_IC15</f>
        <v>2828590</v>
      </c>
      <c r="E110" s="361">
        <f>D110-C110</f>
        <v>-223605</v>
      </c>
      <c r="F110" s="362">
        <f>IF(C110=0,0,E110/C110)</f>
        <v>-7.3260391292168422E-2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38040236</v>
      </c>
      <c r="D111" s="361">
        <f>LN_IC23-LN_IC24</f>
        <v>37220245</v>
      </c>
      <c r="E111" s="361">
        <f>D111-C111</f>
        <v>-819991</v>
      </c>
      <c r="F111" s="362">
        <f>IF(C111=0,0,E111/C111)</f>
        <v>-2.1555886246341898E-2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15662497.871901006</v>
      </c>
      <c r="D113" s="361">
        <f>LN_IC10+LN_IC22</f>
        <v>19032400.908103798</v>
      </c>
      <c r="E113" s="361">
        <f>D113-C113</f>
        <v>3369903.0362027921</v>
      </c>
      <c r="F113" s="362">
        <f>IF(C113=0,0,E113/C113)</f>
        <v>0.21515744575126167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70140666</v>
      </c>
      <c r="D118" s="361">
        <v>90621119</v>
      </c>
      <c r="E118" s="361">
        <f t="shared" ref="E118:E130" si="12">D118-C118</f>
        <v>20480453</v>
      </c>
      <c r="F118" s="362">
        <f t="shared" ref="F118:F130" si="13">IF(C118=0,0,E118/C118)</f>
        <v>0.29199113963360429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19983110</v>
      </c>
      <c r="D119" s="361">
        <v>24004368</v>
      </c>
      <c r="E119" s="361">
        <f t="shared" si="12"/>
        <v>4021258</v>
      </c>
      <c r="F119" s="362">
        <f t="shared" si="13"/>
        <v>0.20123284113433795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0.28490048839855614</v>
      </c>
      <c r="D120" s="366">
        <f>IF(LN_ID1=0,0,LN_1D2/LN_ID1)</f>
        <v>0.26488712857319718</v>
      </c>
      <c r="E120" s="367">
        <f t="shared" si="12"/>
        <v>-2.0013359825358956E-2</v>
      </c>
      <c r="F120" s="362">
        <f t="shared" si="13"/>
        <v>-7.0246842811170079E-2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3120</v>
      </c>
      <c r="D121" s="369">
        <v>3652</v>
      </c>
      <c r="E121" s="369">
        <f t="shared" si="12"/>
        <v>532</v>
      </c>
      <c r="F121" s="362">
        <f t="shared" si="13"/>
        <v>0.17051282051282052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0.91249999999999998</v>
      </c>
      <c r="D122" s="372">
        <v>0.9274</v>
      </c>
      <c r="E122" s="373">
        <f t="shared" si="12"/>
        <v>1.4900000000000024E-2</v>
      </c>
      <c r="F122" s="362">
        <f t="shared" si="13"/>
        <v>1.6328767123287697E-2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2847</v>
      </c>
      <c r="D123" s="376">
        <f>LN_ID4*LN_ID5</f>
        <v>3386.8647999999998</v>
      </c>
      <c r="E123" s="376">
        <f t="shared" si="12"/>
        <v>539.86479999999983</v>
      </c>
      <c r="F123" s="362">
        <f t="shared" si="13"/>
        <v>0.18962585177379693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7019.0059711977519</v>
      </c>
      <c r="D124" s="378">
        <f>IF(LN_ID6=0,0,LN_1D2/LN_ID6)</f>
        <v>7087.4892909808505</v>
      </c>
      <c r="E124" s="378">
        <f t="shared" si="12"/>
        <v>68.483319783098523</v>
      </c>
      <c r="F124" s="362">
        <f t="shared" si="13"/>
        <v>9.7568402226921383E-3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2337.4207116348662</v>
      </c>
      <c r="D125" s="378">
        <f>LN_IB7-LN_ID7</f>
        <v>3098.0218226389361</v>
      </c>
      <c r="E125" s="378">
        <f t="shared" si="12"/>
        <v>760.60111100406994</v>
      </c>
      <c r="F125" s="362">
        <f t="shared" si="13"/>
        <v>0.32540188731025721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1082.9726644736838</v>
      </c>
      <c r="D126" s="378">
        <f>LN_IA7-LN_ID7</f>
        <v>1045.8212907578773</v>
      </c>
      <c r="E126" s="378">
        <f t="shared" si="12"/>
        <v>-37.151373715806585</v>
      </c>
      <c r="F126" s="362">
        <f t="shared" si="13"/>
        <v>-3.4304996732176851E-2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3083223.1757565779</v>
      </c>
      <c r="D127" s="391">
        <f>LN_ID9*LN_ID6</f>
        <v>3542055.3167584194</v>
      </c>
      <c r="E127" s="391">
        <f t="shared" si="12"/>
        <v>458832.14100184152</v>
      </c>
      <c r="F127" s="362">
        <f t="shared" si="13"/>
        <v>0.14881574081618365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20920</v>
      </c>
      <c r="D128" s="369">
        <v>22595</v>
      </c>
      <c r="E128" s="369">
        <f t="shared" si="12"/>
        <v>1675</v>
      </c>
      <c r="F128" s="362">
        <f t="shared" si="13"/>
        <v>8.0066921606118543E-2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955.21558317399615</v>
      </c>
      <c r="D129" s="378">
        <f>IF(LN_ID11=0,0,LN_1D2/LN_ID11)</f>
        <v>1062.3752157556983</v>
      </c>
      <c r="E129" s="378">
        <f t="shared" si="12"/>
        <v>107.15963258170211</v>
      </c>
      <c r="F129" s="362">
        <f t="shared" si="13"/>
        <v>0.11218371482763234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6.7051282051282053</v>
      </c>
      <c r="D130" s="379">
        <f>IF(LN_ID4=0,0,LN_ID11/LN_ID4)</f>
        <v>6.1870208105147864</v>
      </c>
      <c r="E130" s="379">
        <f t="shared" si="12"/>
        <v>-0.51810739461341893</v>
      </c>
      <c r="F130" s="362">
        <f t="shared" si="13"/>
        <v>-7.7270318890720224E-2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26223645</v>
      </c>
      <c r="D133" s="361">
        <v>40364564</v>
      </c>
      <c r="E133" s="361">
        <f t="shared" ref="E133:E141" si="14">D133-C133</f>
        <v>14140919</v>
      </c>
      <c r="F133" s="362">
        <f t="shared" ref="F133:F141" si="15">IF(C133=0,0,E133/C133)</f>
        <v>0.53924307623902012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8456331</v>
      </c>
      <c r="D134" s="361">
        <v>8879166</v>
      </c>
      <c r="E134" s="361">
        <f t="shared" si="14"/>
        <v>422835</v>
      </c>
      <c r="F134" s="362">
        <f t="shared" si="15"/>
        <v>5.0002181797283003E-2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0.32246970243839101</v>
      </c>
      <c r="D135" s="366">
        <f>IF(LN_ID14=0,0,LN_ID15/LN_ID14)</f>
        <v>0.21997428239284339</v>
      </c>
      <c r="E135" s="367">
        <f t="shared" si="14"/>
        <v>-0.10249542004554762</v>
      </c>
      <c r="F135" s="362">
        <f t="shared" si="15"/>
        <v>-0.31784511620942046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0.37387219847613079</v>
      </c>
      <c r="D136" s="366">
        <f>IF(LN_ID1=0,0,LN_ID14/LN_ID1)</f>
        <v>0.44542116060164738</v>
      </c>
      <c r="E136" s="367">
        <f t="shared" si="14"/>
        <v>7.1548962125516591E-2</v>
      </c>
      <c r="F136" s="362">
        <f t="shared" si="15"/>
        <v>0.19137278037025401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1166.481259245528</v>
      </c>
      <c r="D137" s="376">
        <f>LN_ID17*LN_ID4</f>
        <v>1626.6780785172161</v>
      </c>
      <c r="E137" s="376">
        <f t="shared" si="14"/>
        <v>460.19681927168813</v>
      </c>
      <c r="F137" s="362">
        <f t="shared" si="15"/>
        <v>0.39451711343338702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7249.4357993110807</v>
      </c>
      <c r="D138" s="378">
        <f>IF(LN_ID18=0,0,LN_ID15/LN_ID18)</f>
        <v>5458.4653947594379</v>
      </c>
      <c r="E138" s="378">
        <f t="shared" si="14"/>
        <v>-1790.9704045516428</v>
      </c>
      <c r="F138" s="362">
        <f t="shared" si="15"/>
        <v>-0.24704962622358007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2428.832031974589</v>
      </c>
      <c r="D139" s="378">
        <f>LN_IB18-LN_ID19</f>
        <v>4497.2688928068328</v>
      </c>
      <c r="E139" s="378">
        <f t="shared" si="14"/>
        <v>2068.4368608322438</v>
      </c>
      <c r="F139" s="362">
        <f t="shared" si="15"/>
        <v>0.8516179108320836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3300.632530984014</v>
      </c>
      <c r="D140" s="378">
        <f>LN_IA16-LN_ID19</f>
        <v>4895.7616706704284</v>
      </c>
      <c r="E140" s="378">
        <f t="shared" si="14"/>
        <v>1595.1291396864144</v>
      </c>
      <c r="F140" s="362">
        <f t="shared" si="15"/>
        <v>0.48327983339934549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3850125.991048987</v>
      </c>
      <c r="D141" s="353">
        <f>LN_ID21*LN_ID18</f>
        <v>7963828.1873244084</v>
      </c>
      <c r="E141" s="353">
        <f t="shared" si="14"/>
        <v>4113702.1962754214</v>
      </c>
      <c r="F141" s="362">
        <f t="shared" si="15"/>
        <v>1.0684591116860105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96364311</v>
      </c>
      <c r="D144" s="361">
        <f>LN_ID1+LN_ID14</f>
        <v>130985683</v>
      </c>
      <c r="E144" s="361">
        <f>D144-C144</f>
        <v>34621372</v>
      </c>
      <c r="F144" s="362">
        <f>IF(C144=0,0,E144/C144)</f>
        <v>0.35927587340919193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28439441</v>
      </c>
      <c r="D145" s="361">
        <f>LN_1D2+LN_ID15</f>
        <v>32883534</v>
      </c>
      <c r="E145" s="361">
        <f>D145-C145</f>
        <v>4444093</v>
      </c>
      <c r="F145" s="362">
        <f>IF(C145=0,0,E145/C145)</f>
        <v>0.15626513193420363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67924870</v>
      </c>
      <c r="D146" s="361">
        <f>LN_ID23-LN_ID24</f>
        <v>98102149</v>
      </c>
      <c r="E146" s="361">
        <f>D146-C146</f>
        <v>30177279</v>
      </c>
      <c r="F146" s="362">
        <f>IF(C146=0,0,E146/C146)</f>
        <v>0.44427437255308694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6933349.1668055654</v>
      </c>
      <c r="D148" s="361">
        <f>LN_ID10+LN_ID22</f>
        <v>11505883.504082829</v>
      </c>
      <c r="E148" s="361">
        <f>D148-C148</f>
        <v>4572534.3372772634</v>
      </c>
      <c r="F148" s="415">
        <f>IF(C148=0,0,E148/C148)</f>
        <v>0.65949863871979042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16579438</v>
      </c>
      <c r="D153" s="361">
        <v>11046291</v>
      </c>
      <c r="E153" s="361">
        <f t="shared" ref="E153:E165" si="16">D153-C153</f>
        <v>-5533147</v>
      </c>
      <c r="F153" s="362">
        <f t="shared" ref="F153:F165" si="17">IF(C153=0,0,E153/C153)</f>
        <v>-0.33373549815138487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1985149</v>
      </c>
      <c r="D154" s="361">
        <v>245689</v>
      </c>
      <c r="E154" s="361">
        <f t="shared" si="16"/>
        <v>-1739460</v>
      </c>
      <c r="F154" s="362">
        <f t="shared" si="17"/>
        <v>-0.8762364940868419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0.11973560261813458</v>
      </c>
      <c r="D155" s="366">
        <f>IF(LN_IE1=0,0,LN_IE2/LN_IE1)</f>
        <v>2.2241764226562565E-2</v>
      </c>
      <c r="E155" s="367">
        <f t="shared" si="16"/>
        <v>-9.7493838391572024E-2</v>
      </c>
      <c r="F155" s="362">
        <f t="shared" si="17"/>
        <v>-0.81424268354420148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659</v>
      </c>
      <c r="D156" s="419">
        <v>374</v>
      </c>
      <c r="E156" s="419">
        <f t="shared" si="16"/>
        <v>-285</v>
      </c>
      <c r="F156" s="362">
        <f t="shared" si="17"/>
        <v>-0.4324734446130501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1.2045999999999999</v>
      </c>
      <c r="D157" s="372">
        <v>1.2904</v>
      </c>
      <c r="E157" s="373">
        <f t="shared" si="16"/>
        <v>8.5800000000000098E-2</v>
      </c>
      <c r="F157" s="362">
        <f t="shared" si="17"/>
        <v>7.1226963307322019E-2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793.83139999999992</v>
      </c>
      <c r="D158" s="376">
        <f>LN_IE4*LN_IE5</f>
        <v>482.6096</v>
      </c>
      <c r="E158" s="376">
        <f t="shared" si="16"/>
        <v>-311.22179999999992</v>
      </c>
      <c r="F158" s="362">
        <f t="shared" si="17"/>
        <v>-0.39205025147657291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2500.7186664573865</v>
      </c>
      <c r="D159" s="378">
        <f>IF(LN_IE6=0,0,LN_IE2/LN_IE6)</f>
        <v>509.08436135543099</v>
      </c>
      <c r="E159" s="378">
        <f t="shared" si="16"/>
        <v>-1991.6343051019555</v>
      </c>
      <c r="F159" s="362">
        <f t="shared" si="17"/>
        <v>-0.7964247765316923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6855.7080163752316</v>
      </c>
      <c r="D160" s="378">
        <f>LN_IB7-LN_IE7</f>
        <v>9676.4267522643549</v>
      </c>
      <c r="E160" s="378">
        <f t="shared" si="16"/>
        <v>2820.7187358891233</v>
      </c>
      <c r="F160" s="362">
        <f t="shared" si="17"/>
        <v>0.41144090867809469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5601.2599692140493</v>
      </c>
      <c r="D161" s="378">
        <f>LN_IA7-LN_IE7</f>
        <v>7624.226220383297</v>
      </c>
      <c r="E161" s="378">
        <f t="shared" si="16"/>
        <v>2022.9662511692477</v>
      </c>
      <c r="F161" s="362">
        <f t="shared" si="17"/>
        <v>0.36116271379796422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4446456.0431251451</v>
      </c>
      <c r="D162" s="391">
        <f>LN_IE9*LN_IE6</f>
        <v>3679524.7665286949</v>
      </c>
      <c r="E162" s="391">
        <f t="shared" si="16"/>
        <v>-766931.27659645025</v>
      </c>
      <c r="F162" s="362">
        <f t="shared" si="17"/>
        <v>-0.17248147044706205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3696</v>
      </c>
      <c r="D163" s="369">
        <v>1909</v>
      </c>
      <c r="E163" s="419">
        <f t="shared" si="16"/>
        <v>-1787</v>
      </c>
      <c r="F163" s="362">
        <f t="shared" si="17"/>
        <v>-0.48349567099567098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537.10741341991343</v>
      </c>
      <c r="D164" s="378">
        <f>IF(LN_IE11=0,0,LN_IE2/LN_IE11)</f>
        <v>128.70036668412783</v>
      </c>
      <c r="E164" s="378">
        <f t="shared" si="16"/>
        <v>-408.40704673578557</v>
      </c>
      <c r="F164" s="362">
        <f t="shared" si="17"/>
        <v>-0.76038244219223017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5.6084977238239757</v>
      </c>
      <c r="D165" s="379">
        <f>IF(LN_IE4=0,0,LN_IE11/LN_IE4)</f>
        <v>5.1042780748663104</v>
      </c>
      <c r="E165" s="379">
        <f t="shared" si="16"/>
        <v>-0.50421964895766536</v>
      </c>
      <c r="F165" s="362">
        <f t="shared" si="17"/>
        <v>-8.9902799962960356E-2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8269032</v>
      </c>
      <c r="D168" s="424">
        <v>6954525</v>
      </c>
      <c r="E168" s="424">
        <f t="shared" ref="E168:E176" si="18">D168-C168</f>
        <v>-1314507</v>
      </c>
      <c r="F168" s="362">
        <f t="shared" ref="F168:F176" si="19">IF(C168=0,0,E168/C168)</f>
        <v>-0.15896745834337078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1426347</v>
      </c>
      <c r="D169" s="424">
        <v>2054361</v>
      </c>
      <c r="E169" s="424">
        <f t="shared" si="18"/>
        <v>628014</v>
      </c>
      <c r="F169" s="362">
        <f t="shared" si="19"/>
        <v>0.44029538394233664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0.17249262065983056</v>
      </c>
      <c r="D170" s="366">
        <f>IF(LN_IE14=0,0,LN_IE15/LN_IE14)</f>
        <v>0.29539918254661535</v>
      </c>
      <c r="E170" s="367">
        <f t="shared" si="18"/>
        <v>0.12290656188678478</v>
      </c>
      <c r="F170" s="362">
        <f t="shared" si="19"/>
        <v>0.71253228930393775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0.49875224962390163</v>
      </c>
      <c r="D171" s="366">
        <f>IF(LN_IE1=0,0,LN_IE14/LN_IE1)</f>
        <v>0.62958010068718995</v>
      </c>
      <c r="E171" s="367">
        <f t="shared" si="18"/>
        <v>0.13082785106328831</v>
      </c>
      <c r="F171" s="362">
        <f t="shared" si="19"/>
        <v>0.26231029767172537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328.67773250215117</v>
      </c>
      <c r="D172" s="376">
        <f>LN_IE17*LN_IE4</f>
        <v>235.46295765700904</v>
      </c>
      <c r="E172" s="376">
        <f t="shared" si="18"/>
        <v>-93.214774845142131</v>
      </c>
      <c r="F172" s="362">
        <f t="shared" si="19"/>
        <v>-0.28360538493289028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4339.6520632582397</v>
      </c>
      <c r="D173" s="378">
        <f>IF(LN_IE18=0,0,LN_IE15/LN_IE18)</f>
        <v>8724.7736138289674</v>
      </c>
      <c r="E173" s="378">
        <f t="shared" si="18"/>
        <v>4385.1215505707278</v>
      </c>
      <c r="F173" s="362">
        <f t="shared" si="19"/>
        <v>1.0104776803876643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5338.61576802743</v>
      </c>
      <c r="D174" s="378">
        <f>LN_IB18-LN_IE19</f>
        <v>1230.9606737373033</v>
      </c>
      <c r="E174" s="378">
        <f t="shared" si="18"/>
        <v>-4107.6550942901267</v>
      </c>
      <c r="F174" s="362">
        <f t="shared" si="19"/>
        <v>-0.76942324991631084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6210.4162670368551</v>
      </c>
      <c r="D175" s="378">
        <f>LN_IA16-LN_IE19</f>
        <v>1629.4534516008989</v>
      </c>
      <c r="E175" s="378">
        <f t="shared" si="18"/>
        <v>-4580.9628154359561</v>
      </c>
      <c r="F175" s="362">
        <f t="shared" si="19"/>
        <v>-0.737625727239963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2041225.5365441476</v>
      </c>
      <c r="D176" s="353">
        <f>LN_IE21*LN_IE18</f>
        <v>383675.92907836969</v>
      </c>
      <c r="E176" s="353">
        <f t="shared" si="18"/>
        <v>-1657549.607465778</v>
      </c>
      <c r="F176" s="362">
        <f t="shared" si="19"/>
        <v>-0.81203648386256044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24848470</v>
      </c>
      <c r="D179" s="361">
        <f>LN_IE1+LN_IE14</f>
        <v>18000816</v>
      </c>
      <c r="E179" s="361">
        <f>D179-C179</f>
        <v>-6847654</v>
      </c>
      <c r="F179" s="362">
        <f>IF(C179=0,0,E179/C179)</f>
        <v>-0.27557648418594788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3411496</v>
      </c>
      <c r="D180" s="361">
        <f>LN_IE15+LN_IE2</f>
        <v>2300050</v>
      </c>
      <c r="E180" s="361">
        <f>D180-C180</f>
        <v>-1111446</v>
      </c>
      <c r="F180" s="362">
        <f>IF(C180=0,0,E180/C180)</f>
        <v>-0.3257943142832353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21436974</v>
      </c>
      <c r="D181" s="361">
        <f>LN_IE23-LN_IE24</f>
        <v>15700766</v>
      </c>
      <c r="E181" s="361">
        <f>D181-C181</f>
        <v>-5736208</v>
      </c>
      <c r="F181" s="362">
        <f>IF(C181=0,0,E181/C181)</f>
        <v>-0.26758478132221458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6487681.579669293</v>
      </c>
      <c r="D183" s="361">
        <f>LN_IE10+LN_IE22</f>
        <v>4063200.6956070648</v>
      </c>
      <c r="E183" s="353">
        <f>D183-C183</f>
        <v>-2424480.8840622283</v>
      </c>
      <c r="F183" s="362">
        <f>IF(C183=0,0,E183/C183)</f>
        <v>-0.37370528351143512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86720104</v>
      </c>
      <c r="D188" s="361">
        <f>LN_ID1+LN_IE1</f>
        <v>101667410</v>
      </c>
      <c r="E188" s="361">
        <f t="shared" ref="E188:E200" si="20">D188-C188</f>
        <v>14947306</v>
      </c>
      <c r="F188" s="362">
        <f t="shared" ref="F188:F200" si="21">IF(C188=0,0,E188/C188)</f>
        <v>0.17236263923299722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21968259</v>
      </c>
      <c r="D189" s="361">
        <f>LN_1D2+LN_IE2</f>
        <v>24250057</v>
      </c>
      <c r="E189" s="361">
        <f t="shared" si="20"/>
        <v>2281798</v>
      </c>
      <c r="F189" s="362">
        <f t="shared" si="21"/>
        <v>0.10386794875278919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0.25332371603244386</v>
      </c>
      <c r="D190" s="366">
        <f>IF(LN_IF1=0,0,LN_IF2/LN_IF1)</f>
        <v>0.23852340686164819</v>
      </c>
      <c r="E190" s="367">
        <f t="shared" si="20"/>
        <v>-1.4800309170795667E-2</v>
      </c>
      <c r="F190" s="362">
        <f t="shared" si="21"/>
        <v>-5.8424491013309432E-2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3779</v>
      </c>
      <c r="D191" s="369">
        <f>LN_ID4+LN_IE4</f>
        <v>4026</v>
      </c>
      <c r="E191" s="369">
        <f t="shared" si="20"/>
        <v>247</v>
      </c>
      <c r="F191" s="362">
        <f t="shared" si="21"/>
        <v>6.5361206668430802E-2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0.96343778777454359</v>
      </c>
      <c r="D192" s="372">
        <f>IF((LN_ID4+LN_IE4)=0,0,(LN_ID6+LN_IE6)/(LN_ID4+LN_IE4))</f>
        <v>0.9611213114754098</v>
      </c>
      <c r="E192" s="373">
        <f t="shared" si="20"/>
        <v>-2.3164762991337851E-3</v>
      </c>
      <c r="F192" s="362">
        <f t="shared" si="21"/>
        <v>-2.4043859692120246E-3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3640.8314</v>
      </c>
      <c r="D193" s="376">
        <f>LN_IF4*LN_IF5</f>
        <v>3869.4744000000001</v>
      </c>
      <c r="E193" s="376">
        <f t="shared" si="20"/>
        <v>228.64300000000003</v>
      </c>
      <c r="F193" s="362">
        <f t="shared" si="21"/>
        <v>6.279966713097454E-2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6033.8578161021132</v>
      </c>
      <c r="D194" s="378">
        <f>IF(LN_IF6=0,0,LN_IF2/LN_IF6)</f>
        <v>6267.015747668469</v>
      </c>
      <c r="E194" s="378">
        <f t="shared" si="20"/>
        <v>233.15793156635573</v>
      </c>
      <c r="F194" s="362">
        <f t="shared" si="21"/>
        <v>3.8641601885968255E-2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3322.5688667305049</v>
      </c>
      <c r="D195" s="378">
        <f>LN_IB7-LN_IF7</f>
        <v>3918.4953659513176</v>
      </c>
      <c r="E195" s="378">
        <f t="shared" si="20"/>
        <v>595.92649922081273</v>
      </c>
      <c r="F195" s="362">
        <f t="shared" si="21"/>
        <v>0.17935715499772922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2068.1208195693225</v>
      </c>
      <c r="D196" s="378">
        <f>LN_IA7-LN_IF7</f>
        <v>1866.2948340702587</v>
      </c>
      <c r="E196" s="378">
        <f t="shared" si="20"/>
        <v>-201.82598549906379</v>
      </c>
      <c r="F196" s="362">
        <f t="shared" si="21"/>
        <v>-9.7589069066619238E-2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7529679.2188817225</v>
      </c>
      <c r="D197" s="391">
        <f>LN_IF9*LN_IF6</f>
        <v>7221580.0832871143</v>
      </c>
      <c r="E197" s="391">
        <f t="shared" si="20"/>
        <v>-308099.13559460826</v>
      </c>
      <c r="F197" s="362">
        <f t="shared" si="21"/>
        <v>-4.0917962988649852E-2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24616</v>
      </c>
      <c r="D198" s="369">
        <f>LN_ID11+LN_IE11</f>
        <v>24504</v>
      </c>
      <c r="E198" s="369">
        <f t="shared" si="20"/>
        <v>-112</v>
      </c>
      <c r="F198" s="362">
        <f t="shared" si="21"/>
        <v>-4.5498862528436787E-3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892.438210919727</v>
      </c>
      <c r="D199" s="432">
        <f>IF(LN_IF11=0,0,LN_IF2/LN_IF11)</f>
        <v>989.63667156382633</v>
      </c>
      <c r="E199" s="432">
        <f t="shared" si="20"/>
        <v>97.198460644099328</v>
      </c>
      <c r="F199" s="362">
        <f t="shared" si="21"/>
        <v>0.10891337848917154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6.5138925641704155</v>
      </c>
      <c r="D200" s="379">
        <f>IF(LN_IF4=0,0,LN_IF11/LN_IF4)</f>
        <v>6.0864381520119224</v>
      </c>
      <c r="E200" s="379">
        <f t="shared" si="20"/>
        <v>-0.42745441215849311</v>
      </c>
      <c r="F200" s="362">
        <f t="shared" si="21"/>
        <v>-6.5621962282537596E-2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34492677</v>
      </c>
      <c r="D203" s="361">
        <f>LN_ID14+LN_IE14</f>
        <v>47319089</v>
      </c>
      <c r="E203" s="361">
        <f t="shared" ref="E203:E211" si="22">D203-C203</f>
        <v>12826412</v>
      </c>
      <c r="F203" s="362">
        <f t="shared" ref="F203:F211" si="23">IF(C203=0,0,E203/C203)</f>
        <v>0.37185898908339299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9882678</v>
      </c>
      <c r="D204" s="361">
        <f>LN_ID15+LN_IE15</f>
        <v>10933527</v>
      </c>
      <c r="E204" s="361">
        <f t="shared" si="22"/>
        <v>1050849</v>
      </c>
      <c r="F204" s="362">
        <f t="shared" si="23"/>
        <v>0.10633241313741074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0.28651525075887846</v>
      </c>
      <c r="D205" s="366">
        <f>IF(LN_IF14=0,0,LN_IF15/LN_IF14)</f>
        <v>0.2310595413195719</v>
      </c>
      <c r="E205" s="367">
        <f t="shared" si="22"/>
        <v>-5.5455709439306555E-2</v>
      </c>
      <c r="F205" s="362">
        <f t="shared" si="23"/>
        <v>-0.19355238261287599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0.39774718212976312</v>
      </c>
      <c r="D206" s="366">
        <f>IF(LN_IF1=0,0,LN_IF14/LN_IF1)</f>
        <v>0.46543025931318599</v>
      </c>
      <c r="E206" s="367">
        <f t="shared" si="22"/>
        <v>6.7683077183422868E-2</v>
      </c>
      <c r="F206" s="362">
        <f t="shared" si="23"/>
        <v>0.17016607590029786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1495.1589917476792</v>
      </c>
      <c r="D207" s="376">
        <f>LN_ID18+LN_IE18</f>
        <v>1862.1410361742251</v>
      </c>
      <c r="E207" s="376">
        <f t="shared" si="22"/>
        <v>366.98204442654583</v>
      </c>
      <c r="F207" s="362">
        <f t="shared" si="23"/>
        <v>0.24544683639134823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6609.7840126341462</v>
      </c>
      <c r="D208" s="378">
        <f>IF(LN_IF18=0,0,LN_IF15/LN_IF18)</f>
        <v>5871.4816910232357</v>
      </c>
      <c r="E208" s="378">
        <f t="shared" si="22"/>
        <v>-738.30232161091044</v>
      </c>
      <c r="F208" s="362">
        <f t="shared" si="23"/>
        <v>-0.11169840348787441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3068.4838186515235</v>
      </c>
      <c r="D209" s="378">
        <f>LN_IB18-LN_IF19</f>
        <v>4084.252596543035</v>
      </c>
      <c r="E209" s="378">
        <f t="shared" si="22"/>
        <v>1015.7687778915115</v>
      </c>
      <c r="F209" s="362">
        <f t="shared" si="23"/>
        <v>0.33103279597475649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3940.2843176609485</v>
      </c>
      <c r="D210" s="378">
        <f>LN_IA16-LN_IF19</f>
        <v>4482.7453744066306</v>
      </c>
      <c r="E210" s="378">
        <f t="shared" si="22"/>
        <v>542.46105674568207</v>
      </c>
      <c r="F210" s="362">
        <f t="shared" si="23"/>
        <v>0.13767053669561097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5891351.5275931349</v>
      </c>
      <c r="D211" s="353">
        <f>LN_IF21*LN_IF18</f>
        <v>8347504.1164027778</v>
      </c>
      <c r="E211" s="353">
        <f t="shared" si="22"/>
        <v>2456152.5888096429</v>
      </c>
      <c r="F211" s="362">
        <f t="shared" si="23"/>
        <v>0.41690817078319625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121212781</v>
      </c>
      <c r="D214" s="361">
        <f>LN_IF1+LN_IF14</f>
        <v>148986499</v>
      </c>
      <c r="E214" s="361">
        <f>D214-C214</f>
        <v>27773718</v>
      </c>
      <c r="F214" s="362">
        <f>IF(C214=0,0,E214/C214)</f>
        <v>0.22913192627764228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31850937</v>
      </c>
      <c r="D215" s="361">
        <f>LN_IF2+LN_IF15</f>
        <v>35183584</v>
      </c>
      <c r="E215" s="361">
        <f>D215-C215</f>
        <v>3332647</v>
      </c>
      <c r="F215" s="362">
        <f>IF(C215=0,0,E215/C215)</f>
        <v>0.10463262038413501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89361844</v>
      </c>
      <c r="D216" s="361">
        <f>LN_IF23-LN_IF24</f>
        <v>113802915</v>
      </c>
      <c r="E216" s="361">
        <f>D216-C216</f>
        <v>24441071</v>
      </c>
      <c r="F216" s="362">
        <f>IF(C216=0,0,E216/C216)</f>
        <v>0.27350678887065044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360974</v>
      </c>
      <c r="D221" s="361">
        <v>483690</v>
      </c>
      <c r="E221" s="361">
        <f t="shared" ref="E221:E230" si="24">D221-C221</f>
        <v>122716</v>
      </c>
      <c r="F221" s="362">
        <f t="shared" ref="F221:F230" si="25">IF(C221=0,0,E221/C221)</f>
        <v>0.33995800251541664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121850</v>
      </c>
      <c r="D222" s="361">
        <v>190001</v>
      </c>
      <c r="E222" s="361">
        <f t="shared" si="24"/>
        <v>68151</v>
      </c>
      <c r="F222" s="362">
        <f t="shared" si="25"/>
        <v>0.55930242100943783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0.33755893776283058</v>
      </c>
      <c r="D223" s="366">
        <f>IF(LN_IG1=0,0,LN_IG2/LN_IG1)</f>
        <v>0.39281564638508137</v>
      </c>
      <c r="E223" s="367">
        <f t="shared" si="24"/>
        <v>5.5256708622250794E-2</v>
      </c>
      <c r="F223" s="362">
        <f t="shared" si="25"/>
        <v>0.16369499497914122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18</v>
      </c>
      <c r="D224" s="369">
        <v>30</v>
      </c>
      <c r="E224" s="369">
        <f t="shared" si="24"/>
        <v>12</v>
      </c>
      <c r="F224" s="362">
        <f t="shared" si="25"/>
        <v>0.66666666666666663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1.1109</v>
      </c>
      <c r="D225" s="372">
        <v>0.81040000000000001</v>
      </c>
      <c r="E225" s="373">
        <f t="shared" si="24"/>
        <v>-0.30049999999999999</v>
      </c>
      <c r="F225" s="362">
        <f t="shared" si="25"/>
        <v>-0.27050139526510036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19.996200000000002</v>
      </c>
      <c r="D226" s="376">
        <f>LN_IG3*LN_IG4</f>
        <v>24.312000000000001</v>
      </c>
      <c r="E226" s="376">
        <f t="shared" si="24"/>
        <v>4.3157999999999994</v>
      </c>
      <c r="F226" s="362">
        <f t="shared" si="25"/>
        <v>0.21583100789149934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6093.6577949810462</v>
      </c>
      <c r="D227" s="378">
        <f>IF(LN_IG5=0,0,LN_IG2/LN_IG5)</f>
        <v>7815.1118789075354</v>
      </c>
      <c r="E227" s="378">
        <f t="shared" si="24"/>
        <v>1721.4540839264891</v>
      </c>
      <c r="F227" s="362">
        <f t="shared" si="25"/>
        <v>0.28249930367674075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79</v>
      </c>
      <c r="D228" s="369">
        <v>116</v>
      </c>
      <c r="E228" s="369">
        <f t="shared" si="24"/>
        <v>37</v>
      </c>
      <c r="F228" s="362">
        <f t="shared" si="25"/>
        <v>0.46835443037974683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1542.4050632911392</v>
      </c>
      <c r="D229" s="378">
        <f>IF(LN_IG6=0,0,LN_IG2/LN_IG6)</f>
        <v>1637.9396551724137</v>
      </c>
      <c r="E229" s="378">
        <f t="shared" si="24"/>
        <v>95.534591881274537</v>
      </c>
      <c r="F229" s="362">
        <f t="shared" si="25"/>
        <v>6.193871775642748E-2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4.3888888888888893</v>
      </c>
      <c r="D230" s="379">
        <f>IF(LN_IG3=0,0,LN_IG6/LN_IG3)</f>
        <v>3.8666666666666667</v>
      </c>
      <c r="E230" s="379">
        <f t="shared" si="24"/>
        <v>-0.52222222222222259</v>
      </c>
      <c r="F230" s="362">
        <f t="shared" si="25"/>
        <v>-0.11898734177215198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283642</v>
      </c>
      <c r="D233" s="361">
        <v>266626</v>
      </c>
      <c r="E233" s="361">
        <f>D233-C233</f>
        <v>-17016</v>
      </c>
      <c r="F233" s="362">
        <f>IF(C233=0,0,E233/C233)</f>
        <v>-5.9991115561165133E-2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101544</v>
      </c>
      <c r="D234" s="361">
        <v>91593</v>
      </c>
      <c r="E234" s="361">
        <f>D234-C234</f>
        <v>-9951</v>
      </c>
      <c r="F234" s="362">
        <f>IF(C234=0,0,E234/C234)</f>
        <v>-9.7996927440321444E-2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644616</v>
      </c>
      <c r="D237" s="361">
        <f>LN_IG1+LN_IG9</f>
        <v>750316</v>
      </c>
      <c r="E237" s="361">
        <f>D237-C237</f>
        <v>105700</v>
      </c>
      <c r="F237" s="362">
        <f>IF(C237=0,0,E237/C237)</f>
        <v>0.16397359047867258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223394</v>
      </c>
      <c r="D238" s="361">
        <f>LN_IG2+LN_IG10</f>
        <v>281594</v>
      </c>
      <c r="E238" s="361">
        <f>D238-C238</f>
        <v>58200</v>
      </c>
      <c r="F238" s="362">
        <f>IF(C238=0,0,E238/C238)</f>
        <v>0.26052624510953742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421222</v>
      </c>
      <c r="D239" s="361">
        <f>LN_IG13-LN_IG14</f>
        <v>468722</v>
      </c>
      <c r="E239" s="361">
        <f>D239-C239</f>
        <v>47500</v>
      </c>
      <c r="F239" s="362">
        <f>IF(C239=0,0,E239/C239)</f>
        <v>0.11276713941816904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9864000</v>
      </c>
      <c r="D243" s="361">
        <v>12404000</v>
      </c>
      <c r="E243" s="353">
        <f>D243-C243</f>
        <v>2540000</v>
      </c>
      <c r="F243" s="415">
        <f>IF(C243=0,0,E243/C243)</f>
        <v>0.25750202757502028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341987000</v>
      </c>
      <c r="D244" s="361">
        <v>351813000</v>
      </c>
      <c r="E244" s="353">
        <f>D244-C244</f>
        <v>9826000</v>
      </c>
      <c r="F244" s="415">
        <f>IF(C244=0,0,E244/C244)</f>
        <v>2.8732086307374258E-2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2290216</v>
      </c>
      <c r="D245" s="400">
        <v>2541411</v>
      </c>
      <c r="E245" s="400">
        <f>D245-C245</f>
        <v>251195</v>
      </c>
      <c r="F245" s="401">
        <f>IF(C245=0,0,E245/C245)</f>
        <v>0.10968179420631068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8833000</v>
      </c>
      <c r="D248" s="353">
        <v>7662000</v>
      </c>
      <c r="E248" s="353">
        <f>D248-C248</f>
        <v>-1171000</v>
      </c>
      <c r="F248" s="362">
        <f>IF(C248=0,0,E248/C248)</f>
        <v>-0.13257104041661949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30554626</v>
      </c>
      <c r="D249" s="353">
        <v>30582008</v>
      </c>
      <c r="E249" s="353">
        <f>D249-C249</f>
        <v>27382</v>
      </c>
      <c r="F249" s="362">
        <f>IF(C249=0,0,E249/C249)</f>
        <v>8.9616544480040439E-4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39387626</v>
      </c>
      <c r="D250" s="353">
        <f>LN_IH4+LN_IH5</f>
        <v>38244008</v>
      </c>
      <c r="E250" s="353">
        <f>D250-C250</f>
        <v>-1143618</v>
      </c>
      <c r="F250" s="362">
        <f>IF(C250=0,0,E250/C250)</f>
        <v>-2.903495630835938E-2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14773638.242885353</v>
      </c>
      <c r="D251" s="353">
        <f>LN_IH6*LN_III10</f>
        <v>13985709.536211705</v>
      </c>
      <c r="E251" s="353">
        <f>D251-C251</f>
        <v>-787928.70667364821</v>
      </c>
      <c r="F251" s="362">
        <f>IF(C251=0,0,E251/C251)</f>
        <v>-5.3333423610334892E-2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121212781</v>
      </c>
      <c r="D254" s="353">
        <f>LN_IF23</f>
        <v>148986499</v>
      </c>
      <c r="E254" s="353">
        <f>D254-C254</f>
        <v>27773718</v>
      </c>
      <c r="F254" s="362">
        <f>IF(C254=0,0,E254/C254)</f>
        <v>0.22913192627764228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31850937</v>
      </c>
      <c r="D255" s="353">
        <f>LN_IF24</f>
        <v>35183584</v>
      </c>
      <c r="E255" s="353">
        <f>D255-C255</f>
        <v>3332647</v>
      </c>
      <c r="F255" s="362">
        <f>IF(C255=0,0,E255/C255)</f>
        <v>0.10463262038413501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45464882.217275217</v>
      </c>
      <c r="D256" s="353">
        <f>LN_IH8*LN_III10</f>
        <v>54483878.881917804</v>
      </c>
      <c r="E256" s="353">
        <f>D256-C256</f>
        <v>9018996.6646425873</v>
      </c>
      <c r="F256" s="362">
        <f>IF(C256=0,0,E256/C256)</f>
        <v>0.19837281490230396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13613945.217275217</v>
      </c>
      <c r="D257" s="353">
        <f>LN_IH10-LN_IH9</f>
        <v>19300294.881917804</v>
      </c>
      <c r="E257" s="353">
        <f>D257-C257</f>
        <v>5686349.6646425873</v>
      </c>
      <c r="F257" s="362">
        <f>IF(C257=0,0,E257/C257)</f>
        <v>0.41768565789635886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613526265</v>
      </c>
      <c r="D261" s="361">
        <f>LN_IA1+LN_IB1+LN_IF1+LN_IG1</f>
        <v>662252595</v>
      </c>
      <c r="E261" s="361">
        <f t="shared" ref="E261:E274" si="26">D261-C261</f>
        <v>48726330</v>
      </c>
      <c r="F261" s="415">
        <f t="shared" ref="F261:F274" si="27">IF(C261=0,0,E261/C261)</f>
        <v>7.942012066916157E-2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234262957</v>
      </c>
      <c r="D262" s="361">
        <f>+LN_IA2+LN_IB2+LN_IF2+LN_IG2</f>
        <v>245512758</v>
      </c>
      <c r="E262" s="361">
        <f t="shared" si="26"/>
        <v>11249801</v>
      </c>
      <c r="F262" s="415">
        <f t="shared" si="27"/>
        <v>4.8022107908421902E-2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0.38183036385573482</v>
      </c>
      <c r="D263" s="366">
        <f>IF(LN_IIA1=0,0,LN_IIA2/LN_IIA1)</f>
        <v>0.37072373872691278</v>
      </c>
      <c r="E263" s="367">
        <f t="shared" si="26"/>
        <v>-1.1106625128822045E-2</v>
      </c>
      <c r="F263" s="371">
        <f t="shared" si="27"/>
        <v>-2.9087852041589885E-2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21743</v>
      </c>
      <c r="D264" s="369">
        <f>LN_IA4+LN_IB4+LN_IF4+LN_IG3</f>
        <v>21873</v>
      </c>
      <c r="E264" s="369">
        <f t="shared" si="26"/>
        <v>130</v>
      </c>
      <c r="F264" s="415">
        <f t="shared" si="27"/>
        <v>5.9789357494365999E-3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1.3032522191049993</v>
      </c>
      <c r="D265" s="439">
        <f>IF(LN_IIA4=0,0,LN_IIA6/LN_IIA4)</f>
        <v>1.3088669866959266</v>
      </c>
      <c r="E265" s="439">
        <f t="shared" si="26"/>
        <v>5.6147675909272721E-3</v>
      </c>
      <c r="F265" s="415">
        <f t="shared" si="27"/>
        <v>4.3082739538960312E-3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28336.613000000001</v>
      </c>
      <c r="D266" s="376">
        <f>LN_IA6+LN_IB6+LN_IF6+LN_IG5</f>
        <v>28628.847600000001</v>
      </c>
      <c r="E266" s="376">
        <f t="shared" si="26"/>
        <v>292.23459999999977</v>
      </c>
      <c r="F266" s="415">
        <f t="shared" si="27"/>
        <v>1.0312968596493863E-2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238972604</v>
      </c>
      <c r="D267" s="361">
        <f>LN_IA11+LN_IB13+LN_IF14+LN_IG9</f>
        <v>266263033</v>
      </c>
      <c r="E267" s="361">
        <f t="shared" si="26"/>
        <v>27290429</v>
      </c>
      <c r="F267" s="415">
        <f t="shared" si="27"/>
        <v>0.11419898575486921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0.38950672144410964</v>
      </c>
      <c r="D268" s="366">
        <f>IF(LN_IIA1=0,0,LN_IIA7/LN_IIA1)</f>
        <v>0.4020566095328022</v>
      </c>
      <c r="E268" s="367">
        <f t="shared" si="26"/>
        <v>1.2549888088692562E-2</v>
      </c>
      <c r="F268" s="371">
        <f t="shared" si="27"/>
        <v>3.2219952565037693E-2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85707686</v>
      </c>
      <c r="D269" s="361">
        <f>LN_IA12+LN_IB14+LN_IF15+LN_IG10</f>
        <v>87084831</v>
      </c>
      <c r="E269" s="361">
        <f t="shared" si="26"/>
        <v>1377145</v>
      </c>
      <c r="F269" s="415">
        <f t="shared" si="27"/>
        <v>1.6067928843627864E-2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0.35865067612520135</v>
      </c>
      <c r="D270" s="366">
        <f>IF(LN_IIA7=0,0,LN_IIA9/LN_IIA7)</f>
        <v>0.32706316764595705</v>
      </c>
      <c r="E270" s="367">
        <f t="shared" si="26"/>
        <v>-3.1587508479244297E-2</v>
      </c>
      <c r="F270" s="371">
        <f t="shared" si="27"/>
        <v>-8.8073188152076459E-2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852498869</v>
      </c>
      <c r="D271" s="353">
        <f>LN_IIA1+LN_IIA7</f>
        <v>928515628</v>
      </c>
      <c r="E271" s="353">
        <f t="shared" si="26"/>
        <v>76016759</v>
      </c>
      <c r="F271" s="415">
        <f t="shared" si="27"/>
        <v>8.9169337068058907E-2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319970643</v>
      </c>
      <c r="D272" s="353">
        <f>LN_IIA2+LN_IIA9</f>
        <v>332597589</v>
      </c>
      <c r="E272" s="353">
        <f t="shared" si="26"/>
        <v>12626946</v>
      </c>
      <c r="F272" s="415">
        <f t="shared" si="27"/>
        <v>3.9462826594376034E-2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0.37533263049994731</v>
      </c>
      <c r="D273" s="366">
        <f>IF(LN_IIA11=0,0,LN_IIA12/LN_IIA11)</f>
        <v>0.35820354442111768</v>
      </c>
      <c r="E273" s="367">
        <f t="shared" si="26"/>
        <v>-1.7129086078829625E-2</v>
      </c>
      <c r="F273" s="371">
        <f t="shared" si="27"/>
        <v>-4.5637082115704913E-2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125447</v>
      </c>
      <c r="D274" s="421">
        <f>LN_IA8+LN_IB10+LN_IF11+LN_IG6</f>
        <v>122812</v>
      </c>
      <c r="E274" s="442">
        <f t="shared" si="26"/>
        <v>-2635</v>
      </c>
      <c r="F274" s="371">
        <f t="shared" si="27"/>
        <v>-2.1004886525783799E-2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420841062</v>
      </c>
      <c r="D277" s="361">
        <f>LN_IA1+LN_IF1+LN_IG1</f>
        <v>461334523</v>
      </c>
      <c r="E277" s="361">
        <f t="shared" ref="E277:E291" si="28">D277-C277</f>
        <v>40493461</v>
      </c>
      <c r="F277" s="415">
        <f t="shared" ref="F277:F291" si="29">IF(C277=0,0,E277/C277)</f>
        <v>9.6220318444116076E-2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142893895</v>
      </c>
      <c r="D278" s="361">
        <f>LN_IA2+LN_IF2+LN_IG2</f>
        <v>146770775</v>
      </c>
      <c r="E278" s="361">
        <f t="shared" si="28"/>
        <v>3876880</v>
      </c>
      <c r="F278" s="415">
        <f t="shared" si="29"/>
        <v>2.7131180096952357E-2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0.33954361373605696</v>
      </c>
      <c r="D279" s="366">
        <f>IF(D277=0,0,LN_IIB2/D277)</f>
        <v>0.31814392308116946</v>
      </c>
      <c r="E279" s="367">
        <f t="shared" si="28"/>
        <v>-2.1399690654887504E-2</v>
      </c>
      <c r="F279" s="371">
        <f t="shared" si="29"/>
        <v>-6.3024865699646104E-2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13543</v>
      </c>
      <c r="D280" s="369">
        <f>LN_IA4+LN_IF4+LN_IG3</f>
        <v>13976</v>
      </c>
      <c r="E280" s="369">
        <f t="shared" si="28"/>
        <v>433</v>
      </c>
      <c r="F280" s="415">
        <f t="shared" si="29"/>
        <v>3.197223657978291E-2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1.3712791109798419</v>
      </c>
      <c r="D281" s="439">
        <f>IF(LN_IIB4=0,0,LN_IIB6/LN_IIB4)</f>
        <v>1.3547860904407558</v>
      </c>
      <c r="E281" s="439">
        <f t="shared" si="28"/>
        <v>-1.6493020539086078E-2</v>
      </c>
      <c r="F281" s="415">
        <f t="shared" si="29"/>
        <v>-1.2027471582573047E-2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18571.233</v>
      </c>
      <c r="D282" s="376">
        <f>LN_IA6+LN_IF6+LN_IG5</f>
        <v>18934.490400000002</v>
      </c>
      <c r="E282" s="376">
        <f t="shared" si="28"/>
        <v>363.25740000000224</v>
      </c>
      <c r="F282" s="415">
        <f t="shared" si="29"/>
        <v>1.9560219830315102E-2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115499756</v>
      </c>
      <c r="D283" s="361">
        <f>LN_IA11+LN_IF14+LN_IG9</f>
        <v>137864318</v>
      </c>
      <c r="E283" s="361">
        <f t="shared" si="28"/>
        <v>22364562</v>
      </c>
      <c r="F283" s="415">
        <f t="shared" si="29"/>
        <v>0.19363298048872069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0.27444982543077034</v>
      </c>
      <c r="D284" s="366">
        <f>IF(D277=0,0,LN_IIB7/D277)</f>
        <v>0.29883806896454612</v>
      </c>
      <c r="E284" s="367">
        <f t="shared" si="28"/>
        <v>2.4388243533775777E-2</v>
      </c>
      <c r="F284" s="371">
        <f t="shared" si="29"/>
        <v>8.8862302956456737E-2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34852577</v>
      </c>
      <c r="D285" s="361">
        <f>LN_IA12+LN_IF15+LN_IG10</f>
        <v>36841652</v>
      </c>
      <c r="E285" s="361">
        <f t="shared" si="28"/>
        <v>1989075</v>
      </c>
      <c r="F285" s="415">
        <f t="shared" si="29"/>
        <v>5.7071102661935158E-2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0.3017545508927309</v>
      </c>
      <c r="D286" s="366">
        <f>IF(LN_IIB7=0,0,LN_IIB9/LN_IIB7)</f>
        <v>0.26723123527873255</v>
      </c>
      <c r="E286" s="367">
        <f t="shared" si="28"/>
        <v>-3.4523315613998351E-2</v>
      </c>
      <c r="F286" s="371">
        <f t="shared" si="29"/>
        <v>-0.1144085996776594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536340818</v>
      </c>
      <c r="D287" s="353">
        <f>D277+LN_IIB7</f>
        <v>599198841</v>
      </c>
      <c r="E287" s="353">
        <f t="shared" si="28"/>
        <v>62858023</v>
      </c>
      <c r="F287" s="415">
        <f t="shared" si="29"/>
        <v>0.11719791015421094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177746472</v>
      </c>
      <c r="D288" s="353">
        <f>LN_IIB2+LN_IIB9</f>
        <v>183612427</v>
      </c>
      <c r="E288" s="353">
        <f t="shared" si="28"/>
        <v>5865955</v>
      </c>
      <c r="F288" s="415">
        <f t="shared" si="29"/>
        <v>3.3001808328437597E-2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0.33140582636020816</v>
      </c>
      <c r="D289" s="366">
        <f>IF(LN_IIB11=0,0,LN_IIB12/LN_IIB11)</f>
        <v>0.30642987675605332</v>
      </c>
      <c r="E289" s="367">
        <f t="shared" si="28"/>
        <v>-2.4975949604154835E-2</v>
      </c>
      <c r="F289" s="371">
        <f t="shared" si="29"/>
        <v>-7.5363640641031571E-2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88733</v>
      </c>
      <c r="D290" s="421">
        <f>LN_IA8+LN_IF11+LN_IG6</f>
        <v>87388</v>
      </c>
      <c r="E290" s="442">
        <f t="shared" si="28"/>
        <v>-1345</v>
      </c>
      <c r="F290" s="371">
        <f t="shared" si="29"/>
        <v>-1.5157833049710931E-2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358594346</v>
      </c>
      <c r="D291" s="429">
        <f>LN_IIB11-LN_IIB12</f>
        <v>415586414</v>
      </c>
      <c r="E291" s="353">
        <f t="shared" si="28"/>
        <v>56992068</v>
      </c>
      <c r="F291" s="415">
        <f t="shared" si="29"/>
        <v>0.15893186447507457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6.5706956700184689</v>
      </c>
      <c r="D294" s="379">
        <f>IF(LN_IA4=0,0,LN_IA8/LN_IA4)</f>
        <v>6.3274193548387094</v>
      </c>
      <c r="E294" s="379">
        <f t="shared" ref="E294:E300" si="30">D294-C294</f>
        <v>-0.24327631517975945</v>
      </c>
      <c r="F294" s="415">
        <f t="shared" ref="F294:F300" si="31">IF(C294=0,0,E294/C294)</f>
        <v>-3.7024438110839435E-2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4.4773170731707319</v>
      </c>
      <c r="D295" s="379">
        <f>IF(LN_IB4=0,0,(LN_IB10)/(LN_IB4))</f>
        <v>4.4857540838293026</v>
      </c>
      <c r="E295" s="379">
        <f t="shared" si="30"/>
        <v>8.4370106585707205E-3</v>
      </c>
      <c r="F295" s="415">
        <f t="shared" si="31"/>
        <v>1.8843898077104077E-3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4.8764397905759163</v>
      </c>
      <c r="D296" s="379">
        <f>IF(LN_IC4=0,0,LN_IC11/LN_IC4)</f>
        <v>5.2763671875</v>
      </c>
      <c r="E296" s="379">
        <f t="shared" si="30"/>
        <v>0.39992739692408374</v>
      </c>
      <c r="F296" s="415">
        <f t="shared" si="31"/>
        <v>8.2012167503220948E-2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6.7051282051282053</v>
      </c>
      <c r="D297" s="379">
        <f>IF(LN_ID4=0,0,LN_ID11/LN_ID4)</f>
        <v>6.1870208105147864</v>
      </c>
      <c r="E297" s="379">
        <f t="shared" si="30"/>
        <v>-0.51810739461341893</v>
      </c>
      <c r="F297" s="415">
        <f t="shared" si="31"/>
        <v>-7.7270318890720224E-2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5.6084977238239757</v>
      </c>
      <c r="D298" s="379">
        <f>IF(LN_IE4=0,0,LN_IE11/LN_IE4)</f>
        <v>5.1042780748663104</v>
      </c>
      <c r="E298" s="379">
        <f t="shared" si="30"/>
        <v>-0.50421964895766536</v>
      </c>
      <c r="F298" s="415">
        <f t="shared" si="31"/>
        <v>-8.9902799962960356E-2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4.3888888888888893</v>
      </c>
      <c r="D299" s="379">
        <f>IF(LN_IG3=0,0,LN_IG6/LN_IG3)</f>
        <v>3.8666666666666667</v>
      </c>
      <c r="E299" s="379">
        <f t="shared" si="30"/>
        <v>-0.52222222222222259</v>
      </c>
      <c r="F299" s="415">
        <f t="shared" si="31"/>
        <v>-0.11898734177215198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5.7695350227659477</v>
      </c>
      <c r="D300" s="379">
        <f>IF(LN_IIA4=0,0,LN_IIA14/LN_IIA4)</f>
        <v>5.614776208110456</v>
      </c>
      <c r="E300" s="379">
        <f t="shared" si="30"/>
        <v>-0.15475881465549168</v>
      </c>
      <c r="F300" s="415">
        <f t="shared" si="31"/>
        <v>-2.682344661135265E-2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852498869</v>
      </c>
      <c r="D304" s="353">
        <f>LN_IIA11</f>
        <v>928515628</v>
      </c>
      <c r="E304" s="353">
        <f t="shared" ref="E304:E316" si="32">D304-C304</f>
        <v>76016759</v>
      </c>
      <c r="F304" s="362">
        <f>IF(C304=0,0,E304/C304)</f>
        <v>8.9169337068058907E-2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358594346</v>
      </c>
      <c r="D305" s="353">
        <f>LN_IIB14</f>
        <v>415586414</v>
      </c>
      <c r="E305" s="353">
        <f t="shared" si="32"/>
        <v>56992068</v>
      </c>
      <c r="F305" s="362">
        <f>IF(C305=0,0,E305/C305)</f>
        <v>0.15893186447507457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39387626</v>
      </c>
      <c r="D306" s="353">
        <f>LN_IH6</f>
        <v>38244008</v>
      </c>
      <c r="E306" s="353">
        <f t="shared" si="32"/>
        <v>-1143618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130934442</v>
      </c>
      <c r="D307" s="353">
        <f>LN_IB32-LN_IB33</f>
        <v>128483481</v>
      </c>
      <c r="E307" s="353">
        <f t="shared" si="32"/>
        <v>-2450961</v>
      </c>
      <c r="F307" s="362">
        <f t="shared" ref="F307:F316" si="33">IF(C307=0,0,E307/C307)</f>
        <v>-1.8718993738866662E-2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6114636</v>
      </c>
      <c r="D308" s="353">
        <v>9187986</v>
      </c>
      <c r="E308" s="353">
        <f t="shared" si="32"/>
        <v>3073350</v>
      </c>
      <c r="F308" s="362">
        <f t="shared" si="33"/>
        <v>0.50262190586651434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535031050</v>
      </c>
      <c r="D309" s="353">
        <f>LN_III2+LN_III3+LN_III4+LN_III5</f>
        <v>591501889</v>
      </c>
      <c r="E309" s="353">
        <f t="shared" si="32"/>
        <v>56470839</v>
      </c>
      <c r="F309" s="362">
        <f t="shared" si="33"/>
        <v>0.10554684443080453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317467819</v>
      </c>
      <c r="D310" s="353">
        <f>LN_III1-LN_III6</f>
        <v>337013739</v>
      </c>
      <c r="E310" s="353">
        <f t="shared" si="32"/>
        <v>19545920</v>
      </c>
      <c r="F310" s="362">
        <f t="shared" si="33"/>
        <v>6.1568193152831026E-2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2290216</v>
      </c>
      <c r="D311" s="353">
        <f>LN_IH3</f>
        <v>2541411</v>
      </c>
      <c r="E311" s="353">
        <f t="shared" si="32"/>
        <v>251195</v>
      </c>
      <c r="F311" s="362">
        <f t="shared" si="33"/>
        <v>0.10968179420631068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319758035</v>
      </c>
      <c r="D312" s="353">
        <f>LN_III7+LN_III8</f>
        <v>339555150</v>
      </c>
      <c r="E312" s="353">
        <f t="shared" si="32"/>
        <v>19797115</v>
      </c>
      <c r="F312" s="362">
        <f t="shared" si="33"/>
        <v>6.1912799157650564E-2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0.37508323662069282</v>
      </c>
      <c r="D313" s="448">
        <f>IF(LN_III1=0,0,LN_III9/LN_III1)</f>
        <v>0.36569675270990698</v>
      </c>
      <c r="E313" s="448">
        <f t="shared" si="32"/>
        <v>-9.3864839107858367E-3</v>
      </c>
      <c r="F313" s="362">
        <f t="shared" si="33"/>
        <v>-2.5025069089605903E-2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14773638.242885353</v>
      </c>
      <c r="D314" s="353">
        <f>D313*LN_III5</f>
        <v>13985709.536211705</v>
      </c>
      <c r="E314" s="353">
        <f t="shared" si="32"/>
        <v>-787928.70667364821</v>
      </c>
      <c r="F314" s="362">
        <f t="shared" si="33"/>
        <v>-5.3333423610334892E-2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13613945.217275217</v>
      </c>
      <c r="D315" s="353">
        <f>D313*LN_IH8-LN_IH9</f>
        <v>19300294.881917804</v>
      </c>
      <c r="E315" s="353">
        <f t="shared" si="32"/>
        <v>5686349.6646425873</v>
      </c>
      <c r="F315" s="362">
        <f t="shared" si="33"/>
        <v>0.41768565789635886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28387583.460160568</v>
      </c>
      <c r="D318" s="353">
        <f>D314+D315+D316</f>
        <v>33286004.418129511</v>
      </c>
      <c r="E318" s="353">
        <f>D318-C318</f>
        <v>4898420.9579689428</v>
      </c>
      <c r="F318" s="362">
        <f>IF(C318=0,0,E318/C318)</f>
        <v>0.17255505262867613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3850125.991048987</v>
      </c>
      <c r="D322" s="353">
        <f>LN_ID22</f>
        <v>7963828.1873244084</v>
      </c>
      <c r="E322" s="353">
        <f>LN_IV2-C322</f>
        <v>4113702.1962754214</v>
      </c>
      <c r="F322" s="362">
        <f>IF(C322=0,0,E322/C322)</f>
        <v>1.0684591116860105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6487681.579669293</v>
      </c>
      <c r="D323" s="353">
        <f>LN_IE10+LN_IE22</f>
        <v>4063200.6956070648</v>
      </c>
      <c r="E323" s="353">
        <f>LN_IV3-C323</f>
        <v>-2424480.8840622283</v>
      </c>
      <c r="F323" s="362">
        <f>IF(C323=0,0,E323/C323)</f>
        <v>-0.37370528351143512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15662497.871901006</v>
      </c>
      <c r="D324" s="353">
        <f>LN_IC10+LN_IC22</f>
        <v>19032400.908103798</v>
      </c>
      <c r="E324" s="353">
        <f>LN_IV1-C324</f>
        <v>3369903.0362027921</v>
      </c>
      <c r="F324" s="362">
        <f>IF(C324=0,0,E324/C324)</f>
        <v>0.21515744575126167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26000305.442619286</v>
      </c>
      <c r="D325" s="429">
        <f>LN_IV1+LN_IV2+LN_IV3</f>
        <v>31059429.791035272</v>
      </c>
      <c r="E325" s="353">
        <f>LN_IV4-C325</f>
        <v>5059124.3484159857</v>
      </c>
      <c r="F325" s="362">
        <f>IF(C325=0,0,E325/C325)</f>
        <v>0.19457941982955129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10433144</v>
      </c>
      <c r="D329" s="431">
        <v>15226266</v>
      </c>
      <c r="E329" s="431">
        <f t="shared" ref="E329:E335" si="34">D329-C329</f>
        <v>4793122</v>
      </c>
      <c r="F329" s="462">
        <f t="shared" ref="F329:F335" si="35">IF(C329=0,0,E329/C329)</f>
        <v>0.45941300148833369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20683932</v>
      </c>
      <c r="D330" s="429">
        <v>23537405</v>
      </c>
      <c r="E330" s="431">
        <f t="shared" si="34"/>
        <v>2853473</v>
      </c>
      <c r="F330" s="463">
        <f t="shared" si="35"/>
        <v>0.13795602306176602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342945000</v>
      </c>
      <c r="D331" s="429">
        <v>358676000</v>
      </c>
      <c r="E331" s="431">
        <f t="shared" si="34"/>
        <v>15731000</v>
      </c>
      <c r="F331" s="462">
        <f t="shared" si="35"/>
        <v>4.5870329061511318E-2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852499000</v>
      </c>
      <c r="D333" s="429">
        <v>928516000</v>
      </c>
      <c r="E333" s="431">
        <f t="shared" si="34"/>
        <v>76017000</v>
      </c>
      <c r="F333" s="462">
        <f t="shared" si="35"/>
        <v>8.9169606064054038E-2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-8736821</v>
      </c>
      <c r="D334" s="429">
        <v>-9455404</v>
      </c>
      <c r="E334" s="429">
        <f t="shared" si="34"/>
        <v>-718583</v>
      </c>
      <c r="F334" s="463">
        <f t="shared" si="35"/>
        <v>8.2247650489806298E-2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30651000</v>
      </c>
      <c r="D335" s="429">
        <v>28788604</v>
      </c>
      <c r="E335" s="429">
        <f t="shared" si="34"/>
        <v>-1862396</v>
      </c>
      <c r="F335" s="462">
        <f t="shared" si="35"/>
        <v>-6.076134546996835E-2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FILING&amp;RSAINT VINCENT`S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>
      <selection activeCell="A2" sqref="A2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192685203</v>
      </c>
      <c r="D14" s="513">
        <v>200918072</v>
      </c>
      <c r="E14" s="514">
        <f t="shared" ref="E14:E22" si="0">D14-C14</f>
        <v>8232869</v>
      </c>
    </row>
    <row r="15" spans="1:5" s="506" customFormat="1" x14ac:dyDescent="0.2">
      <c r="A15" s="512">
        <v>2</v>
      </c>
      <c r="B15" s="511" t="s">
        <v>600</v>
      </c>
      <c r="C15" s="513">
        <v>333759984</v>
      </c>
      <c r="D15" s="515">
        <v>359183423</v>
      </c>
      <c r="E15" s="514">
        <f t="shared" si="0"/>
        <v>25423439</v>
      </c>
    </row>
    <row r="16" spans="1:5" s="506" customFormat="1" x14ac:dyDescent="0.2">
      <c r="A16" s="512">
        <v>3</v>
      </c>
      <c r="B16" s="511" t="s">
        <v>746</v>
      </c>
      <c r="C16" s="513">
        <v>86720104</v>
      </c>
      <c r="D16" s="515">
        <v>101667410</v>
      </c>
      <c r="E16" s="514">
        <f t="shared" si="0"/>
        <v>14947306</v>
      </c>
    </row>
    <row r="17" spans="1:5" s="506" customFormat="1" x14ac:dyDescent="0.2">
      <c r="A17" s="512">
        <v>4</v>
      </c>
      <c r="B17" s="511" t="s">
        <v>114</v>
      </c>
      <c r="C17" s="513">
        <v>70140666</v>
      </c>
      <c r="D17" s="515">
        <v>90621119</v>
      </c>
      <c r="E17" s="514">
        <f t="shared" si="0"/>
        <v>20480453</v>
      </c>
    </row>
    <row r="18" spans="1:5" s="506" customFormat="1" x14ac:dyDescent="0.2">
      <c r="A18" s="512">
        <v>5</v>
      </c>
      <c r="B18" s="511" t="s">
        <v>713</v>
      </c>
      <c r="C18" s="513">
        <v>16579438</v>
      </c>
      <c r="D18" s="515">
        <v>11046291</v>
      </c>
      <c r="E18" s="514">
        <f t="shared" si="0"/>
        <v>-5533147</v>
      </c>
    </row>
    <row r="19" spans="1:5" s="506" customFormat="1" x14ac:dyDescent="0.2">
      <c r="A19" s="512">
        <v>6</v>
      </c>
      <c r="B19" s="511" t="s">
        <v>418</v>
      </c>
      <c r="C19" s="513">
        <v>360974</v>
      </c>
      <c r="D19" s="515">
        <v>483690</v>
      </c>
      <c r="E19" s="514">
        <f t="shared" si="0"/>
        <v>122716</v>
      </c>
    </row>
    <row r="20" spans="1:5" s="506" customFormat="1" x14ac:dyDescent="0.2">
      <c r="A20" s="512">
        <v>7</v>
      </c>
      <c r="B20" s="511" t="s">
        <v>728</v>
      </c>
      <c r="C20" s="513">
        <v>20406154</v>
      </c>
      <c r="D20" s="515">
        <v>18013248</v>
      </c>
      <c r="E20" s="514">
        <f t="shared" si="0"/>
        <v>-2392906</v>
      </c>
    </row>
    <row r="21" spans="1:5" s="506" customFormat="1" x14ac:dyDescent="0.2">
      <c r="A21" s="512"/>
      <c r="B21" s="516" t="s">
        <v>747</v>
      </c>
      <c r="C21" s="517">
        <f>SUM(C15+C16+C19)</f>
        <v>420841062</v>
      </c>
      <c r="D21" s="517">
        <f>SUM(D15+D16+D19)</f>
        <v>461334523</v>
      </c>
      <c r="E21" s="517">
        <f t="shared" si="0"/>
        <v>40493461</v>
      </c>
    </row>
    <row r="22" spans="1:5" s="506" customFormat="1" x14ac:dyDescent="0.2">
      <c r="A22" s="512"/>
      <c r="B22" s="516" t="s">
        <v>687</v>
      </c>
      <c r="C22" s="517">
        <f>SUM(C14+C21)</f>
        <v>613526265</v>
      </c>
      <c r="D22" s="517">
        <f>SUM(D14+D21)</f>
        <v>662252595</v>
      </c>
      <c r="E22" s="517">
        <f t="shared" si="0"/>
        <v>48726330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123472848</v>
      </c>
      <c r="D25" s="513">
        <v>128398715</v>
      </c>
      <c r="E25" s="514">
        <f t="shared" ref="E25:E33" si="1">D25-C25</f>
        <v>4925867</v>
      </c>
    </row>
    <row r="26" spans="1:5" s="506" customFormat="1" x14ac:dyDescent="0.2">
      <c r="A26" s="512">
        <v>2</v>
      </c>
      <c r="B26" s="511" t="s">
        <v>600</v>
      </c>
      <c r="C26" s="513">
        <v>80723437</v>
      </c>
      <c r="D26" s="515">
        <v>90278603</v>
      </c>
      <c r="E26" s="514">
        <f t="shared" si="1"/>
        <v>9555166</v>
      </c>
    </row>
    <row r="27" spans="1:5" s="506" customFormat="1" x14ac:dyDescent="0.2">
      <c r="A27" s="512">
        <v>3</v>
      </c>
      <c r="B27" s="511" t="s">
        <v>746</v>
      </c>
      <c r="C27" s="513">
        <v>34492677</v>
      </c>
      <c r="D27" s="515">
        <v>47319089</v>
      </c>
      <c r="E27" s="514">
        <f t="shared" si="1"/>
        <v>12826412</v>
      </c>
    </row>
    <row r="28" spans="1:5" s="506" customFormat="1" x14ac:dyDescent="0.2">
      <c r="A28" s="512">
        <v>4</v>
      </c>
      <c r="B28" s="511" t="s">
        <v>114</v>
      </c>
      <c r="C28" s="513">
        <v>26223645</v>
      </c>
      <c r="D28" s="515">
        <v>40364564</v>
      </c>
      <c r="E28" s="514">
        <f t="shared" si="1"/>
        <v>14140919</v>
      </c>
    </row>
    <row r="29" spans="1:5" s="506" customFormat="1" x14ac:dyDescent="0.2">
      <c r="A29" s="512">
        <v>5</v>
      </c>
      <c r="B29" s="511" t="s">
        <v>713</v>
      </c>
      <c r="C29" s="513">
        <v>8269032</v>
      </c>
      <c r="D29" s="515">
        <v>6954525</v>
      </c>
      <c r="E29" s="514">
        <f t="shared" si="1"/>
        <v>-1314507</v>
      </c>
    </row>
    <row r="30" spans="1:5" s="506" customFormat="1" x14ac:dyDescent="0.2">
      <c r="A30" s="512">
        <v>6</v>
      </c>
      <c r="B30" s="511" t="s">
        <v>418</v>
      </c>
      <c r="C30" s="513">
        <v>283642</v>
      </c>
      <c r="D30" s="515">
        <v>266626</v>
      </c>
      <c r="E30" s="514">
        <f t="shared" si="1"/>
        <v>-17016</v>
      </c>
    </row>
    <row r="31" spans="1:5" s="506" customFormat="1" x14ac:dyDescent="0.2">
      <c r="A31" s="512">
        <v>7</v>
      </c>
      <c r="B31" s="511" t="s">
        <v>728</v>
      </c>
      <c r="C31" s="514">
        <v>20686277</v>
      </c>
      <c r="D31" s="518">
        <v>22035587</v>
      </c>
      <c r="E31" s="514">
        <f t="shared" si="1"/>
        <v>1349310</v>
      </c>
    </row>
    <row r="32" spans="1:5" s="506" customFormat="1" x14ac:dyDescent="0.2">
      <c r="A32" s="512"/>
      <c r="B32" s="516" t="s">
        <v>749</v>
      </c>
      <c r="C32" s="517">
        <f>SUM(C26+C27+C30)</f>
        <v>115499756</v>
      </c>
      <c r="D32" s="517">
        <f>SUM(D26+D27+D30)</f>
        <v>137864318</v>
      </c>
      <c r="E32" s="517">
        <f t="shared" si="1"/>
        <v>22364562</v>
      </c>
    </row>
    <row r="33" spans="1:5" s="506" customFormat="1" x14ac:dyDescent="0.2">
      <c r="A33" s="512"/>
      <c r="B33" s="516" t="s">
        <v>693</v>
      </c>
      <c r="C33" s="517">
        <f>SUM(C25+C32)</f>
        <v>238972604</v>
      </c>
      <c r="D33" s="517">
        <f>SUM(D25+D32)</f>
        <v>266263033</v>
      </c>
      <c r="E33" s="517">
        <f t="shared" si="1"/>
        <v>27290429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316158051</v>
      </c>
      <c r="D36" s="514">
        <f t="shared" si="2"/>
        <v>329316787</v>
      </c>
      <c r="E36" s="514">
        <f t="shared" ref="E36:E44" si="3">D36-C36</f>
        <v>13158736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414483421</v>
      </c>
      <c r="D37" s="514">
        <f t="shared" si="2"/>
        <v>449462026</v>
      </c>
      <c r="E37" s="514">
        <f t="shared" si="3"/>
        <v>34978605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121212781</v>
      </c>
      <c r="D38" s="514">
        <f t="shared" si="2"/>
        <v>148986499</v>
      </c>
      <c r="E38" s="514">
        <f t="shared" si="3"/>
        <v>27773718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96364311</v>
      </c>
      <c r="D39" s="514">
        <f t="shared" si="2"/>
        <v>130985683</v>
      </c>
      <c r="E39" s="514">
        <f t="shared" si="3"/>
        <v>34621372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24848470</v>
      </c>
      <c r="D40" s="514">
        <f t="shared" si="2"/>
        <v>18000816</v>
      </c>
      <c r="E40" s="514">
        <f t="shared" si="3"/>
        <v>-6847654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644616</v>
      </c>
      <c r="D41" s="514">
        <f t="shared" si="2"/>
        <v>750316</v>
      </c>
      <c r="E41" s="514">
        <f t="shared" si="3"/>
        <v>105700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41092431</v>
      </c>
      <c r="D42" s="514">
        <f t="shared" si="2"/>
        <v>40048835</v>
      </c>
      <c r="E42" s="514">
        <f t="shared" si="3"/>
        <v>-1043596</v>
      </c>
    </row>
    <row r="43" spans="1:5" s="506" customFormat="1" x14ac:dyDescent="0.2">
      <c r="A43" s="512"/>
      <c r="B43" s="516" t="s">
        <v>757</v>
      </c>
      <c r="C43" s="517">
        <f>SUM(C37+C38+C41)</f>
        <v>536340818</v>
      </c>
      <c r="D43" s="517">
        <f>SUM(D37+D38+D41)</f>
        <v>599198841</v>
      </c>
      <c r="E43" s="517">
        <f t="shared" si="3"/>
        <v>62858023</v>
      </c>
    </row>
    <row r="44" spans="1:5" s="506" customFormat="1" x14ac:dyDescent="0.2">
      <c r="A44" s="512"/>
      <c r="B44" s="516" t="s">
        <v>695</v>
      </c>
      <c r="C44" s="517">
        <f>SUM(C36+C43)</f>
        <v>852498869</v>
      </c>
      <c r="D44" s="517">
        <f>SUM(D36+D43)</f>
        <v>928515628</v>
      </c>
      <c r="E44" s="517">
        <f t="shared" si="3"/>
        <v>76016759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91369062</v>
      </c>
      <c r="D47" s="513">
        <v>98741983</v>
      </c>
      <c r="E47" s="514">
        <f t="shared" ref="E47:E55" si="4">D47-C47</f>
        <v>7372921</v>
      </c>
    </row>
    <row r="48" spans="1:5" s="506" customFormat="1" x14ac:dyDescent="0.2">
      <c r="A48" s="512">
        <v>2</v>
      </c>
      <c r="B48" s="511" t="s">
        <v>600</v>
      </c>
      <c r="C48" s="513">
        <v>120803786</v>
      </c>
      <c r="D48" s="515">
        <v>122330717</v>
      </c>
      <c r="E48" s="514">
        <f t="shared" si="4"/>
        <v>1526931</v>
      </c>
    </row>
    <row r="49" spans="1:5" s="506" customFormat="1" x14ac:dyDescent="0.2">
      <c r="A49" s="512">
        <v>3</v>
      </c>
      <c r="B49" s="511" t="s">
        <v>746</v>
      </c>
      <c r="C49" s="513">
        <v>21968259</v>
      </c>
      <c r="D49" s="515">
        <v>24250057</v>
      </c>
      <c r="E49" s="514">
        <f t="shared" si="4"/>
        <v>2281798</v>
      </c>
    </row>
    <row r="50" spans="1:5" s="506" customFormat="1" x14ac:dyDescent="0.2">
      <c r="A50" s="512">
        <v>4</v>
      </c>
      <c r="B50" s="511" t="s">
        <v>114</v>
      </c>
      <c r="C50" s="513">
        <v>19983110</v>
      </c>
      <c r="D50" s="515">
        <v>24004368</v>
      </c>
      <c r="E50" s="514">
        <f t="shared" si="4"/>
        <v>4021258</v>
      </c>
    </row>
    <row r="51" spans="1:5" s="506" customFormat="1" x14ac:dyDescent="0.2">
      <c r="A51" s="512">
        <v>5</v>
      </c>
      <c r="B51" s="511" t="s">
        <v>713</v>
      </c>
      <c r="C51" s="513">
        <v>1985149</v>
      </c>
      <c r="D51" s="515">
        <v>245689</v>
      </c>
      <c r="E51" s="514">
        <f t="shared" si="4"/>
        <v>-1739460</v>
      </c>
    </row>
    <row r="52" spans="1:5" s="506" customFormat="1" x14ac:dyDescent="0.2">
      <c r="A52" s="512">
        <v>6</v>
      </c>
      <c r="B52" s="511" t="s">
        <v>418</v>
      </c>
      <c r="C52" s="513">
        <v>121850</v>
      </c>
      <c r="D52" s="515">
        <v>190001</v>
      </c>
      <c r="E52" s="514">
        <f t="shared" si="4"/>
        <v>68151</v>
      </c>
    </row>
    <row r="53" spans="1:5" s="506" customFormat="1" x14ac:dyDescent="0.2">
      <c r="A53" s="512">
        <v>7</v>
      </c>
      <c r="B53" s="511" t="s">
        <v>728</v>
      </c>
      <c r="C53" s="513">
        <v>1590034</v>
      </c>
      <c r="D53" s="515">
        <v>1010117</v>
      </c>
      <c r="E53" s="514">
        <f t="shared" si="4"/>
        <v>-579917</v>
      </c>
    </row>
    <row r="54" spans="1:5" s="506" customFormat="1" x14ac:dyDescent="0.2">
      <c r="A54" s="512"/>
      <c r="B54" s="516" t="s">
        <v>759</v>
      </c>
      <c r="C54" s="517">
        <f>SUM(C48+C49+C52)</f>
        <v>142893895</v>
      </c>
      <c r="D54" s="517">
        <f>SUM(D48+D49+D52)</f>
        <v>146770775</v>
      </c>
      <c r="E54" s="517">
        <f t="shared" si="4"/>
        <v>3876880</v>
      </c>
    </row>
    <row r="55" spans="1:5" s="506" customFormat="1" x14ac:dyDescent="0.2">
      <c r="A55" s="512"/>
      <c r="B55" s="516" t="s">
        <v>688</v>
      </c>
      <c r="C55" s="517">
        <f>SUM(C47+C54)</f>
        <v>234262957</v>
      </c>
      <c r="D55" s="517">
        <f>SUM(D47+D54)</f>
        <v>245512758</v>
      </c>
      <c r="E55" s="517">
        <f t="shared" si="4"/>
        <v>11249801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50855109</v>
      </c>
      <c r="D58" s="513">
        <v>50243179</v>
      </c>
      <c r="E58" s="514">
        <f t="shared" ref="E58:E66" si="5">D58-C58</f>
        <v>-611930</v>
      </c>
    </row>
    <row r="59" spans="1:5" s="506" customFormat="1" x14ac:dyDescent="0.2">
      <c r="A59" s="512">
        <v>2</v>
      </c>
      <c r="B59" s="511" t="s">
        <v>600</v>
      </c>
      <c r="C59" s="513">
        <v>24868355</v>
      </c>
      <c r="D59" s="515">
        <v>25816532</v>
      </c>
      <c r="E59" s="514">
        <f t="shared" si="5"/>
        <v>948177</v>
      </c>
    </row>
    <row r="60" spans="1:5" s="506" customFormat="1" x14ac:dyDescent="0.2">
      <c r="A60" s="512">
        <v>3</v>
      </c>
      <c r="B60" s="511" t="s">
        <v>746</v>
      </c>
      <c r="C60" s="513">
        <f>C61+C62</f>
        <v>9882678</v>
      </c>
      <c r="D60" s="515">
        <f>D61+D62</f>
        <v>10933527</v>
      </c>
      <c r="E60" s="514">
        <f t="shared" si="5"/>
        <v>1050849</v>
      </c>
    </row>
    <row r="61" spans="1:5" s="506" customFormat="1" x14ac:dyDescent="0.2">
      <c r="A61" s="512">
        <v>4</v>
      </c>
      <c r="B61" s="511" t="s">
        <v>114</v>
      </c>
      <c r="C61" s="513">
        <v>8456331</v>
      </c>
      <c r="D61" s="515">
        <v>8879166</v>
      </c>
      <c r="E61" s="514">
        <f t="shared" si="5"/>
        <v>422835</v>
      </c>
    </row>
    <row r="62" spans="1:5" s="506" customFormat="1" x14ac:dyDescent="0.2">
      <c r="A62" s="512">
        <v>5</v>
      </c>
      <c r="B62" s="511" t="s">
        <v>713</v>
      </c>
      <c r="C62" s="513">
        <v>1426347</v>
      </c>
      <c r="D62" s="515">
        <v>2054361</v>
      </c>
      <c r="E62" s="514">
        <f t="shared" si="5"/>
        <v>628014</v>
      </c>
    </row>
    <row r="63" spans="1:5" s="506" customFormat="1" x14ac:dyDescent="0.2">
      <c r="A63" s="512">
        <v>6</v>
      </c>
      <c r="B63" s="511" t="s">
        <v>418</v>
      </c>
      <c r="C63" s="513">
        <v>101544</v>
      </c>
      <c r="D63" s="515">
        <v>91593</v>
      </c>
      <c r="E63" s="514">
        <f t="shared" si="5"/>
        <v>-9951</v>
      </c>
    </row>
    <row r="64" spans="1:5" s="506" customFormat="1" x14ac:dyDescent="0.2">
      <c r="A64" s="512">
        <v>7</v>
      </c>
      <c r="B64" s="511" t="s">
        <v>728</v>
      </c>
      <c r="C64" s="513">
        <v>1462161</v>
      </c>
      <c r="D64" s="515">
        <v>1818473</v>
      </c>
      <c r="E64" s="514">
        <f t="shared" si="5"/>
        <v>356312</v>
      </c>
    </row>
    <row r="65" spans="1:5" s="506" customFormat="1" x14ac:dyDescent="0.2">
      <c r="A65" s="512"/>
      <c r="B65" s="516" t="s">
        <v>761</v>
      </c>
      <c r="C65" s="517">
        <f>SUM(C59+C60+C63)</f>
        <v>34852577</v>
      </c>
      <c r="D65" s="517">
        <f>SUM(D59+D60+D63)</f>
        <v>36841652</v>
      </c>
      <c r="E65" s="517">
        <f t="shared" si="5"/>
        <v>1989075</v>
      </c>
    </row>
    <row r="66" spans="1:5" s="506" customFormat="1" x14ac:dyDescent="0.2">
      <c r="A66" s="512"/>
      <c r="B66" s="516" t="s">
        <v>694</v>
      </c>
      <c r="C66" s="517">
        <f>SUM(C58+C65)</f>
        <v>85707686</v>
      </c>
      <c r="D66" s="517">
        <f>SUM(D58+D65)</f>
        <v>87084831</v>
      </c>
      <c r="E66" s="517">
        <f t="shared" si="5"/>
        <v>1377145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142224171</v>
      </c>
      <c r="D69" s="514">
        <f t="shared" si="6"/>
        <v>148985162</v>
      </c>
      <c r="E69" s="514">
        <f t="shared" ref="E69:E77" si="7">D69-C69</f>
        <v>6760991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145672141</v>
      </c>
      <c r="D70" s="514">
        <f t="shared" si="6"/>
        <v>148147249</v>
      </c>
      <c r="E70" s="514">
        <f t="shared" si="7"/>
        <v>2475108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31850937</v>
      </c>
      <c r="D71" s="514">
        <f t="shared" si="6"/>
        <v>35183584</v>
      </c>
      <c r="E71" s="514">
        <f t="shared" si="7"/>
        <v>3332647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28439441</v>
      </c>
      <c r="D72" s="514">
        <f t="shared" si="6"/>
        <v>32883534</v>
      </c>
      <c r="E72" s="514">
        <f t="shared" si="7"/>
        <v>4444093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3411496</v>
      </c>
      <c r="D73" s="514">
        <f t="shared" si="6"/>
        <v>2300050</v>
      </c>
      <c r="E73" s="514">
        <f t="shared" si="7"/>
        <v>-1111446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223394</v>
      </c>
      <c r="D74" s="514">
        <f t="shared" si="6"/>
        <v>281594</v>
      </c>
      <c r="E74" s="514">
        <f t="shared" si="7"/>
        <v>58200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3052195</v>
      </c>
      <c r="D75" s="514">
        <f t="shared" si="6"/>
        <v>2828590</v>
      </c>
      <c r="E75" s="514">
        <f t="shared" si="7"/>
        <v>-223605</v>
      </c>
    </row>
    <row r="76" spans="1:5" s="506" customFormat="1" x14ac:dyDescent="0.2">
      <c r="A76" s="512"/>
      <c r="B76" s="516" t="s">
        <v>762</v>
      </c>
      <c r="C76" s="517">
        <f>SUM(C70+C71+C74)</f>
        <v>177746472</v>
      </c>
      <c r="D76" s="517">
        <f>SUM(D70+D71+D74)</f>
        <v>183612427</v>
      </c>
      <c r="E76" s="517">
        <f t="shared" si="7"/>
        <v>5865955</v>
      </c>
    </row>
    <row r="77" spans="1:5" s="506" customFormat="1" x14ac:dyDescent="0.2">
      <c r="A77" s="512"/>
      <c r="B77" s="516" t="s">
        <v>696</v>
      </c>
      <c r="C77" s="517">
        <f>SUM(C69+C76)</f>
        <v>319970643</v>
      </c>
      <c r="D77" s="517">
        <f>SUM(D69+D76)</f>
        <v>332597589</v>
      </c>
      <c r="E77" s="517">
        <f t="shared" si="7"/>
        <v>12626946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0.22602399839664772</v>
      </c>
      <c r="D83" s="523">
        <f t="shared" si="8"/>
        <v>0.21638631159366981</v>
      </c>
      <c r="E83" s="523">
        <f t="shared" ref="E83:E91" si="9">D83-C83</f>
        <v>-9.6376868029779128E-3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0.39150783201801526</v>
      </c>
      <c r="D84" s="523">
        <f t="shared" si="8"/>
        <v>0.38683616319272118</v>
      </c>
      <c r="E84" s="523">
        <f t="shared" si="9"/>
        <v>-4.671668825294073E-3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0.10172459712670892</v>
      </c>
      <c r="D85" s="523">
        <f t="shared" si="8"/>
        <v>0.1094945598481623</v>
      </c>
      <c r="E85" s="523">
        <f t="shared" si="9"/>
        <v>7.7699627214533745E-3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8.227655021088362E-2</v>
      </c>
      <c r="D86" s="523">
        <f t="shared" si="8"/>
        <v>9.7597839247138662E-2</v>
      </c>
      <c r="E86" s="523">
        <f t="shared" si="9"/>
        <v>1.5321289036255042E-2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1.9448046915825294E-2</v>
      </c>
      <c r="D87" s="523">
        <f t="shared" si="8"/>
        <v>1.1896720601023637E-2</v>
      </c>
      <c r="E87" s="523">
        <f t="shared" si="9"/>
        <v>-7.5513263148016575E-3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4.2343047378283385E-4</v>
      </c>
      <c r="D88" s="523">
        <f t="shared" si="8"/>
        <v>5.2092822717680746E-4</v>
      </c>
      <c r="E88" s="523">
        <f t="shared" si="9"/>
        <v>9.7497753393973609E-5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2.3936869293371462E-2</v>
      </c>
      <c r="D89" s="523">
        <f t="shared" si="8"/>
        <v>1.9400048267146669E-2</v>
      </c>
      <c r="E89" s="523">
        <f t="shared" si="9"/>
        <v>-4.5368210262247931E-3</v>
      </c>
    </row>
    <row r="90" spans="1:5" s="506" customFormat="1" x14ac:dyDescent="0.2">
      <c r="A90" s="512"/>
      <c r="B90" s="516" t="s">
        <v>765</v>
      </c>
      <c r="C90" s="524">
        <f>SUM(C84+C85+C88)</f>
        <v>0.49365585961850705</v>
      </c>
      <c r="D90" s="524">
        <f>SUM(D84+D85+D88)</f>
        <v>0.4968516512680603</v>
      </c>
      <c r="E90" s="525">
        <f t="shared" si="9"/>
        <v>3.1957916495532479E-3</v>
      </c>
    </row>
    <row r="91" spans="1:5" s="506" customFormat="1" x14ac:dyDescent="0.2">
      <c r="A91" s="512"/>
      <c r="B91" s="516" t="s">
        <v>766</v>
      </c>
      <c r="C91" s="524">
        <f>SUM(C83+C90)</f>
        <v>0.71967985801515477</v>
      </c>
      <c r="D91" s="524">
        <f>SUM(D83+D90)</f>
        <v>0.71323796286173013</v>
      </c>
      <c r="E91" s="525">
        <f t="shared" si="9"/>
        <v>-6.4418951534246371E-3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0.14483637748966913</v>
      </c>
      <c r="D95" s="523">
        <f t="shared" si="10"/>
        <v>0.13828384911147668</v>
      </c>
      <c r="E95" s="523">
        <f t="shared" ref="E95:E103" si="11">D95-C95</f>
        <v>-6.5525283781924515E-3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9.4690374304766387E-2</v>
      </c>
      <c r="D96" s="523">
        <f t="shared" si="10"/>
        <v>9.7228953695112169E-2</v>
      </c>
      <c r="E96" s="523">
        <f t="shared" si="11"/>
        <v>2.5385793903457826E-3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4.0460671860433867E-2</v>
      </c>
      <c r="D97" s="523">
        <f t="shared" si="10"/>
        <v>5.0962081383513345E-2</v>
      </c>
      <c r="E97" s="523">
        <f t="shared" si="11"/>
        <v>1.0501409523079479E-2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3.0760914710374825E-2</v>
      </c>
      <c r="D98" s="523">
        <f t="shared" si="10"/>
        <v>4.3472142829673516E-2</v>
      </c>
      <c r="E98" s="523">
        <f t="shared" si="11"/>
        <v>1.271122811929869E-2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9.6997571500590466E-3</v>
      </c>
      <c r="D99" s="523">
        <f t="shared" si="10"/>
        <v>7.489938553839828E-3</v>
      </c>
      <c r="E99" s="523">
        <f t="shared" si="11"/>
        <v>-2.2098185962192186E-3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3.3271832997587239E-4</v>
      </c>
      <c r="D100" s="523">
        <f t="shared" si="10"/>
        <v>2.8715294816771789E-4</v>
      </c>
      <c r="E100" s="523">
        <f t="shared" si="11"/>
        <v>-4.5565381808154498E-5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2.4265459758633416E-2</v>
      </c>
      <c r="D101" s="523">
        <f t="shared" si="10"/>
        <v>2.3732058282598986E-2</v>
      </c>
      <c r="E101" s="523">
        <f t="shared" si="11"/>
        <v>-5.3340147603442994E-4</v>
      </c>
    </row>
    <row r="102" spans="1:5" s="506" customFormat="1" x14ac:dyDescent="0.2">
      <c r="A102" s="512"/>
      <c r="B102" s="516" t="s">
        <v>768</v>
      </c>
      <c r="C102" s="524">
        <f>SUM(C96+C97+C100)</f>
        <v>0.1354837644951761</v>
      </c>
      <c r="D102" s="524">
        <f>SUM(D96+D97+D100)</f>
        <v>0.14847818802679325</v>
      </c>
      <c r="E102" s="525">
        <f t="shared" si="11"/>
        <v>1.2994423531617144E-2</v>
      </c>
    </row>
    <row r="103" spans="1:5" s="506" customFormat="1" x14ac:dyDescent="0.2">
      <c r="A103" s="512"/>
      <c r="B103" s="516" t="s">
        <v>769</v>
      </c>
      <c r="C103" s="524">
        <f>SUM(C95+C102)</f>
        <v>0.28032014198484523</v>
      </c>
      <c r="D103" s="524">
        <f>SUM(D95+D102)</f>
        <v>0.28676203713826992</v>
      </c>
      <c r="E103" s="525">
        <f t="shared" si="11"/>
        <v>6.4418951534246927E-3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0.28555451569974188</v>
      </c>
      <c r="D109" s="523">
        <f t="shared" si="12"/>
        <v>0.29688123505910319</v>
      </c>
      <c r="E109" s="523">
        <f t="shared" ref="E109:E117" si="13">D109-C109</f>
        <v>1.1326719359361304E-2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0.37754646759890409</v>
      </c>
      <c r="D110" s="523">
        <f t="shared" si="12"/>
        <v>0.36780398008236914</v>
      </c>
      <c r="E110" s="523">
        <f t="shared" si="13"/>
        <v>-9.7424875165349478E-3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6.8657108021000543E-2</v>
      </c>
      <c r="D111" s="523">
        <f t="shared" si="12"/>
        <v>7.2911102792149227E-2</v>
      </c>
      <c r="E111" s="523">
        <f t="shared" si="13"/>
        <v>4.2539947711486836E-3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6.2452948222503024E-2</v>
      </c>
      <c r="D112" s="523">
        <f t="shared" si="12"/>
        <v>7.2172405314699983E-2</v>
      </c>
      <c r="E112" s="523">
        <f t="shared" si="13"/>
        <v>9.7194570921969592E-3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6.2041597984975137E-3</v>
      </c>
      <c r="D113" s="523">
        <f t="shared" si="12"/>
        <v>7.3869747744924276E-4</v>
      </c>
      <c r="E113" s="523">
        <f t="shared" si="13"/>
        <v>-5.4654623210482712E-3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3.8081618631494266E-4</v>
      </c>
      <c r="D114" s="523">
        <f t="shared" si="12"/>
        <v>5.7126391255951051E-4</v>
      </c>
      <c r="E114" s="523">
        <f t="shared" si="13"/>
        <v>1.9044772624456785E-4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4.9693121378013416E-3</v>
      </c>
      <c r="D115" s="523">
        <f t="shared" si="12"/>
        <v>3.0370544868862535E-3</v>
      </c>
      <c r="E115" s="523">
        <f t="shared" si="13"/>
        <v>-1.932257650915088E-3</v>
      </c>
    </row>
    <row r="116" spans="1:5" s="506" customFormat="1" x14ac:dyDescent="0.2">
      <c r="A116" s="512"/>
      <c r="B116" s="516" t="s">
        <v>765</v>
      </c>
      <c r="C116" s="524">
        <f>SUM(C110+C111+C114)</f>
        <v>0.44658439180621962</v>
      </c>
      <c r="D116" s="524">
        <f>SUM(D110+D111+D114)</f>
        <v>0.4412863467870779</v>
      </c>
      <c r="E116" s="525">
        <f t="shared" si="13"/>
        <v>-5.2980450191417172E-3</v>
      </c>
    </row>
    <row r="117" spans="1:5" s="506" customFormat="1" x14ac:dyDescent="0.2">
      <c r="A117" s="512"/>
      <c r="B117" s="516" t="s">
        <v>766</v>
      </c>
      <c r="C117" s="524">
        <f>SUM(C109+C116)</f>
        <v>0.73213890750596144</v>
      </c>
      <c r="D117" s="524">
        <f>SUM(D109+D116)</f>
        <v>0.73816758184618103</v>
      </c>
      <c r="E117" s="525">
        <f t="shared" si="13"/>
        <v>6.0286743402195864E-3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0.15893679658605431</v>
      </c>
      <c r="D121" s="523">
        <f t="shared" si="14"/>
        <v>0.1510629681684193</v>
      </c>
      <c r="E121" s="523">
        <f t="shared" ref="E121:E129" si="15">D121-C121</f>
        <v>-7.8738284176350093E-3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7.7720739524219415E-2</v>
      </c>
      <c r="D122" s="523">
        <f t="shared" si="14"/>
        <v>7.7620923463759678E-2</v>
      </c>
      <c r="E122" s="523">
        <f t="shared" si="15"/>
        <v>-9.981606045973701E-5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3.088620226950008E-2</v>
      </c>
      <c r="D123" s="523">
        <f t="shared" si="14"/>
        <v>3.2873139678712464E-2</v>
      </c>
      <c r="E123" s="523">
        <f t="shared" si="15"/>
        <v>1.9869374092123838E-3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2.6428458938340789E-2</v>
      </c>
      <c r="D124" s="523">
        <f t="shared" si="14"/>
        <v>2.6696423226327117E-2</v>
      </c>
      <c r="E124" s="523">
        <f t="shared" si="15"/>
        <v>2.6796428798632824E-4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4.4577433311592902E-3</v>
      </c>
      <c r="D125" s="523">
        <f t="shared" si="14"/>
        <v>6.1767164523853476E-3</v>
      </c>
      <c r="E125" s="523">
        <f t="shared" si="15"/>
        <v>1.7189731212260573E-3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3.1735411426478898E-4</v>
      </c>
      <c r="D126" s="523">
        <f t="shared" si="14"/>
        <v>2.7538684292747535E-4</v>
      </c>
      <c r="E126" s="523">
        <f t="shared" si="15"/>
        <v>-4.1967271337313634E-5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4.5696723495973974E-3</v>
      </c>
      <c r="D127" s="523">
        <f t="shared" si="14"/>
        <v>5.4674870177726992E-3</v>
      </c>
      <c r="E127" s="523">
        <f t="shared" si="15"/>
        <v>8.978146681753018E-4</v>
      </c>
    </row>
    <row r="128" spans="1:5" s="506" customFormat="1" x14ac:dyDescent="0.2">
      <c r="A128" s="512"/>
      <c r="B128" s="516" t="s">
        <v>768</v>
      </c>
      <c r="C128" s="524">
        <f>SUM(C122+C123+C126)</f>
        <v>0.10892429590798428</v>
      </c>
      <c r="D128" s="524">
        <f>SUM(D122+D123+D126)</f>
        <v>0.11076944998539963</v>
      </c>
      <c r="E128" s="525">
        <f t="shared" si="15"/>
        <v>1.8451540774153535E-3</v>
      </c>
    </row>
    <row r="129" spans="1:5" s="506" customFormat="1" x14ac:dyDescent="0.2">
      <c r="A129" s="512"/>
      <c r="B129" s="516" t="s">
        <v>769</v>
      </c>
      <c r="C129" s="524">
        <f>SUM(C121+C128)</f>
        <v>0.26786109249403856</v>
      </c>
      <c r="D129" s="524">
        <f>SUM(D121+D128)</f>
        <v>0.26183241815381891</v>
      </c>
      <c r="E129" s="525">
        <f t="shared" si="15"/>
        <v>-6.0286743402196419E-3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8200</v>
      </c>
      <c r="D137" s="530">
        <v>7897</v>
      </c>
      <c r="E137" s="531">
        <f t="shared" ref="E137:E145" si="16">D137-C137</f>
        <v>-303</v>
      </c>
    </row>
    <row r="138" spans="1:5" s="506" customFormat="1" x14ac:dyDescent="0.2">
      <c r="A138" s="512">
        <v>2</v>
      </c>
      <c r="B138" s="511" t="s">
        <v>600</v>
      </c>
      <c r="C138" s="530">
        <v>9746</v>
      </c>
      <c r="D138" s="530">
        <v>9920</v>
      </c>
      <c r="E138" s="531">
        <f t="shared" si="16"/>
        <v>174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3779</v>
      </c>
      <c r="D139" s="530">
        <f>D140+D141</f>
        <v>4026</v>
      </c>
      <c r="E139" s="531">
        <f t="shared" si="16"/>
        <v>247</v>
      </c>
    </row>
    <row r="140" spans="1:5" s="506" customFormat="1" x14ac:dyDescent="0.2">
      <c r="A140" s="512">
        <v>4</v>
      </c>
      <c r="B140" s="511" t="s">
        <v>114</v>
      </c>
      <c r="C140" s="530">
        <v>3120</v>
      </c>
      <c r="D140" s="530">
        <v>3652</v>
      </c>
      <c r="E140" s="531">
        <f t="shared" si="16"/>
        <v>532</v>
      </c>
    </row>
    <row r="141" spans="1:5" s="506" customFormat="1" x14ac:dyDescent="0.2">
      <c r="A141" s="512">
        <v>5</v>
      </c>
      <c r="B141" s="511" t="s">
        <v>713</v>
      </c>
      <c r="C141" s="530">
        <v>659</v>
      </c>
      <c r="D141" s="530">
        <v>374</v>
      </c>
      <c r="E141" s="531">
        <f t="shared" si="16"/>
        <v>-285</v>
      </c>
    </row>
    <row r="142" spans="1:5" s="506" customFormat="1" x14ac:dyDescent="0.2">
      <c r="A142" s="512">
        <v>6</v>
      </c>
      <c r="B142" s="511" t="s">
        <v>418</v>
      </c>
      <c r="C142" s="530">
        <v>18</v>
      </c>
      <c r="D142" s="530">
        <v>30</v>
      </c>
      <c r="E142" s="531">
        <f t="shared" si="16"/>
        <v>12</v>
      </c>
    </row>
    <row r="143" spans="1:5" s="506" customFormat="1" x14ac:dyDescent="0.2">
      <c r="A143" s="512">
        <v>7</v>
      </c>
      <c r="B143" s="511" t="s">
        <v>728</v>
      </c>
      <c r="C143" s="530">
        <v>955</v>
      </c>
      <c r="D143" s="530">
        <v>1024</v>
      </c>
      <c r="E143" s="531">
        <f t="shared" si="16"/>
        <v>69</v>
      </c>
    </row>
    <row r="144" spans="1:5" s="506" customFormat="1" x14ac:dyDescent="0.2">
      <c r="A144" s="512"/>
      <c r="B144" s="516" t="s">
        <v>776</v>
      </c>
      <c r="C144" s="532">
        <f>SUM(C138+C139+C142)</f>
        <v>13543</v>
      </c>
      <c r="D144" s="532">
        <f>SUM(D138+D139+D142)</f>
        <v>13976</v>
      </c>
      <c r="E144" s="533">
        <f t="shared" si="16"/>
        <v>433</v>
      </c>
    </row>
    <row r="145" spans="1:5" s="506" customFormat="1" x14ac:dyDescent="0.2">
      <c r="A145" s="512"/>
      <c r="B145" s="516" t="s">
        <v>690</v>
      </c>
      <c r="C145" s="532">
        <f>SUM(C137+C144)</f>
        <v>21743</v>
      </c>
      <c r="D145" s="532">
        <f>SUM(D137+D144)</f>
        <v>21873</v>
      </c>
      <c r="E145" s="533">
        <f t="shared" si="16"/>
        <v>130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36714</v>
      </c>
      <c r="D149" s="534">
        <v>35424</v>
      </c>
      <c r="E149" s="531">
        <f t="shared" ref="E149:E157" si="17">D149-C149</f>
        <v>-1290</v>
      </c>
    </row>
    <row r="150" spans="1:5" s="506" customFormat="1" x14ac:dyDescent="0.2">
      <c r="A150" s="512">
        <v>2</v>
      </c>
      <c r="B150" s="511" t="s">
        <v>600</v>
      </c>
      <c r="C150" s="534">
        <v>64038</v>
      </c>
      <c r="D150" s="534">
        <v>62768</v>
      </c>
      <c r="E150" s="531">
        <f t="shared" si="17"/>
        <v>-1270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24616</v>
      </c>
      <c r="D151" s="534">
        <f>D152+D153</f>
        <v>24504</v>
      </c>
      <c r="E151" s="531">
        <f t="shared" si="17"/>
        <v>-112</v>
      </c>
    </row>
    <row r="152" spans="1:5" s="506" customFormat="1" x14ac:dyDescent="0.2">
      <c r="A152" s="512">
        <v>4</v>
      </c>
      <c r="B152" s="511" t="s">
        <v>114</v>
      </c>
      <c r="C152" s="534">
        <v>20920</v>
      </c>
      <c r="D152" s="534">
        <v>22595</v>
      </c>
      <c r="E152" s="531">
        <f t="shared" si="17"/>
        <v>1675</v>
      </c>
    </row>
    <row r="153" spans="1:5" s="506" customFormat="1" x14ac:dyDescent="0.2">
      <c r="A153" s="512">
        <v>5</v>
      </c>
      <c r="B153" s="511" t="s">
        <v>713</v>
      </c>
      <c r="C153" s="535">
        <v>3696</v>
      </c>
      <c r="D153" s="534">
        <v>1909</v>
      </c>
      <c r="E153" s="531">
        <f t="shared" si="17"/>
        <v>-1787</v>
      </c>
    </row>
    <row r="154" spans="1:5" s="506" customFormat="1" x14ac:dyDescent="0.2">
      <c r="A154" s="512">
        <v>6</v>
      </c>
      <c r="B154" s="511" t="s">
        <v>418</v>
      </c>
      <c r="C154" s="534">
        <v>79</v>
      </c>
      <c r="D154" s="534">
        <v>116</v>
      </c>
      <c r="E154" s="531">
        <f t="shared" si="17"/>
        <v>37</v>
      </c>
    </row>
    <row r="155" spans="1:5" s="506" customFormat="1" x14ac:dyDescent="0.2">
      <c r="A155" s="512">
        <v>7</v>
      </c>
      <c r="B155" s="511" t="s">
        <v>728</v>
      </c>
      <c r="C155" s="534">
        <v>4657</v>
      </c>
      <c r="D155" s="534">
        <v>5403</v>
      </c>
      <c r="E155" s="531">
        <f t="shared" si="17"/>
        <v>746</v>
      </c>
    </row>
    <row r="156" spans="1:5" s="506" customFormat="1" x14ac:dyDescent="0.2">
      <c r="A156" s="512"/>
      <c r="B156" s="516" t="s">
        <v>777</v>
      </c>
      <c r="C156" s="532">
        <f>SUM(C150+C151+C154)</f>
        <v>88733</v>
      </c>
      <c r="D156" s="532">
        <f>SUM(D150+D151+D154)</f>
        <v>87388</v>
      </c>
      <c r="E156" s="533">
        <f t="shared" si="17"/>
        <v>-1345</v>
      </c>
    </row>
    <row r="157" spans="1:5" s="506" customFormat="1" x14ac:dyDescent="0.2">
      <c r="A157" s="512"/>
      <c r="B157" s="516" t="s">
        <v>778</v>
      </c>
      <c r="C157" s="532">
        <f>SUM(C149+C156)</f>
        <v>125447</v>
      </c>
      <c r="D157" s="532">
        <f>SUM(D149+D156)</f>
        <v>122812</v>
      </c>
      <c r="E157" s="533">
        <f t="shared" si="17"/>
        <v>-2635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4.4773170731707319</v>
      </c>
      <c r="D161" s="536">
        <f t="shared" si="18"/>
        <v>4.4857540838293026</v>
      </c>
      <c r="E161" s="537">
        <f t="shared" ref="E161:E169" si="19">D161-C161</f>
        <v>8.4370106585707205E-3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6.5706956700184689</v>
      </c>
      <c r="D162" s="536">
        <f t="shared" si="18"/>
        <v>6.3274193548387094</v>
      </c>
      <c r="E162" s="537">
        <f t="shared" si="19"/>
        <v>-0.24327631517975945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6.5138925641704155</v>
      </c>
      <c r="D163" s="536">
        <f t="shared" si="18"/>
        <v>6.0864381520119224</v>
      </c>
      <c r="E163" s="537">
        <f t="shared" si="19"/>
        <v>-0.42745441215849311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6.7051282051282053</v>
      </c>
      <c r="D164" s="536">
        <f t="shared" si="18"/>
        <v>6.1870208105147864</v>
      </c>
      <c r="E164" s="537">
        <f t="shared" si="19"/>
        <v>-0.51810739461341893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5.6084977238239757</v>
      </c>
      <c r="D165" s="536">
        <f t="shared" si="18"/>
        <v>5.1042780748663104</v>
      </c>
      <c r="E165" s="537">
        <f t="shared" si="19"/>
        <v>-0.50421964895766536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4.3888888888888893</v>
      </c>
      <c r="D166" s="536">
        <f t="shared" si="18"/>
        <v>3.8666666666666667</v>
      </c>
      <c r="E166" s="537">
        <f t="shared" si="19"/>
        <v>-0.52222222222222259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4.8764397905759163</v>
      </c>
      <c r="D167" s="536">
        <f t="shared" si="18"/>
        <v>5.2763671875</v>
      </c>
      <c r="E167" s="537">
        <f t="shared" si="19"/>
        <v>0.39992739692408374</v>
      </c>
    </row>
    <row r="168" spans="1:5" s="506" customFormat="1" x14ac:dyDescent="0.2">
      <c r="A168" s="512"/>
      <c r="B168" s="516" t="s">
        <v>780</v>
      </c>
      <c r="C168" s="538">
        <f t="shared" si="18"/>
        <v>6.5519456545817025</v>
      </c>
      <c r="D168" s="538">
        <f t="shared" si="18"/>
        <v>6.2527189467658841</v>
      </c>
      <c r="E168" s="539">
        <f t="shared" si="19"/>
        <v>-0.29922670781581839</v>
      </c>
    </row>
    <row r="169" spans="1:5" s="506" customFormat="1" x14ac:dyDescent="0.2">
      <c r="A169" s="512"/>
      <c r="B169" s="516" t="s">
        <v>714</v>
      </c>
      <c r="C169" s="538">
        <f t="shared" si="18"/>
        <v>5.7695350227659477</v>
      </c>
      <c r="D169" s="538">
        <f t="shared" si="18"/>
        <v>5.614776208110456</v>
      </c>
      <c r="E169" s="539">
        <f t="shared" si="19"/>
        <v>-0.15475881465549168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1.1909000000000001</v>
      </c>
      <c r="D173" s="541">
        <f t="shared" si="20"/>
        <v>1.2276</v>
      </c>
      <c r="E173" s="542">
        <f t="shared" ref="E173:E181" si="21">D173-C173</f>
        <v>3.6699999999999955E-2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1.5299</v>
      </c>
      <c r="D174" s="541">
        <f t="shared" si="20"/>
        <v>1.5162</v>
      </c>
      <c r="E174" s="542">
        <f t="shared" si="21"/>
        <v>-1.3700000000000045E-2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0.96343778777454359</v>
      </c>
      <c r="D175" s="541">
        <f t="shared" si="20"/>
        <v>0.9611213114754098</v>
      </c>
      <c r="E175" s="542">
        <f t="shared" si="21"/>
        <v>-2.3164762991337851E-3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0.91249999999999998</v>
      </c>
      <c r="D176" s="541">
        <f t="shared" si="20"/>
        <v>0.9274</v>
      </c>
      <c r="E176" s="542">
        <f t="shared" si="21"/>
        <v>1.4900000000000024E-2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1.2045999999999999</v>
      </c>
      <c r="D177" s="541">
        <f t="shared" si="20"/>
        <v>1.2904</v>
      </c>
      <c r="E177" s="542">
        <f t="shared" si="21"/>
        <v>8.5800000000000098E-2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1.1109</v>
      </c>
      <c r="D178" s="541">
        <f t="shared" si="20"/>
        <v>0.81040000000000001</v>
      </c>
      <c r="E178" s="542">
        <f t="shared" si="21"/>
        <v>-0.30049999999999999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1.0987</v>
      </c>
      <c r="D179" s="541">
        <f t="shared" si="20"/>
        <v>1.0674999999999999</v>
      </c>
      <c r="E179" s="542">
        <f t="shared" si="21"/>
        <v>-3.1200000000000117E-2</v>
      </c>
    </row>
    <row r="180" spans="1:5" s="506" customFormat="1" x14ac:dyDescent="0.2">
      <c r="A180" s="512"/>
      <c r="B180" s="516" t="s">
        <v>782</v>
      </c>
      <c r="C180" s="543">
        <f t="shared" si="20"/>
        <v>1.3712791109798419</v>
      </c>
      <c r="D180" s="543">
        <f t="shared" si="20"/>
        <v>1.3547860904407558</v>
      </c>
      <c r="E180" s="544">
        <f t="shared" si="21"/>
        <v>-1.6493020539086078E-2</v>
      </c>
    </row>
    <row r="181" spans="1:5" s="506" customFormat="1" x14ac:dyDescent="0.2">
      <c r="A181" s="512"/>
      <c r="B181" s="516" t="s">
        <v>691</v>
      </c>
      <c r="C181" s="543">
        <f t="shared" si="20"/>
        <v>1.3032522191049993</v>
      </c>
      <c r="D181" s="543">
        <f t="shared" si="20"/>
        <v>1.3088669866959266</v>
      </c>
      <c r="E181" s="544">
        <f t="shared" si="21"/>
        <v>5.6147675909272721E-3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305724906</v>
      </c>
      <c r="D185" s="513">
        <v>314090520</v>
      </c>
      <c r="E185" s="514">
        <f>D185-C185</f>
        <v>8365614</v>
      </c>
    </row>
    <row r="186" spans="1:5" s="506" customFormat="1" ht="25.5" x14ac:dyDescent="0.2">
      <c r="A186" s="512">
        <v>2</v>
      </c>
      <c r="B186" s="511" t="s">
        <v>785</v>
      </c>
      <c r="C186" s="513">
        <v>174790464</v>
      </c>
      <c r="D186" s="513">
        <v>185607039</v>
      </c>
      <c r="E186" s="514">
        <f>D186-C186</f>
        <v>10816575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130934442</v>
      </c>
      <c r="D188" s="546">
        <f>+D185-D186</f>
        <v>128483481</v>
      </c>
      <c r="E188" s="514">
        <f t="shared" ref="E188:E197" si="22">D188-C188</f>
        <v>-2450961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0.42827535287556845</v>
      </c>
      <c r="D189" s="547">
        <f>IF(D185=0,0,+D188/D185)</f>
        <v>0.40906513510818476</v>
      </c>
      <c r="E189" s="523">
        <f t="shared" si="22"/>
        <v>-1.9210217767383686E-2</v>
      </c>
    </row>
    <row r="190" spans="1:5" s="506" customFormat="1" x14ac:dyDescent="0.2">
      <c r="A190" s="512">
        <v>5</v>
      </c>
      <c r="B190" s="511" t="s">
        <v>732</v>
      </c>
      <c r="C190" s="513">
        <v>10433144</v>
      </c>
      <c r="D190" s="513">
        <v>15226266</v>
      </c>
      <c r="E190" s="546">
        <f t="shared" si="22"/>
        <v>4793122</v>
      </c>
    </row>
    <row r="191" spans="1:5" s="506" customFormat="1" x14ac:dyDescent="0.2">
      <c r="A191" s="512">
        <v>6</v>
      </c>
      <c r="B191" s="511" t="s">
        <v>718</v>
      </c>
      <c r="C191" s="513">
        <v>6114636</v>
      </c>
      <c r="D191" s="513">
        <v>9187986</v>
      </c>
      <c r="E191" s="546">
        <f t="shared" si="22"/>
        <v>3073350</v>
      </c>
    </row>
    <row r="192" spans="1:5" ht="29.25" x14ac:dyDescent="0.2">
      <c r="A192" s="512">
        <v>7</v>
      </c>
      <c r="B192" s="548" t="s">
        <v>786</v>
      </c>
      <c r="C192" s="513">
        <v>2290216</v>
      </c>
      <c r="D192" s="513">
        <v>2541411</v>
      </c>
      <c r="E192" s="546">
        <f t="shared" si="22"/>
        <v>251195</v>
      </c>
    </row>
    <row r="193" spans="1:5" s="506" customFormat="1" x14ac:dyDescent="0.2">
      <c r="A193" s="512">
        <v>8</v>
      </c>
      <c r="B193" s="511" t="s">
        <v>787</v>
      </c>
      <c r="C193" s="513">
        <v>8833000</v>
      </c>
      <c r="D193" s="513">
        <v>7662000</v>
      </c>
      <c r="E193" s="546">
        <f t="shared" si="22"/>
        <v>-1171000</v>
      </c>
    </row>
    <row r="194" spans="1:5" s="506" customFormat="1" x14ac:dyDescent="0.2">
      <c r="A194" s="512">
        <v>9</v>
      </c>
      <c r="B194" s="511" t="s">
        <v>788</v>
      </c>
      <c r="C194" s="513">
        <v>30554626</v>
      </c>
      <c r="D194" s="513">
        <v>30582008</v>
      </c>
      <c r="E194" s="546">
        <f t="shared" si="22"/>
        <v>27382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39387626</v>
      </c>
      <c r="D195" s="513">
        <f>+D193+D194</f>
        <v>38244008</v>
      </c>
      <c r="E195" s="549">
        <f t="shared" si="22"/>
        <v>-1143618</v>
      </c>
    </row>
    <row r="196" spans="1:5" s="506" customFormat="1" x14ac:dyDescent="0.2">
      <c r="A196" s="512">
        <v>11</v>
      </c>
      <c r="B196" s="511" t="s">
        <v>790</v>
      </c>
      <c r="C196" s="513">
        <v>305724906</v>
      </c>
      <c r="D196" s="513">
        <v>314090520</v>
      </c>
      <c r="E196" s="546">
        <f t="shared" si="22"/>
        <v>8365614</v>
      </c>
    </row>
    <row r="197" spans="1:5" s="506" customFormat="1" x14ac:dyDescent="0.2">
      <c r="A197" s="512">
        <v>12</v>
      </c>
      <c r="B197" s="511" t="s">
        <v>675</v>
      </c>
      <c r="C197" s="513">
        <v>341987000</v>
      </c>
      <c r="D197" s="513">
        <v>351813000</v>
      </c>
      <c r="E197" s="546">
        <f t="shared" si="22"/>
        <v>9826000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9765.380000000001</v>
      </c>
      <c r="D203" s="553">
        <v>9694.3572000000004</v>
      </c>
      <c r="E203" s="554">
        <f t="shared" ref="E203:E211" si="23">D203-C203</f>
        <v>-71.022800000000643</v>
      </c>
    </row>
    <row r="204" spans="1:5" s="506" customFormat="1" x14ac:dyDescent="0.2">
      <c r="A204" s="512">
        <v>2</v>
      </c>
      <c r="B204" s="511" t="s">
        <v>600</v>
      </c>
      <c r="C204" s="553">
        <v>14910.4054</v>
      </c>
      <c r="D204" s="553">
        <v>15040.704</v>
      </c>
      <c r="E204" s="554">
        <f t="shared" si="23"/>
        <v>130.29860000000008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3640.8314</v>
      </c>
      <c r="D205" s="553">
        <f>D206+D207</f>
        <v>3869.4744000000001</v>
      </c>
      <c r="E205" s="554">
        <f t="shared" si="23"/>
        <v>228.64300000000003</v>
      </c>
    </row>
    <row r="206" spans="1:5" s="506" customFormat="1" x14ac:dyDescent="0.2">
      <c r="A206" s="512">
        <v>4</v>
      </c>
      <c r="B206" s="511" t="s">
        <v>114</v>
      </c>
      <c r="C206" s="553">
        <v>2847</v>
      </c>
      <c r="D206" s="553">
        <v>3386.8647999999998</v>
      </c>
      <c r="E206" s="554">
        <f t="shared" si="23"/>
        <v>539.86479999999983</v>
      </c>
    </row>
    <row r="207" spans="1:5" s="506" customFormat="1" x14ac:dyDescent="0.2">
      <c r="A207" s="512">
        <v>5</v>
      </c>
      <c r="B207" s="511" t="s">
        <v>713</v>
      </c>
      <c r="C207" s="553">
        <v>793.83139999999992</v>
      </c>
      <c r="D207" s="553">
        <v>482.6096</v>
      </c>
      <c r="E207" s="554">
        <f t="shared" si="23"/>
        <v>-311.22179999999992</v>
      </c>
    </row>
    <row r="208" spans="1:5" s="506" customFormat="1" x14ac:dyDescent="0.2">
      <c r="A208" s="512">
        <v>6</v>
      </c>
      <c r="B208" s="511" t="s">
        <v>418</v>
      </c>
      <c r="C208" s="553">
        <v>19.996200000000002</v>
      </c>
      <c r="D208" s="553">
        <v>24.312000000000001</v>
      </c>
      <c r="E208" s="554">
        <f t="shared" si="23"/>
        <v>4.3157999999999994</v>
      </c>
    </row>
    <row r="209" spans="1:5" s="506" customFormat="1" x14ac:dyDescent="0.2">
      <c r="A209" s="512">
        <v>7</v>
      </c>
      <c r="B209" s="511" t="s">
        <v>728</v>
      </c>
      <c r="C209" s="553">
        <v>1049.2584999999999</v>
      </c>
      <c r="D209" s="553">
        <v>1093.1199999999999</v>
      </c>
      <c r="E209" s="554">
        <f t="shared" si="23"/>
        <v>43.861499999999978</v>
      </c>
    </row>
    <row r="210" spans="1:5" s="506" customFormat="1" x14ac:dyDescent="0.2">
      <c r="A210" s="512"/>
      <c r="B210" s="516" t="s">
        <v>793</v>
      </c>
      <c r="C210" s="555">
        <f>C204+C205+C208</f>
        <v>18571.233</v>
      </c>
      <c r="D210" s="555">
        <f>D204+D205+D208</f>
        <v>18934.490400000002</v>
      </c>
      <c r="E210" s="556">
        <f t="shared" si="23"/>
        <v>363.25740000000224</v>
      </c>
    </row>
    <row r="211" spans="1:5" s="506" customFormat="1" x14ac:dyDescent="0.2">
      <c r="A211" s="512"/>
      <c r="B211" s="516" t="s">
        <v>692</v>
      </c>
      <c r="C211" s="555">
        <f>C210+C203</f>
        <v>28336.613000000001</v>
      </c>
      <c r="D211" s="555">
        <f>D210+D203</f>
        <v>28628.847600000001</v>
      </c>
      <c r="E211" s="556">
        <f t="shared" si="23"/>
        <v>292.23459999999977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5254.5672310914297</v>
      </c>
      <c r="D215" s="557">
        <f>IF(D14*D137=0,0,D25/D14*D137)</f>
        <v>5046.6572880263357</v>
      </c>
      <c r="E215" s="557">
        <f t="shared" ref="E215:E223" si="24">D215-C215</f>
        <v>-207.90994306509401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2357.1747804314373</v>
      </c>
      <c r="D216" s="557">
        <f>IF(D15*D138=0,0,D26/D15*D138)</f>
        <v>2493.3326106199506</v>
      </c>
      <c r="E216" s="557">
        <f t="shared" si="24"/>
        <v>136.15783018851334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1495.1589917476792</v>
      </c>
      <c r="D217" s="557">
        <f>D218+D219</f>
        <v>1862.1410361742251</v>
      </c>
      <c r="E217" s="557">
        <f t="shared" si="24"/>
        <v>366.98204442654583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1166.481259245528</v>
      </c>
      <c r="D218" s="557">
        <f t="shared" si="25"/>
        <v>1626.6780785172161</v>
      </c>
      <c r="E218" s="557">
        <f t="shared" si="24"/>
        <v>460.19681927168813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328.67773250215117</v>
      </c>
      <c r="D219" s="557">
        <f t="shared" si="25"/>
        <v>235.46295765700904</v>
      </c>
      <c r="E219" s="557">
        <f t="shared" si="24"/>
        <v>-93.214774845142131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14.143833073850194</v>
      </c>
      <c r="D220" s="557">
        <f t="shared" si="25"/>
        <v>16.536996836816968</v>
      </c>
      <c r="E220" s="557">
        <f t="shared" si="24"/>
        <v>2.3931637629667737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968.10964648213462</v>
      </c>
      <c r="D221" s="557">
        <f t="shared" si="25"/>
        <v>1252.6581040798417</v>
      </c>
      <c r="E221" s="557">
        <f t="shared" si="24"/>
        <v>284.54845759770706</v>
      </c>
    </row>
    <row r="222" spans="1:5" s="506" customFormat="1" x14ac:dyDescent="0.2">
      <c r="A222" s="512"/>
      <c r="B222" s="516" t="s">
        <v>795</v>
      </c>
      <c r="C222" s="558">
        <f>C216+C218+C219+C220</f>
        <v>3866.4776052529669</v>
      </c>
      <c r="D222" s="558">
        <f>D216+D218+D219+D220</f>
        <v>4372.0106436309925</v>
      </c>
      <c r="E222" s="558">
        <f t="shared" si="24"/>
        <v>505.53303837802559</v>
      </c>
    </row>
    <row r="223" spans="1:5" s="506" customFormat="1" x14ac:dyDescent="0.2">
      <c r="A223" s="512"/>
      <c r="B223" s="516" t="s">
        <v>796</v>
      </c>
      <c r="C223" s="558">
        <f>C215+C222</f>
        <v>9121.0448363443975</v>
      </c>
      <c r="D223" s="558">
        <f>D215+D222</f>
        <v>9418.6679316573282</v>
      </c>
      <c r="E223" s="558">
        <f t="shared" si="24"/>
        <v>297.62309531293067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9356.4266828326181</v>
      </c>
      <c r="D227" s="560">
        <f t="shared" si="26"/>
        <v>10185.511113619787</v>
      </c>
      <c r="E227" s="560">
        <f t="shared" ref="E227:E235" si="27">D227-C227</f>
        <v>829.08443078716846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8101.9786356714358</v>
      </c>
      <c r="D228" s="560">
        <f t="shared" si="26"/>
        <v>8133.3105817387277</v>
      </c>
      <c r="E228" s="560">
        <f t="shared" si="27"/>
        <v>31.331946067291938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6033.8578161021132</v>
      </c>
      <c r="D229" s="560">
        <f t="shared" si="26"/>
        <v>6267.015747668469</v>
      </c>
      <c r="E229" s="560">
        <f t="shared" si="27"/>
        <v>233.15793156635573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7019.0059711977519</v>
      </c>
      <c r="D230" s="560">
        <f t="shared" si="26"/>
        <v>7087.4892909808505</v>
      </c>
      <c r="E230" s="560">
        <f t="shared" si="27"/>
        <v>68.483319783098523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2500.7186664573865</v>
      </c>
      <c r="D231" s="560">
        <f t="shared" si="26"/>
        <v>509.08436135543099</v>
      </c>
      <c r="E231" s="560">
        <f t="shared" si="27"/>
        <v>-1991.6343051019555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6093.6577949810462</v>
      </c>
      <c r="D232" s="560">
        <f t="shared" si="26"/>
        <v>7815.1118789075354</v>
      </c>
      <c r="E232" s="560">
        <f t="shared" si="27"/>
        <v>1721.4540839264891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1515.3882479865545</v>
      </c>
      <c r="D233" s="560">
        <f t="shared" si="26"/>
        <v>924.06780591334905</v>
      </c>
      <c r="E233" s="560">
        <f t="shared" si="27"/>
        <v>-591.32044207320541</v>
      </c>
    </row>
    <row r="234" spans="1:5" x14ac:dyDescent="0.2">
      <c r="A234" s="512"/>
      <c r="B234" s="516" t="s">
        <v>798</v>
      </c>
      <c r="C234" s="561">
        <f t="shared" si="26"/>
        <v>7694.3676814565843</v>
      </c>
      <c r="D234" s="561">
        <f t="shared" si="26"/>
        <v>7751.5038376739194</v>
      </c>
      <c r="E234" s="561">
        <f t="shared" si="27"/>
        <v>57.136156217335156</v>
      </c>
    </row>
    <row r="235" spans="1:5" s="506" customFormat="1" x14ac:dyDescent="0.2">
      <c r="A235" s="512"/>
      <c r="B235" s="516" t="s">
        <v>799</v>
      </c>
      <c r="C235" s="561">
        <f t="shared" si="26"/>
        <v>8267.1474180771002</v>
      </c>
      <c r="D235" s="561">
        <f t="shared" si="26"/>
        <v>8575.7122127402708</v>
      </c>
      <c r="E235" s="561">
        <f t="shared" si="27"/>
        <v>308.56479466317069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9678.2678312856697</v>
      </c>
      <c r="D239" s="560">
        <f t="shared" si="28"/>
        <v>9955.7342875662707</v>
      </c>
      <c r="E239" s="562">
        <f t="shared" ref="E239:E247" si="29">D239-C239</f>
        <v>277.46645628060105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10550.068330295095</v>
      </c>
      <c r="D240" s="560">
        <f t="shared" si="28"/>
        <v>10354.227065429866</v>
      </c>
      <c r="E240" s="562">
        <f t="shared" si="29"/>
        <v>-195.84126486522837</v>
      </c>
    </row>
    <row r="241" spans="1:5" x14ac:dyDescent="0.2">
      <c r="A241" s="512">
        <v>3</v>
      </c>
      <c r="B241" s="511" t="s">
        <v>746</v>
      </c>
      <c r="C241" s="560">
        <f t="shared" si="28"/>
        <v>6609.7840126341462</v>
      </c>
      <c r="D241" s="560">
        <f t="shared" si="28"/>
        <v>5871.4816910232357</v>
      </c>
      <c r="E241" s="562">
        <f t="shared" si="29"/>
        <v>-738.30232161091044</v>
      </c>
    </row>
    <row r="242" spans="1:5" x14ac:dyDescent="0.2">
      <c r="A242" s="512">
        <v>4</v>
      </c>
      <c r="B242" s="511" t="s">
        <v>114</v>
      </c>
      <c r="C242" s="560">
        <f t="shared" si="28"/>
        <v>7249.4357993110807</v>
      </c>
      <c r="D242" s="560">
        <f t="shared" si="28"/>
        <v>5458.4653947594379</v>
      </c>
      <c r="E242" s="562">
        <f t="shared" si="29"/>
        <v>-1790.9704045516428</v>
      </c>
    </row>
    <row r="243" spans="1:5" x14ac:dyDescent="0.2">
      <c r="A243" s="512">
        <v>5</v>
      </c>
      <c r="B243" s="511" t="s">
        <v>713</v>
      </c>
      <c r="C243" s="560">
        <f t="shared" si="28"/>
        <v>4339.6520632582397</v>
      </c>
      <c r="D243" s="560">
        <f t="shared" si="28"/>
        <v>8724.7736138289674</v>
      </c>
      <c r="E243" s="562">
        <f t="shared" si="29"/>
        <v>4385.1215505707278</v>
      </c>
    </row>
    <row r="244" spans="1:5" x14ac:dyDescent="0.2">
      <c r="A244" s="512">
        <v>6</v>
      </c>
      <c r="B244" s="511" t="s">
        <v>418</v>
      </c>
      <c r="C244" s="560">
        <f t="shared" si="28"/>
        <v>7179.3833729372473</v>
      </c>
      <c r="D244" s="560">
        <f t="shared" si="28"/>
        <v>5538.671918717605</v>
      </c>
      <c r="E244" s="562">
        <f t="shared" si="29"/>
        <v>-1640.7114542196423</v>
      </c>
    </row>
    <row r="245" spans="1:5" x14ac:dyDescent="0.2">
      <c r="A245" s="512">
        <v>7</v>
      </c>
      <c r="B245" s="511" t="s">
        <v>728</v>
      </c>
      <c r="C245" s="560">
        <f t="shared" si="28"/>
        <v>1510.3258244694937</v>
      </c>
      <c r="D245" s="560">
        <f t="shared" si="28"/>
        <v>1451.6914025282149</v>
      </c>
      <c r="E245" s="562">
        <f t="shared" si="29"/>
        <v>-58.634421941278788</v>
      </c>
    </row>
    <row r="246" spans="1:5" ht="25.5" x14ac:dyDescent="0.2">
      <c r="A246" s="512"/>
      <c r="B246" s="516" t="s">
        <v>801</v>
      </c>
      <c r="C246" s="561">
        <f t="shared" si="28"/>
        <v>9014.0382431413946</v>
      </c>
      <c r="D246" s="561">
        <f t="shared" si="28"/>
        <v>8426.7068410891807</v>
      </c>
      <c r="E246" s="563">
        <f t="shared" si="29"/>
        <v>-587.33140205221389</v>
      </c>
    </row>
    <row r="247" spans="1:5" x14ac:dyDescent="0.2">
      <c r="A247" s="512"/>
      <c r="B247" s="516" t="s">
        <v>802</v>
      </c>
      <c r="C247" s="561">
        <f t="shared" si="28"/>
        <v>9396.6960515842165</v>
      </c>
      <c r="D247" s="561">
        <f t="shared" si="28"/>
        <v>9245.9816644874936</v>
      </c>
      <c r="E247" s="563">
        <f t="shared" si="29"/>
        <v>-150.71438709672293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3850125.991048987</v>
      </c>
      <c r="D251" s="546">
        <f>((IF((IF(D15=0,0,D26/D15)*D138)=0,0,D59/(IF(D15=0,0,D26/D15)*D138)))-(IF((IF(D17=0,0,D28/D17)*D140)=0,0,D61/(IF(D17=0,0,D28/D17)*D140))))*(IF(D17=0,0,D28/D17)*D140)</f>
        <v>7963828.1873244084</v>
      </c>
      <c r="E251" s="546">
        <f>D251-C251</f>
        <v>4113702.1962754214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6487681.579669293</v>
      </c>
      <c r="D252" s="546">
        <f>IF(D231=0,0,(D228-D231)*D207)+IF(D243=0,0,(D240-D243)*D219)</f>
        <v>4063200.6956070648</v>
      </c>
      <c r="E252" s="546">
        <f>D252-C252</f>
        <v>-2424480.8840622283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15662497.871901006</v>
      </c>
      <c r="D253" s="546">
        <f>IF(D233=0,0,(D228-D233)*D209+IF(D221=0,0,(D240-D245)*D221))</f>
        <v>19032400.908103798</v>
      </c>
      <c r="E253" s="546">
        <f>D253-C253</f>
        <v>3369903.0362027921</v>
      </c>
    </row>
    <row r="254" spans="1:5" ht="15" customHeight="1" x14ac:dyDescent="0.2">
      <c r="A254" s="512"/>
      <c r="B254" s="516" t="s">
        <v>729</v>
      </c>
      <c r="C254" s="564">
        <f>+C251+C252+C253</f>
        <v>26000305.442619286</v>
      </c>
      <c r="D254" s="564">
        <f>+D251+D252+D253</f>
        <v>31059429.791035272</v>
      </c>
      <c r="E254" s="564">
        <f>D254-C254</f>
        <v>5059124.3484159857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852498869</v>
      </c>
      <c r="D258" s="549">
        <f>+D44</f>
        <v>928515628</v>
      </c>
      <c r="E258" s="546">
        <f t="shared" ref="E258:E271" si="30">D258-C258</f>
        <v>76016759</v>
      </c>
    </row>
    <row r="259" spans="1:5" x14ac:dyDescent="0.2">
      <c r="A259" s="512">
        <v>2</v>
      </c>
      <c r="B259" s="511" t="s">
        <v>712</v>
      </c>
      <c r="C259" s="546">
        <f>+(C43-C76)</f>
        <v>358594346</v>
      </c>
      <c r="D259" s="549">
        <f>+(D43-D76)</f>
        <v>415586414</v>
      </c>
      <c r="E259" s="546">
        <f t="shared" si="30"/>
        <v>56992068</v>
      </c>
    </row>
    <row r="260" spans="1:5" x14ac:dyDescent="0.2">
      <c r="A260" s="512">
        <v>3</v>
      </c>
      <c r="B260" s="511" t="s">
        <v>716</v>
      </c>
      <c r="C260" s="546">
        <f>C195</f>
        <v>39387626</v>
      </c>
      <c r="D260" s="546">
        <f>D195</f>
        <v>38244008</v>
      </c>
      <c r="E260" s="546">
        <f t="shared" si="30"/>
        <v>-1143618</v>
      </c>
    </row>
    <row r="261" spans="1:5" x14ac:dyDescent="0.2">
      <c r="A261" s="512">
        <v>4</v>
      </c>
      <c r="B261" s="511" t="s">
        <v>717</v>
      </c>
      <c r="C261" s="546">
        <f>C188</f>
        <v>130934442</v>
      </c>
      <c r="D261" s="546">
        <f>D188</f>
        <v>128483481</v>
      </c>
      <c r="E261" s="546">
        <f t="shared" si="30"/>
        <v>-2450961</v>
      </c>
    </row>
    <row r="262" spans="1:5" x14ac:dyDescent="0.2">
      <c r="A262" s="512">
        <v>5</v>
      </c>
      <c r="B262" s="511" t="s">
        <v>718</v>
      </c>
      <c r="C262" s="546">
        <f>C191</f>
        <v>6114636</v>
      </c>
      <c r="D262" s="546">
        <f>D191</f>
        <v>9187986</v>
      </c>
      <c r="E262" s="546">
        <f t="shared" si="30"/>
        <v>3073350</v>
      </c>
    </row>
    <row r="263" spans="1:5" x14ac:dyDescent="0.2">
      <c r="A263" s="512">
        <v>6</v>
      </c>
      <c r="B263" s="511" t="s">
        <v>719</v>
      </c>
      <c r="C263" s="546">
        <f>+C259+C260+C261+C262</f>
        <v>535031050</v>
      </c>
      <c r="D263" s="546">
        <f>+D259+D260+D261+D262</f>
        <v>591501889</v>
      </c>
      <c r="E263" s="546">
        <f t="shared" si="30"/>
        <v>56470839</v>
      </c>
    </row>
    <row r="264" spans="1:5" x14ac:dyDescent="0.2">
      <c r="A264" s="512">
        <v>7</v>
      </c>
      <c r="B264" s="511" t="s">
        <v>619</v>
      </c>
      <c r="C264" s="546">
        <f>+C258-C263</f>
        <v>317467819</v>
      </c>
      <c r="D264" s="546">
        <f>+D258-D263</f>
        <v>337013739</v>
      </c>
      <c r="E264" s="546">
        <f t="shared" si="30"/>
        <v>19545920</v>
      </c>
    </row>
    <row r="265" spans="1:5" x14ac:dyDescent="0.2">
      <c r="A265" s="512">
        <v>8</v>
      </c>
      <c r="B265" s="511" t="s">
        <v>805</v>
      </c>
      <c r="C265" s="565">
        <f>C192</f>
        <v>2290216</v>
      </c>
      <c r="D265" s="565">
        <f>D192</f>
        <v>2541411</v>
      </c>
      <c r="E265" s="546">
        <f t="shared" si="30"/>
        <v>251195</v>
      </c>
    </row>
    <row r="266" spans="1:5" x14ac:dyDescent="0.2">
      <c r="A266" s="512">
        <v>9</v>
      </c>
      <c r="B266" s="511" t="s">
        <v>806</v>
      </c>
      <c r="C266" s="546">
        <f>+C264+C265</f>
        <v>319758035</v>
      </c>
      <c r="D266" s="546">
        <f>+D264+D265</f>
        <v>339555150</v>
      </c>
      <c r="E266" s="565">
        <f t="shared" si="30"/>
        <v>19797115</v>
      </c>
    </row>
    <row r="267" spans="1:5" x14ac:dyDescent="0.2">
      <c r="A267" s="512">
        <v>10</v>
      </c>
      <c r="B267" s="511" t="s">
        <v>807</v>
      </c>
      <c r="C267" s="566">
        <f>IF(C258=0,0,C266/C258)</f>
        <v>0.37508323662069282</v>
      </c>
      <c r="D267" s="566">
        <f>IF(D258=0,0,D266/D258)</f>
        <v>0.36569675270990698</v>
      </c>
      <c r="E267" s="567">
        <f t="shared" si="30"/>
        <v>-9.3864839107858367E-3</v>
      </c>
    </row>
    <row r="268" spans="1:5" x14ac:dyDescent="0.2">
      <c r="A268" s="512">
        <v>11</v>
      </c>
      <c r="B268" s="511" t="s">
        <v>681</v>
      </c>
      <c r="C268" s="546">
        <f>+C260*C267</f>
        <v>14773638.242885353</v>
      </c>
      <c r="D268" s="568">
        <f>+D260*D267</f>
        <v>13985709.536211705</v>
      </c>
      <c r="E268" s="546">
        <f t="shared" si="30"/>
        <v>-787928.70667364821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13613945.217275217</v>
      </c>
      <c r="D269" s="568">
        <f>((D17+D18+D28+D29)*D267)-(D50+D51+D61+D62)</f>
        <v>19300294.881917804</v>
      </c>
      <c r="E269" s="546">
        <f t="shared" si="30"/>
        <v>5686349.6646425873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28387583.460160568</v>
      </c>
      <c r="D271" s="546">
        <f>+D268+D269+D270</f>
        <v>33286004.418129511</v>
      </c>
      <c r="E271" s="549">
        <f t="shared" si="30"/>
        <v>4898420.9579689428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0.47418826447197399</v>
      </c>
      <c r="D276" s="547">
        <f t="shared" si="31"/>
        <v>0.49145396438006833</v>
      </c>
      <c r="E276" s="574">
        <f t="shared" ref="E276:E284" si="32">D276-C276</f>
        <v>1.7265699908094345E-2</v>
      </c>
    </row>
    <row r="277" spans="1:5" x14ac:dyDescent="0.2">
      <c r="A277" s="512">
        <v>2</v>
      </c>
      <c r="B277" s="511" t="s">
        <v>600</v>
      </c>
      <c r="C277" s="547">
        <f t="shared" si="31"/>
        <v>0.36194808182876709</v>
      </c>
      <c r="D277" s="547">
        <f t="shared" si="31"/>
        <v>0.34058007459882134</v>
      </c>
      <c r="E277" s="574">
        <f t="shared" si="32"/>
        <v>-2.1368007229945751E-2</v>
      </c>
    </row>
    <row r="278" spans="1:5" x14ac:dyDescent="0.2">
      <c r="A278" s="512">
        <v>3</v>
      </c>
      <c r="B278" s="511" t="s">
        <v>746</v>
      </c>
      <c r="C278" s="547">
        <f t="shared" si="31"/>
        <v>0.25332371603244386</v>
      </c>
      <c r="D278" s="547">
        <f t="shared" si="31"/>
        <v>0.23852340686164819</v>
      </c>
      <c r="E278" s="574">
        <f t="shared" si="32"/>
        <v>-1.4800309170795667E-2</v>
      </c>
    </row>
    <row r="279" spans="1:5" x14ac:dyDescent="0.2">
      <c r="A279" s="512">
        <v>4</v>
      </c>
      <c r="B279" s="511" t="s">
        <v>114</v>
      </c>
      <c r="C279" s="547">
        <f t="shared" si="31"/>
        <v>0.28490048839855614</v>
      </c>
      <c r="D279" s="547">
        <f t="shared" si="31"/>
        <v>0.26488712857319718</v>
      </c>
      <c r="E279" s="574">
        <f t="shared" si="32"/>
        <v>-2.0013359825358956E-2</v>
      </c>
    </row>
    <row r="280" spans="1:5" x14ac:dyDescent="0.2">
      <c r="A280" s="512">
        <v>5</v>
      </c>
      <c r="B280" s="511" t="s">
        <v>713</v>
      </c>
      <c r="C280" s="547">
        <f t="shared" si="31"/>
        <v>0.11973560261813458</v>
      </c>
      <c r="D280" s="547">
        <f t="shared" si="31"/>
        <v>2.2241764226562565E-2</v>
      </c>
      <c r="E280" s="574">
        <f t="shared" si="32"/>
        <v>-9.7493838391572024E-2</v>
      </c>
    </row>
    <row r="281" spans="1:5" x14ac:dyDescent="0.2">
      <c r="A281" s="512">
        <v>6</v>
      </c>
      <c r="B281" s="511" t="s">
        <v>418</v>
      </c>
      <c r="C281" s="547">
        <f t="shared" si="31"/>
        <v>0.33755893776283058</v>
      </c>
      <c r="D281" s="547">
        <f t="shared" si="31"/>
        <v>0.39281564638508137</v>
      </c>
      <c r="E281" s="574">
        <f t="shared" si="32"/>
        <v>5.5256708622250794E-2</v>
      </c>
    </row>
    <row r="282" spans="1:5" x14ac:dyDescent="0.2">
      <c r="A282" s="512">
        <v>7</v>
      </c>
      <c r="B282" s="511" t="s">
        <v>728</v>
      </c>
      <c r="C282" s="547">
        <f t="shared" si="31"/>
        <v>7.7919337470451322E-2</v>
      </c>
      <c r="D282" s="547">
        <f t="shared" si="31"/>
        <v>5.6076338925661821E-2</v>
      </c>
      <c r="E282" s="574">
        <f t="shared" si="32"/>
        <v>-2.1842998544789501E-2</v>
      </c>
    </row>
    <row r="283" spans="1:5" ht="29.25" customHeight="1" x14ac:dyDescent="0.2">
      <c r="A283" s="512"/>
      <c r="B283" s="516" t="s">
        <v>814</v>
      </c>
      <c r="C283" s="575">
        <f t="shared" si="31"/>
        <v>0.33954361373605696</v>
      </c>
      <c r="D283" s="575">
        <f t="shared" si="31"/>
        <v>0.31814392308116946</v>
      </c>
      <c r="E283" s="576">
        <f t="shared" si="32"/>
        <v>-2.1399690654887504E-2</v>
      </c>
    </row>
    <row r="284" spans="1:5" x14ac:dyDescent="0.2">
      <c r="A284" s="512"/>
      <c r="B284" s="516" t="s">
        <v>815</v>
      </c>
      <c r="C284" s="575">
        <f t="shared" si="31"/>
        <v>0.38183036385573482</v>
      </c>
      <c r="D284" s="575">
        <f t="shared" si="31"/>
        <v>0.37072373872691278</v>
      </c>
      <c r="E284" s="576">
        <f t="shared" si="32"/>
        <v>-1.1106625128822045E-2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0.4118728110977079</v>
      </c>
      <c r="D287" s="547">
        <f t="shared" si="33"/>
        <v>0.39130593324084278</v>
      </c>
      <c r="E287" s="574">
        <f t="shared" ref="E287:E295" si="34">D287-C287</f>
        <v>-2.0566877856865118E-2</v>
      </c>
    </row>
    <row r="288" spans="1:5" x14ac:dyDescent="0.2">
      <c r="A288" s="512">
        <v>2</v>
      </c>
      <c r="B288" s="511" t="s">
        <v>600</v>
      </c>
      <c r="C288" s="547">
        <f t="shared" si="33"/>
        <v>0.30806858483986505</v>
      </c>
      <c r="D288" s="547">
        <f t="shared" si="33"/>
        <v>0.28596512509171196</v>
      </c>
      <c r="E288" s="574">
        <f t="shared" si="34"/>
        <v>-2.2103459748153087E-2</v>
      </c>
    </row>
    <row r="289" spans="1:5" x14ac:dyDescent="0.2">
      <c r="A289" s="512">
        <v>3</v>
      </c>
      <c r="B289" s="511" t="s">
        <v>746</v>
      </c>
      <c r="C289" s="547">
        <f t="shared" si="33"/>
        <v>0.28651525075887846</v>
      </c>
      <c r="D289" s="547">
        <f t="shared" si="33"/>
        <v>0.2310595413195719</v>
      </c>
      <c r="E289" s="574">
        <f t="shared" si="34"/>
        <v>-5.5455709439306555E-2</v>
      </c>
    </row>
    <row r="290" spans="1:5" x14ac:dyDescent="0.2">
      <c r="A290" s="512">
        <v>4</v>
      </c>
      <c r="B290" s="511" t="s">
        <v>114</v>
      </c>
      <c r="C290" s="547">
        <f t="shared" si="33"/>
        <v>0.32246970243839101</v>
      </c>
      <c r="D290" s="547">
        <f t="shared" si="33"/>
        <v>0.21997428239284339</v>
      </c>
      <c r="E290" s="574">
        <f t="shared" si="34"/>
        <v>-0.10249542004554762</v>
      </c>
    </row>
    <row r="291" spans="1:5" x14ac:dyDescent="0.2">
      <c r="A291" s="512">
        <v>5</v>
      </c>
      <c r="B291" s="511" t="s">
        <v>713</v>
      </c>
      <c r="C291" s="547">
        <f t="shared" si="33"/>
        <v>0.17249262065983056</v>
      </c>
      <c r="D291" s="547">
        <f t="shared" si="33"/>
        <v>0.29539918254661535</v>
      </c>
      <c r="E291" s="574">
        <f t="shared" si="34"/>
        <v>0.12290656188678478</v>
      </c>
    </row>
    <row r="292" spans="1:5" x14ac:dyDescent="0.2">
      <c r="A292" s="512">
        <v>6</v>
      </c>
      <c r="B292" s="511" t="s">
        <v>418</v>
      </c>
      <c r="C292" s="547">
        <f t="shared" si="33"/>
        <v>0.35800057819363845</v>
      </c>
      <c r="D292" s="547">
        <f t="shared" si="33"/>
        <v>0.34352613773600477</v>
      </c>
      <c r="E292" s="574">
        <f t="shared" si="34"/>
        <v>-1.4474440457633686E-2</v>
      </c>
    </row>
    <row r="293" spans="1:5" x14ac:dyDescent="0.2">
      <c r="A293" s="512">
        <v>7</v>
      </c>
      <c r="B293" s="511" t="s">
        <v>728</v>
      </c>
      <c r="C293" s="547">
        <f t="shared" si="33"/>
        <v>7.0682655946258485E-2</v>
      </c>
      <c r="D293" s="547">
        <f t="shared" si="33"/>
        <v>8.2524372960883677E-2</v>
      </c>
      <c r="E293" s="574">
        <f t="shared" si="34"/>
        <v>1.1841717014625192E-2</v>
      </c>
    </row>
    <row r="294" spans="1:5" ht="29.25" customHeight="1" x14ac:dyDescent="0.2">
      <c r="A294" s="512"/>
      <c r="B294" s="516" t="s">
        <v>817</v>
      </c>
      <c r="C294" s="575">
        <f t="shared" si="33"/>
        <v>0.3017545508927309</v>
      </c>
      <c r="D294" s="575">
        <f t="shared" si="33"/>
        <v>0.26723123527873255</v>
      </c>
      <c r="E294" s="576">
        <f t="shared" si="34"/>
        <v>-3.4523315613998351E-2</v>
      </c>
    </row>
    <row r="295" spans="1:5" x14ac:dyDescent="0.2">
      <c r="A295" s="512"/>
      <c r="B295" s="516" t="s">
        <v>818</v>
      </c>
      <c r="C295" s="575">
        <f t="shared" si="33"/>
        <v>0.35865067612520135</v>
      </c>
      <c r="D295" s="575">
        <f t="shared" si="33"/>
        <v>0.32706316764595705</v>
      </c>
      <c r="E295" s="576">
        <f t="shared" si="34"/>
        <v>-3.1587508479244297E-2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319970643</v>
      </c>
      <c r="D301" s="514">
        <f>+D48+D47+D50+D51+D52+D59+D58+D61+D62+D63</f>
        <v>332597589</v>
      </c>
      <c r="E301" s="514">
        <f>D301-C301</f>
        <v>12626946</v>
      </c>
    </row>
    <row r="302" spans="1:5" ht="25.5" x14ac:dyDescent="0.2">
      <c r="A302" s="512">
        <v>2</v>
      </c>
      <c r="B302" s="511" t="s">
        <v>822</v>
      </c>
      <c r="C302" s="546">
        <f>C265</f>
        <v>2290216</v>
      </c>
      <c r="D302" s="546">
        <f>D265</f>
        <v>2541411</v>
      </c>
      <c r="E302" s="514">
        <f>D302-C302</f>
        <v>251195</v>
      </c>
    </row>
    <row r="303" spans="1:5" x14ac:dyDescent="0.2">
      <c r="A303" s="512"/>
      <c r="B303" s="516" t="s">
        <v>823</v>
      </c>
      <c r="C303" s="517">
        <f>+C301+C302</f>
        <v>322260859</v>
      </c>
      <c r="D303" s="517">
        <f>+D301+D302</f>
        <v>335139000</v>
      </c>
      <c r="E303" s="517">
        <f>D303-C303</f>
        <v>12878141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20683932</v>
      </c>
      <c r="D305" s="578">
        <v>23537405</v>
      </c>
      <c r="E305" s="579">
        <f>D305-C305</f>
        <v>2853473</v>
      </c>
    </row>
    <row r="306" spans="1:5" x14ac:dyDescent="0.2">
      <c r="A306" s="512">
        <v>4</v>
      </c>
      <c r="B306" s="516" t="s">
        <v>825</v>
      </c>
      <c r="C306" s="580">
        <f>+C303+C305</f>
        <v>342944791</v>
      </c>
      <c r="D306" s="580">
        <f>+D303+D305</f>
        <v>358676405</v>
      </c>
      <c r="E306" s="580">
        <f>D306-C306</f>
        <v>15731614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342945000</v>
      </c>
      <c r="D308" s="513">
        <v>358676000</v>
      </c>
      <c r="E308" s="514">
        <f>D308-C308</f>
        <v>15731000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-209</v>
      </c>
      <c r="D310" s="582">
        <f>D306-D308</f>
        <v>405</v>
      </c>
      <c r="E310" s="580">
        <f>D310-C310</f>
        <v>614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852498869</v>
      </c>
      <c r="D314" s="514">
        <f>+D14+D15+D16+D19+D25+D26+D27+D30</f>
        <v>928515628</v>
      </c>
      <c r="E314" s="514">
        <f>D314-C314</f>
        <v>76016759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852498869</v>
      </c>
      <c r="D316" s="581">
        <f>D314+D315</f>
        <v>928515628</v>
      </c>
      <c r="E316" s="517">
        <f>D316-C316</f>
        <v>76016759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852499000</v>
      </c>
      <c r="D318" s="513">
        <v>928516000</v>
      </c>
      <c r="E318" s="514">
        <f>D318-C318</f>
        <v>76017000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-131</v>
      </c>
      <c r="D320" s="581">
        <f>D316-D318</f>
        <v>-372</v>
      </c>
      <c r="E320" s="517">
        <f>D320-C320</f>
        <v>-241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39387626</v>
      </c>
      <c r="D324" s="513">
        <f>+D193+D194</f>
        <v>38244008</v>
      </c>
      <c r="E324" s="514">
        <f>D324-C324</f>
        <v>-1143618</v>
      </c>
    </row>
    <row r="325" spans="1:5" x14ac:dyDescent="0.2">
      <c r="A325" s="512">
        <v>2</v>
      </c>
      <c r="B325" s="511" t="s">
        <v>835</v>
      </c>
      <c r="C325" s="513">
        <v>-8736821</v>
      </c>
      <c r="D325" s="513">
        <v>-9455404</v>
      </c>
      <c r="E325" s="514">
        <f>D325-C325</f>
        <v>-718583</v>
      </c>
    </row>
    <row r="326" spans="1:5" x14ac:dyDescent="0.2">
      <c r="A326" s="512"/>
      <c r="B326" s="516" t="s">
        <v>836</v>
      </c>
      <c r="C326" s="581">
        <f>C324+C325</f>
        <v>30650805</v>
      </c>
      <c r="D326" s="581">
        <f>D324+D325</f>
        <v>28788604</v>
      </c>
      <c r="E326" s="517">
        <f>D326-C326</f>
        <v>-1862201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30651000</v>
      </c>
      <c r="D328" s="513">
        <v>28788604</v>
      </c>
      <c r="E328" s="514">
        <f>D328-C328</f>
        <v>-1862396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-195</v>
      </c>
      <c r="D330" s="581">
        <f>D326-D328</f>
        <v>0</v>
      </c>
      <c r="E330" s="517">
        <f>D330-C330</f>
        <v>195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FILING&amp;RSAINT VINCENT`S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opLeftCell="A4" zoomScaleNormal="100" zoomScaleSheetLayoutView="75" workbookViewId="0">
      <selection activeCell="A2" sqref="A2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200918072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359183423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101667410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90621119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11046291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483690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18013248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461334523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662252595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128398715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90278603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47319089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40364564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6954525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266626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22035587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137864318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266263033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329316787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599198841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928515628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98741983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122330717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24250057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24004368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245689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190001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1010117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146770775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245512758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50243179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25816532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10933527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8879166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2054361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91593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1818473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36841652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87084831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148985162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183612427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332597589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7897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9920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4026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3652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374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1024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13976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21873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1.2276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1.5162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0.9611213114754098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0.9274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1.2904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0.81040000000000001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1.0674999999999999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1.3547860904407558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1.3088669866959266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314090520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185607039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128483481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0.40906513510818476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15226266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9187986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2541411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7662000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30582008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38244008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12404000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351813000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332597589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2541411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335139000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23537405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358676405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358676000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405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928515628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928515628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928516000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-372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38244008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-9455404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28788604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28788604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FILING&amp;RSAINT VINCENT`S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A2" sqref="A2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2481</v>
      </c>
      <c r="D12" s="49">
        <v>2781</v>
      </c>
      <c r="E12" s="49">
        <f>+D12-C12</f>
        <v>300</v>
      </c>
      <c r="F12" s="70">
        <f>IF(C12=0,0,+E12/C12)</f>
        <v>0.12091898428053205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2406</v>
      </c>
      <c r="D13" s="49">
        <v>2653</v>
      </c>
      <c r="E13" s="49">
        <f>+D13-C13</f>
        <v>247</v>
      </c>
      <c r="F13" s="70">
        <f>IF(C13=0,0,+E13/C13)</f>
        <v>0.10266001662510391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8833000</v>
      </c>
      <c r="D15" s="51">
        <v>7662000</v>
      </c>
      <c r="E15" s="51">
        <f>+D15-C15</f>
        <v>-1171000</v>
      </c>
      <c r="F15" s="70">
        <f>IF(C15=0,0,+E15/C15)</f>
        <v>-0.13257104041661949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3671.2385702410638</v>
      </c>
      <c r="D16" s="27">
        <f>IF(D13=0,0,+D15/+D13)</f>
        <v>2888.0512627214475</v>
      </c>
      <c r="E16" s="27">
        <f>+D16-C16</f>
        <v>-783.1873075196163</v>
      </c>
      <c r="F16" s="28">
        <f>IF(C16=0,0,+E16/C16)</f>
        <v>-0.21333054023459719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0.41392200000000001</v>
      </c>
      <c r="D18" s="210">
        <v>0.39656999999999998</v>
      </c>
      <c r="E18" s="210">
        <f>+D18-C18</f>
        <v>-1.7352000000000034E-2</v>
      </c>
      <c r="F18" s="70">
        <f>IF(C18=0,0,+E18/C18)</f>
        <v>-4.1920941626683368E-2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3656173.0260000001</v>
      </c>
      <c r="D19" s="27">
        <f>+D15*D18</f>
        <v>3038519.34</v>
      </c>
      <c r="E19" s="27">
        <f>+D19-C19</f>
        <v>-617653.68600000022</v>
      </c>
      <c r="F19" s="28">
        <f>IF(C19=0,0,+E19/C19)</f>
        <v>-0.16893447919660906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1519.6064114713217</v>
      </c>
      <c r="D20" s="27">
        <f>IF(D13=0,0,+D19/D13)</f>
        <v>1145.3144892574444</v>
      </c>
      <c r="E20" s="27">
        <f>+D20-C20</f>
        <v>-374.29192221387734</v>
      </c>
      <c r="F20" s="28">
        <f>IF(C20=0,0,+E20/C20)</f>
        <v>-0.2463084647369172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3774000</v>
      </c>
      <c r="D22" s="51">
        <v>1848739</v>
      </c>
      <c r="E22" s="51">
        <f>+D22-C22</f>
        <v>-1925261</v>
      </c>
      <c r="F22" s="70">
        <f>IF(C22=0,0,+E22/C22)</f>
        <v>-0.51013804981452038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3959294</v>
      </c>
      <c r="D23" s="49">
        <v>4487566</v>
      </c>
      <c r="E23" s="49">
        <f>+D23-C23</f>
        <v>528272</v>
      </c>
      <c r="F23" s="70">
        <f>IF(C23=0,0,+E23/C23)</f>
        <v>0.13342580773238866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1099706</v>
      </c>
      <c r="D24" s="49">
        <v>1325695</v>
      </c>
      <c r="E24" s="49">
        <f>+D24-C24</f>
        <v>225989</v>
      </c>
      <c r="F24" s="70">
        <f>IF(C24=0,0,+E24/C24)</f>
        <v>0.20549946985830758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8833000</v>
      </c>
      <c r="D25" s="27">
        <f>+D22+D23+D24</f>
        <v>7662000</v>
      </c>
      <c r="E25" s="27">
        <f>+E22+E23+E24</f>
        <v>-1171000</v>
      </c>
      <c r="F25" s="28">
        <f>IF(C25=0,0,+E25/C25)</f>
        <v>-0.13257104041661949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774</v>
      </c>
      <c r="D27" s="49">
        <v>320</v>
      </c>
      <c r="E27" s="49">
        <f>+D27-C27</f>
        <v>-454</v>
      </c>
      <c r="F27" s="70">
        <f>IF(C27=0,0,+E27/C27)</f>
        <v>-0.58656330749354002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138</v>
      </c>
      <c r="D28" s="49">
        <v>72</v>
      </c>
      <c r="E28" s="49">
        <f>+D28-C28</f>
        <v>-66</v>
      </c>
      <c r="F28" s="70">
        <f>IF(C28=0,0,+E28/C28)</f>
        <v>-0.47826086956521741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880</v>
      </c>
      <c r="D29" s="49">
        <v>880</v>
      </c>
      <c r="E29" s="49">
        <f>+D29-C29</f>
        <v>0</v>
      </c>
      <c r="F29" s="70">
        <f>IF(C29=0,0,+E29/C29)</f>
        <v>0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6880</v>
      </c>
      <c r="D30" s="49">
        <v>6834</v>
      </c>
      <c r="E30" s="49">
        <f>+D30-C30</f>
        <v>-46</v>
      </c>
      <c r="F30" s="70">
        <f>IF(C30=0,0,+E30/C30)</f>
        <v>-6.6860465116279069E-3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15637101</v>
      </c>
      <c r="D33" s="51">
        <v>13393972</v>
      </c>
      <c r="E33" s="51">
        <f>+D33-C33</f>
        <v>-2243129</v>
      </c>
      <c r="F33" s="70">
        <f>IF(C33=0,0,+E33/C33)</f>
        <v>-0.14344915978991246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6827944</v>
      </c>
      <c r="D34" s="49">
        <v>9092355</v>
      </c>
      <c r="E34" s="49">
        <f>+D34-C34</f>
        <v>2264411</v>
      </c>
      <c r="F34" s="70">
        <f>IF(C34=0,0,+E34/C34)</f>
        <v>0.33163877735376857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8089581</v>
      </c>
      <c r="D35" s="49">
        <v>8095681</v>
      </c>
      <c r="E35" s="49">
        <f>+D35-C35</f>
        <v>6100</v>
      </c>
      <c r="F35" s="70">
        <f>IF(C35=0,0,+E35/C35)</f>
        <v>7.5405635965571018E-4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30554626</v>
      </c>
      <c r="D36" s="27">
        <f>+D33+D34+D35</f>
        <v>30582008</v>
      </c>
      <c r="E36" s="27">
        <f>+E33+E34+E35</f>
        <v>27382</v>
      </c>
      <c r="F36" s="28">
        <f>IF(C36=0,0,+E36/C36)</f>
        <v>8.9616544480040439E-4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8833000</v>
      </c>
      <c r="D39" s="51">
        <f>+D25</f>
        <v>7662000</v>
      </c>
      <c r="E39" s="51">
        <f>+D39-C39</f>
        <v>-1171000</v>
      </c>
      <c r="F39" s="70">
        <f>IF(C39=0,0,+E39/C39)</f>
        <v>-0.13257104041661949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30554626</v>
      </c>
      <c r="D40" s="49">
        <f>+D36</f>
        <v>30582008</v>
      </c>
      <c r="E40" s="49">
        <f>+D40-C40</f>
        <v>27382</v>
      </c>
      <c r="F40" s="70">
        <f>IF(C40=0,0,+E40/C40)</f>
        <v>8.9616544480040439E-4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39387626</v>
      </c>
      <c r="D41" s="27">
        <f>+D39+D40</f>
        <v>38244008</v>
      </c>
      <c r="E41" s="27">
        <f>+E39+E40</f>
        <v>-1143618</v>
      </c>
      <c r="F41" s="28">
        <f>IF(C41=0,0,+E41/C41)</f>
        <v>-2.903495630835938E-2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19411101</v>
      </c>
      <c r="D43" s="51">
        <f t="shared" si="0"/>
        <v>15242711</v>
      </c>
      <c r="E43" s="51">
        <f>+D43-C43</f>
        <v>-4168390</v>
      </c>
      <c r="F43" s="70">
        <f>IF(C43=0,0,+E43/C43)</f>
        <v>-0.21474258466843277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10787238</v>
      </c>
      <c r="D44" s="49">
        <f t="shared" si="0"/>
        <v>13579921</v>
      </c>
      <c r="E44" s="49">
        <f>+D44-C44</f>
        <v>2792683</v>
      </c>
      <c r="F44" s="70">
        <f>IF(C44=0,0,+E44/C44)</f>
        <v>0.25888767819899772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9189287</v>
      </c>
      <c r="D45" s="49">
        <f t="shared" si="0"/>
        <v>9421376</v>
      </c>
      <c r="E45" s="49">
        <f>+D45-C45</f>
        <v>232089</v>
      </c>
      <c r="F45" s="70">
        <f>IF(C45=0,0,+E45/C45)</f>
        <v>2.5256475284752777E-2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39387626</v>
      </c>
      <c r="D46" s="27">
        <f>+D43+D44+D45</f>
        <v>38244008</v>
      </c>
      <c r="E46" s="27">
        <f>+E43+E44+E45</f>
        <v>-1143618</v>
      </c>
      <c r="F46" s="28">
        <f>IF(C46=0,0,+E46/C46)</f>
        <v>-2.903495630835938E-2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FILING&amp;RSAINT VINCENT`S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>
      <selection activeCell="A2" sqref="A2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305724906</v>
      </c>
      <c r="D15" s="51">
        <v>314090520</v>
      </c>
      <c r="E15" s="51">
        <f>+D15-C15</f>
        <v>8365614</v>
      </c>
      <c r="F15" s="70">
        <f>+E15/C15</f>
        <v>2.7363207366559793E-2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130934442</v>
      </c>
      <c r="D17" s="51">
        <v>128483481</v>
      </c>
      <c r="E17" s="51">
        <f>+D17-C17</f>
        <v>-2450961</v>
      </c>
      <c r="F17" s="70">
        <f>+E17/C17</f>
        <v>-1.8718993738866662E-2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174790464</v>
      </c>
      <c r="D19" s="27">
        <f>+D15-D17</f>
        <v>185607039</v>
      </c>
      <c r="E19" s="27">
        <f>+D19-C19</f>
        <v>10816575</v>
      </c>
      <c r="F19" s="28">
        <f>+E19/C19</f>
        <v>6.188309563615553E-2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0.42827535287556845</v>
      </c>
      <c r="D21" s="628">
        <f>+D17/D15</f>
        <v>0.40906513510818476</v>
      </c>
      <c r="E21" s="628">
        <f>+D21-C21</f>
        <v>-1.9210217767383686E-2</v>
      </c>
      <c r="F21" s="28">
        <f>+E21/C21</f>
        <v>-4.4854829114962032E-2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FILING&amp;R&amp;12SAINT VINCENT`S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activeCell="A2" sqref="A2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514424048</v>
      </c>
      <c r="D10" s="641">
        <v>613526265</v>
      </c>
      <c r="E10" s="641">
        <v>662252595</v>
      </c>
    </row>
    <row r="11" spans="1:6" ht="26.1" customHeight="1" x14ac:dyDescent="0.25">
      <c r="A11" s="639">
        <v>2</v>
      </c>
      <c r="B11" s="640" t="s">
        <v>902</v>
      </c>
      <c r="C11" s="641">
        <v>203492498</v>
      </c>
      <c r="D11" s="641">
        <v>238972604</v>
      </c>
      <c r="E11" s="641">
        <v>266263033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717916546</v>
      </c>
      <c r="D12" s="641">
        <f>+D11+D10</f>
        <v>852498869</v>
      </c>
      <c r="E12" s="641">
        <f>+E11+E10</f>
        <v>928515628</v>
      </c>
    </row>
    <row r="13" spans="1:6" ht="26.1" customHeight="1" x14ac:dyDescent="0.25">
      <c r="A13" s="639">
        <v>4</v>
      </c>
      <c r="B13" s="640" t="s">
        <v>484</v>
      </c>
      <c r="C13" s="641">
        <v>309364455</v>
      </c>
      <c r="D13" s="641">
        <v>341788581</v>
      </c>
      <c r="E13" s="641">
        <v>353724000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302743320</v>
      </c>
      <c r="D16" s="641">
        <v>341987000</v>
      </c>
      <c r="E16" s="641">
        <v>351813000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104524</v>
      </c>
      <c r="D19" s="644">
        <v>125447</v>
      </c>
      <c r="E19" s="644">
        <v>122812</v>
      </c>
    </row>
    <row r="20" spans="1:5" ht="26.1" customHeight="1" x14ac:dyDescent="0.25">
      <c r="A20" s="639">
        <v>2</v>
      </c>
      <c r="B20" s="640" t="s">
        <v>373</v>
      </c>
      <c r="C20" s="645">
        <v>20159</v>
      </c>
      <c r="D20" s="645">
        <v>21743</v>
      </c>
      <c r="E20" s="645">
        <v>21873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5.1849794136613916</v>
      </c>
      <c r="D21" s="646">
        <f>IF(D20=0,0,+D19/D20)</f>
        <v>5.7695350227659477</v>
      </c>
      <c r="E21" s="646">
        <f>IF(E20=0,0,+E19/E20)</f>
        <v>5.614776208110456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145870.91980992304</v>
      </c>
      <c r="D22" s="645">
        <f>IF(D10=0,0,D19*(D12/D10))</f>
        <v>174309.44968499924</v>
      </c>
      <c r="E22" s="645">
        <f>IF(E10=0,0,E19*(E12/E10))</f>
        <v>172189.37632994249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28133.365279249152</v>
      </c>
      <c r="D23" s="645">
        <f>IF(D10=0,0,D20*(D12/D10))</f>
        <v>30212.044644359277</v>
      </c>
      <c r="E23" s="645">
        <f>IF(E10=0,0,E20*(E12/E10))</f>
        <v>30667.184220310981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1.3621723944640112</v>
      </c>
      <c r="D26" s="647">
        <v>1.3032522191049993</v>
      </c>
      <c r="E26" s="647">
        <v>1.3088669866959266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142379.70735895631</v>
      </c>
      <c r="D27" s="645">
        <f>D19*D26</f>
        <v>163489.08113006485</v>
      </c>
      <c r="E27" s="645">
        <f>E19*E26</f>
        <v>160744.57237010013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27460.033300000003</v>
      </c>
      <c r="D28" s="645">
        <f>D20*D26</f>
        <v>28336.613000000001</v>
      </c>
      <c r="E28" s="645">
        <f>E20*E26</f>
        <v>28628.847600000001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198701.34012015062</v>
      </c>
      <c r="D29" s="645">
        <f>D22*D26</f>
        <v>227169.17711294649</v>
      </c>
      <c r="E29" s="645">
        <f>E22*E26</f>
        <v>225372.99013802272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38322.493546765494</v>
      </c>
      <c r="D30" s="645">
        <f>D23*D26</f>
        <v>39373.91422646054</v>
      </c>
      <c r="E30" s="645">
        <f>E23*E26</f>
        <v>40139.265000887302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6868.4373541004934</v>
      </c>
      <c r="D33" s="641">
        <f>IF(D19=0,0,D12/D19)</f>
        <v>6795.689566111585</v>
      </c>
      <c r="E33" s="641">
        <f>IF(E19=0,0,E12/E19)</f>
        <v>7560.4633749145032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35612.706285033979</v>
      </c>
      <c r="D34" s="641">
        <f>IF(D20=0,0,D12/D20)</f>
        <v>39207.968955525917</v>
      </c>
      <c r="E34" s="641">
        <f>IF(E20=0,0,E12/E20)</f>
        <v>42450.309879760433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4921.5878458535835</v>
      </c>
      <c r="D35" s="641">
        <f>IF(D22=0,0,D12/D22)</f>
        <v>4890.7209020542532</v>
      </c>
      <c r="E35" s="641">
        <f>IF(E22=0,0,E12/E22)</f>
        <v>5392.4094958147416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25518.331663276949</v>
      </c>
      <c r="D36" s="641">
        <f>IF(D23=0,0,D12/D23)</f>
        <v>28217.185530975486</v>
      </c>
      <c r="E36" s="641">
        <f>IF(E23=0,0,E12/E23)</f>
        <v>30277.172541489508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3613.0433019016914</v>
      </c>
      <c r="D37" s="641">
        <f>IF(D29=0,0,D12/D29)</f>
        <v>3752.7048336145758</v>
      </c>
      <c r="E37" s="641">
        <f>IF(E29=0,0,E12/E29)</f>
        <v>4119.9064157215971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18733.555141027449</v>
      </c>
      <c r="D38" s="641">
        <f>IF(D30=0,0,D12/D30)</f>
        <v>21651.361967642355</v>
      </c>
      <c r="E38" s="641">
        <f>IF(E30=0,0,E12/E30)</f>
        <v>23132.352522635247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3526.5702627385895</v>
      </c>
      <c r="D39" s="641">
        <f>IF(D22=0,0,D10/D22)</f>
        <v>3519.7533243821545</v>
      </c>
      <c r="E39" s="641">
        <f>IF(E22=0,0,E10/E22)</f>
        <v>3846.0711637111554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18285.194213130035</v>
      </c>
      <c r="D40" s="641">
        <f>IF(D23=0,0,D10/D23)</f>
        <v>20307.340076519715</v>
      </c>
      <c r="E40" s="641">
        <f>IF(E23=0,0,E10/E23)</f>
        <v>21594.82886470509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2959.7456564999425</v>
      </c>
      <c r="D43" s="641">
        <f>IF(D19=0,0,D13/D19)</f>
        <v>2724.5656014093602</v>
      </c>
      <c r="E43" s="641">
        <f>IF(E19=0,0,E13/E19)</f>
        <v>2880.2071458815099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15346.220298625924</v>
      </c>
      <c r="D44" s="641">
        <f>IF(D20=0,0,D13/D20)</f>
        <v>15719.47665915467</v>
      </c>
      <c r="E44" s="641">
        <f>IF(E20=0,0,E13/E20)</f>
        <v>16171.718557125223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2120.8096542005565</v>
      </c>
      <c r="D45" s="641">
        <f>IF(D22=0,0,D13/D22)</f>
        <v>1960.8149851752628</v>
      </c>
      <c r="E45" s="641">
        <f>IF(E22=0,0,E13/E22)</f>
        <v>2054.2730773483263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10996.354397324221</v>
      </c>
      <c r="D46" s="641">
        <f>IF(D23=0,0,D13/D23)</f>
        <v>11312.990730132971</v>
      </c>
      <c r="E46" s="641">
        <f>IF(E23=0,0,E13/E23)</f>
        <v>11534.283599657232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1556.9318999707484</v>
      </c>
      <c r="D47" s="641">
        <f>IF(D29=0,0,D13/D29)</f>
        <v>1504.5552629266504</v>
      </c>
      <c r="E47" s="641">
        <f>IF(E29=0,0,E13/E29)</f>
        <v>1569.5048452051537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8072.6598498210478</v>
      </c>
      <c r="D48" s="641">
        <f>IF(D30=0,0,D13/D30)</f>
        <v>8680.5842831421378</v>
      </c>
      <c r="E48" s="641">
        <f>IF(E30=0,0,E13/E30)</f>
        <v>8812.4184633719797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2896.4000612299569</v>
      </c>
      <c r="D51" s="641">
        <f>IF(D19=0,0,D16/D19)</f>
        <v>2726.1472972649804</v>
      </c>
      <c r="E51" s="641">
        <f>IF(E19=0,0,E16/E19)</f>
        <v>2864.646777187897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15017.774691204921</v>
      </c>
      <c r="D52" s="641">
        <f>IF(D20=0,0,D16/D20)</f>
        <v>15728.602308789035</v>
      </c>
      <c r="E52" s="641">
        <f>IF(E20=0,0,E16/E20)</f>
        <v>16084.350569194898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2075.4192843542041</v>
      </c>
      <c r="D53" s="641">
        <f>IF(D22=0,0,D16/D22)</f>
        <v>1961.9532998240588</v>
      </c>
      <c r="E53" s="641">
        <f>IF(E22=0,0,E16/E22)</f>
        <v>2043.1748316799162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10761.006264092408</v>
      </c>
      <c r="D54" s="641">
        <f>IF(D23=0,0,D16/D23)</f>
        <v>11319.558276366128</v>
      </c>
      <c r="E54" s="641">
        <f>IF(E23=0,0,E16/E23)</f>
        <v>11471.969433926479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1523.6098549558717</v>
      </c>
      <c r="D55" s="641">
        <f>IF(D29=0,0,D16/D29)</f>
        <v>1505.4287044847072</v>
      </c>
      <c r="E55" s="641">
        <f>IF(E29=0,0,E16/E29)</f>
        <v>1561.0255682570614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7899.8857323978136</v>
      </c>
      <c r="D56" s="641">
        <f>IF(D30=0,0,D16/D30)</f>
        <v>8685.6236348016864</v>
      </c>
      <c r="E56" s="641">
        <f>IF(E30=0,0,E16/E30)</f>
        <v>8764.8092209018523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52779766</v>
      </c>
      <c r="D59" s="649">
        <v>59660307</v>
      </c>
      <c r="E59" s="649">
        <v>61447266</v>
      </c>
    </row>
    <row r="60" spans="1:6" ht="26.1" customHeight="1" x14ac:dyDescent="0.25">
      <c r="A60" s="639">
        <v>2</v>
      </c>
      <c r="B60" s="640" t="s">
        <v>938</v>
      </c>
      <c r="C60" s="649">
        <v>12410666</v>
      </c>
      <c r="D60" s="649">
        <v>13620400</v>
      </c>
      <c r="E60" s="649">
        <v>16610102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65190432</v>
      </c>
      <c r="D61" s="652">
        <f>D59+D60</f>
        <v>73280707</v>
      </c>
      <c r="E61" s="652">
        <f>E59+E60</f>
        <v>78057368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21495275</v>
      </c>
      <c r="D64" s="641">
        <v>23691353</v>
      </c>
      <c r="E64" s="649">
        <v>14734157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5054412</v>
      </c>
      <c r="D65" s="649">
        <v>5408717</v>
      </c>
      <c r="E65" s="649">
        <v>3982860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26549687</v>
      </c>
      <c r="D66" s="654">
        <f>D64+D65</f>
        <v>29100070</v>
      </c>
      <c r="E66" s="654">
        <f>E64+E65</f>
        <v>18717017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54452460</v>
      </c>
      <c r="D69" s="649">
        <v>63525340</v>
      </c>
      <c r="E69" s="649">
        <v>66164577</v>
      </c>
    </row>
    <row r="70" spans="1:6" ht="26.1" customHeight="1" x14ac:dyDescent="0.25">
      <c r="A70" s="639">
        <v>2</v>
      </c>
      <c r="B70" s="640" t="s">
        <v>946</v>
      </c>
      <c r="C70" s="649">
        <v>12803985</v>
      </c>
      <c r="D70" s="649">
        <v>14502883</v>
      </c>
      <c r="E70" s="649">
        <v>17885038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67256445</v>
      </c>
      <c r="D71" s="652">
        <f>D69+D70</f>
        <v>78028223</v>
      </c>
      <c r="E71" s="652">
        <f>E69+E70</f>
        <v>84049615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128727501</v>
      </c>
      <c r="D75" s="641">
        <f t="shared" si="0"/>
        <v>146877000</v>
      </c>
      <c r="E75" s="641">
        <f t="shared" si="0"/>
        <v>142346000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30269063</v>
      </c>
      <c r="D76" s="641">
        <f t="shared" si="0"/>
        <v>33532000</v>
      </c>
      <c r="E76" s="641">
        <f t="shared" si="0"/>
        <v>38478000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158996564</v>
      </c>
      <c r="D77" s="654">
        <f>D75+D76</f>
        <v>180409000</v>
      </c>
      <c r="E77" s="654">
        <f>E75+E76</f>
        <v>180824000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670.8</v>
      </c>
      <c r="D80" s="646">
        <v>766.9</v>
      </c>
      <c r="E80" s="646">
        <v>740.3</v>
      </c>
    </row>
    <row r="81" spans="1:5" ht="26.1" customHeight="1" x14ac:dyDescent="0.25">
      <c r="A81" s="639">
        <v>2</v>
      </c>
      <c r="B81" s="640" t="s">
        <v>579</v>
      </c>
      <c r="C81" s="646">
        <v>136.5</v>
      </c>
      <c r="D81" s="646">
        <v>143.80000000000001</v>
      </c>
      <c r="E81" s="646">
        <v>95.9</v>
      </c>
    </row>
    <row r="82" spans="1:5" ht="26.1" customHeight="1" x14ac:dyDescent="0.25">
      <c r="A82" s="639">
        <v>3</v>
      </c>
      <c r="B82" s="640" t="s">
        <v>952</v>
      </c>
      <c r="C82" s="646">
        <v>1022.1</v>
      </c>
      <c r="D82" s="646">
        <v>1138.9000000000001</v>
      </c>
      <c r="E82" s="646">
        <v>1183.9000000000001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1829.4</v>
      </c>
      <c r="D83" s="656">
        <f>D80+D81+D82</f>
        <v>2049.6000000000004</v>
      </c>
      <c r="E83" s="656">
        <f>E80+E81+E82</f>
        <v>2020.1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78681.821705426366</v>
      </c>
      <c r="D86" s="649">
        <f>IF(D80=0,0,D59/D80)</f>
        <v>77794.11526926588</v>
      </c>
      <c r="E86" s="649">
        <f>IF(E80=0,0,E59/E80)</f>
        <v>83003.196001620963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18501.290995825882</v>
      </c>
      <c r="D87" s="649">
        <f>IF(D80=0,0,D60/D80)</f>
        <v>17760.333811448691</v>
      </c>
      <c r="E87" s="649">
        <f>IF(E80=0,0,E60/E80)</f>
        <v>22436.987707686076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97183.112701252248</v>
      </c>
      <c r="D88" s="652">
        <f>+D86+D87</f>
        <v>95554.449080714578</v>
      </c>
      <c r="E88" s="652">
        <f>+E86+E87</f>
        <v>105440.18370930704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157474.54212454212</v>
      </c>
      <c r="D91" s="641">
        <f>IF(D81=0,0,D64/D81)</f>
        <v>164752.10709318495</v>
      </c>
      <c r="E91" s="641">
        <f>IF(E81=0,0,E64/E81)</f>
        <v>153640.84462982274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37028.659340659338</v>
      </c>
      <c r="D92" s="641">
        <f>IF(D81=0,0,D65/D81)</f>
        <v>37612.774687065365</v>
      </c>
      <c r="E92" s="641">
        <f>IF(E81=0,0,E65/E81)</f>
        <v>41531.386861313869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194503.20146520145</v>
      </c>
      <c r="D93" s="654">
        <f>+D91+D92</f>
        <v>202364.88178025032</v>
      </c>
      <c r="E93" s="654">
        <f>+E91+E92</f>
        <v>195172.2314911366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53275.080716172582</v>
      </c>
      <c r="D96" s="649">
        <f>IF(D82=0,0,D69/D82)</f>
        <v>55777.803143383964</v>
      </c>
      <c r="E96" s="649">
        <f>IF(E82=0,0,E69/E82)</f>
        <v>55886.964270630961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12527.135309656589</v>
      </c>
      <c r="D97" s="649">
        <f>IF(D82=0,0,D70/D82)</f>
        <v>12734.114496443935</v>
      </c>
      <c r="E97" s="649">
        <f>IF(E82=0,0,E70/E82)</f>
        <v>15106.882338035306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65802.21602582917</v>
      </c>
      <c r="D98" s="654">
        <f>+D96+D97</f>
        <v>68511.917639827894</v>
      </c>
      <c r="E98" s="654">
        <f>+E96+E97</f>
        <v>70993.846608666267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70365.967530337817</v>
      </c>
      <c r="D101" s="641">
        <f>IF(D83=0,0,D75/D83)</f>
        <v>71661.299765807955</v>
      </c>
      <c r="E101" s="641">
        <f>IF(E83=0,0,E75/E83)</f>
        <v>70464.82847383793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16545.896468787581</v>
      </c>
      <c r="D102" s="658">
        <f>IF(D83=0,0,D76/D83)</f>
        <v>16360.265417642464</v>
      </c>
      <c r="E102" s="658">
        <f>IF(E83=0,0,E76/E83)</f>
        <v>19047.571902381071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86911.863999125402</v>
      </c>
      <c r="D103" s="654">
        <f>+D101+D102</f>
        <v>88021.565183450424</v>
      </c>
      <c r="E103" s="654">
        <f>+E101+E102</f>
        <v>89512.400376218997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1521.1488653323638</v>
      </c>
      <c r="D108" s="641">
        <f>IF(D19=0,0,D77/D19)</f>
        <v>1438.1292498027055</v>
      </c>
      <c r="E108" s="641">
        <f>IF(E19=0,0,E77/E19)</f>
        <v>1472.3642640784287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7887.1255518626913</v>
      </c>
      <c r="D109" s="641">
        <f>IF(D20=0,0,D77/D20)</f>
        <v>8297.3370740008286</v>
      </c>
      <c r="E109" s="641">
        <f>IF(E20=0,0,E77/E20)</f>
        <v>8266.9958396196216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1089.9812259165865</v>
      </c>
      <c r="D110" s="641">
        <f>IF(D22=0,0,D77/D22)</f>
        <v>1034.9926543054521</v>
      </c>
      <c r="E110" s="641">
        <f>IF(E22=0,0,E77/E22)</f>
        <v>1050.1460883017091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5651.5302176549085</v>
      </c>
      <c r="D111" s="641">
        <f>IF(D23=0,0,D77/D23)</f>
        <v>5971.4263673207952</v>
      </c>
      <c r="E111" s="641">
        <f>IF(E23=0,0,E77/E23)</f>
        <v>5896.3352716366981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800.17861934830455</v>
      </c>
      <c r="D112" s="641">
        <f>IF(D29=0,0,D77/D29)</f>
        <v>794.16143639197253</v>
      </c>
      <c r="E112" s="641">
        <f>IF(E29=0,0,E77/E29)</f>
        <v>802.33216894917143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4148.9096685729537</v>
      </c>
      <c r="D113" s="641">
        <f>IF(D30=0,0,D77/D30)</f>
        <v>4581.9422209935974</v>
      </c>
      <c r="E113" s="641">
        <f>IF(E30=0,0,E77/E30)</f>
        <v>4504.9155732174659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FILING&amp;R&amp;12SAINT VINCENT`S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" zoomScale="75" zoomScaleNormal="75" zoomScaleSheetLayoutView="75" workbookViewId="0">
      <selection activeCell="A2" sqref="A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852498000</v>
      </c>
      <c r="D12" s="51">
        <v>928516000</v>
      </c>
      <c r="E12" s="51">
        <f t="shared" ref="E12:E19" si="0">D12-C12</f>
        <v>76018000</v>
      </c>
      <c r="F12" s="70">
        <f t="shared" ref="F12:F19" si="1">IF(C12=0,0,E12/C12)</f>
        <v>8.9170883685357624E-2</v>
      </c>
    </row>
    <row r="13" spans="1:8" ht="23.1" customHeight="1" x14ac:dyDescent="0.2">
      <c r="A13" s="25">
        <v>2</v>
      </c>
      <c r="B13" s="48" t="s">
        <v>72</v>
      </c>
      <c r="C13" s="51">
        <v>501876419</v>
      </c>
      <c r="D13" s="51">
        <v>567130000</v>
      </c>
      <c r="E13" s="51">
        <f t="shared" si="0"/>
        <v>65253581</v>
      </c>
      <c r="F13" s="70">
        <f t="shared" si="1"/>
        <v>0.13001922092697485</v>
      </c>
    </row>
    <row r="14" spans="1:8" ht="23.1" customHeight="1" x14ac:dyDescent="0.2">
      <c r="A14" s="25">
        <v>3</v>
      </c>
      <c r="B14" s="48" t="s">
        <v>73</v>
      </c>
      <c r="C14" s="51">
        <v>8833000</v>
      </c>
      <c r="D14" s="51">
        <v>7662000</v>
      </c>
      <c r="E14" s="51">
        <f t="shared" si="0"/>
        <v>-1171000</v>
      </c>
      <c r="F14" s="70">
        <f t="shared" si="1"/>
        <v>-0.13257104041661949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341788581</v>
      </c>
      <c r="D16" s="27">
        <f>D12-D13-D14-D15</f>
        <v>353724000</v>
      </c>
      <c r="E16" s="27">
        <f t="shared" si="0"/>
        <v>11935419</v>
      </c>
      <c r="F16" s="28">
        <f t="shared" si="1"/>
        <v>3.4920473250099601E-2</v>
      </c>
    </row>
    <row r="17" spans="1:7" ht="23.1" customHeight="1" x14ac:dyDescent="0.2">
      <c r="A17" s="25">
        <v>5</v>
      </c>
      <c r="B17" s="48" t="s">
        <v>76</v>
      </c>
      <c r="C17" s="51">
        <v>10624419</v>
      </c>
      <c r="D17" s="51">
        <v>12404000</v>
      </c>
      <c r="E17" s="51">
        <f t="shared" si="0"/>
        <v>1779581</v>
      </c>
      <c r="F17" s="70">
        <f t="shared" si="1"/>
        <v>0.16749913571744487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396000</v>
      </c>
      <c r="D18" s="51">
        <v>446000</v>
      </c>
      <c r="E18" s="51">
        <f t="shared" si="0"/>
        <v>50000</v>
      </c>
      <c r="F18" s="70">
        <f t="shared" si="1"/>
        <v>0.12626262626262627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352809000</v>
      </c>
      <c r="D19" s="27">
        <f>SUM(D16:D18)</f>
        <v>366574000</v>
      </c>
      <c r="E19" s="27">
        <f t="shared" si="0"/>
        <v>13765000</v>
      </c>
      <c r="F19" s="28">
        <f t="shared" si="1"/>
        <v>3.9015444617342528E-2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146877000</v>
      </c>
      <c r="D22" s="51">
        <v>142346000</v>
      </c>
      <c r="E22" s="51">
        <f t="shared" ref="E22:E31" si="2">D22-C22</f>
        <v>-4531000</v>
      </c>
      <c r="F22" s="70">
        <f t="shared" ref="F22:F31" si="3">IF(C22=0,0,E22/C22)</f>
        <v>-3.0848941631433105E-2</v>
      </c>
    </row>
    <row r="23" spans="1:7" ht="23.1" customHeight="1" x14ac:dyDescent="0.2">
      <c r="A23" s="25">
        <v>2</v>
      </c>
      <c r="B23" s="48" t="s">
        <v>81</v>
      </c>
      <c r="C23" s="51">
        <v>33532000</v>
      </c>
      <c r="D23" s="51">
        <v>38478000</v>
      </c>
      <c r="E23" s="51">
        <f t="shared" si="2"/>
        <v>4946000</v>
      </c>
      <c r="F23" s="70">
        <f t="shared" si="3"/>
        <v>0.14750089466778002</v>
      </c>
    </row>
    <row r="24" spans="1:7" ht="23.1" customHeight="1" x14ac:dyDescent="0.2">
      <c r="A24" s="25">
        <v>3</v>
      </c>
      <c r="B24" s="48" t="s">
        <v>82</v>
      </c>
      <c r="C24" s="51">
        <v>2257000</v>
      </c>
      <c r="D24" s="51">
        <v>2362000</v>
      </c>
      <c r="E24" s="51">
        <f t="shared" si="2"/>
        <v>105000</v>
      </c>
      <c r="F24" s="70">
        <f t="shared" si="3"/>
        <v>4.652193176783341E-2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51456000</v>
      </c>
      <c r="D25" s="51">
        <v>53377000</v>
      </c>
      <c r="E25" s="51">
        <f t="shared" si="2"/>
        <v>1921000</v>
      </c>
      <c r="F25" s="70">
        <f t="shared" si="3"/>
        <v>3.7332866915422883E-2</v>
      </c>
    </row>
    <row r="26" spans="1:7" ht="23.1" customHeight="1" x14ac:dyDescent="0.2">
      <c r="A26" s="25">
        <v>5</v>
      </c>
      <c r="B26" s="48" t="s">
        <v>84</v>
      </c>
      <c r="C26" s="51">
        <v>18628000</v>
      </c>
      <c r="D26" s="51">
        <v>22115000</v>
      </c>
      <c r="E26" s="51">
        <f t="shared" si="2"/>
        <v>3487000</v>
      </c>
      <c r="F26" s="70">
        <f t="shared" si="3"/>
        <v>0.18719132488726647</v>
      </c>
    </row>
    <row r="27" spans="1:7" ht="23.1" customHeight="1" x14ac:dyDescent="0.2">
      <c r="A27" s="25">
        <v>6</v>
      </c>
      <c r="B27" s="48" t="s">
        <v>85</v>
      </c>
      <c r="C27" s="51">
        <v>21818000</v>
      </c>
      <c r="D27" s="51">
        <v>21127000</v>
      </c>
      <c r="E27" s="51">
        <f t="shared" si="2"/>
        <v>-691000</v>
      </c>
      <c r="F27" s="70">
        <f t="shared" si="3"/>
        <v>-3.1671097259143827E-2</v>
      </c>
    </row>
    <row r="28" spans="1:7" ht="23.1" customHeight="1" x14ac:dyDescent="0.2">
      <c r="A28" s="25">
        <v>7</v>
      </c>
      <c r="B28" s="48" t="s">
        <v>86</v>
      </c>
      <c r="C28" s="51">
        <v>678000</v>
      </c>
      <c r="D28" s="51">
        <v>2186000</v>
      </c>
      <c r="E28" s="51">
        <f t="shared" si="2"/>
        <v>1508000</v>
      </c>
      <c r="F28" s="70">
        <f t="shared" si="3"/>
        <v>2.224188790560472</v>
      </c>
    </row>
    <row r="29" spans="1:7" ht="23.1" customHeight="1" x14ac:dyDescent="0.2">
      <c r="A29" s="25">
        <v>8</v>
      </c>
      <c r="B29" s="48" t="s">
        <v>87</v>
      </c>
      <c r="C29" s="51">
        <v>4752000</v>
      </c>
      <c r="D29" s="51">
        <v>7005000</v>
      </c>
      <c r="E29" s="51">
        <f t="shared" si="2"/>
        <v>2253000</v>
      </c>
      <c r="F29" s="70">
        <f t="shared" si="3"/>
        <v>0.4741161616161616</v>
      </c>
    </row>
    <row r="30" spans="1:7" ht="23.1" customHeight="1" x14ac:dyDescent="0.2">
      <c r="A30" s="25">
        <v>9</v>
      </c>
      <c r="B30" s="48" t="s">
        <v>88</v>
      </c>
      <c r="C30" s="51">
        <v>61989000</v>
      </c>
      <c r="D30" s="51">
        <v>62817000</v>
      </c>
      <c r="E30" s="51">
        <f t="shared" si="2"/>
        <v>828000</v>
      </c>
      <c r="F30" s="70">
        <f t="shared" si="3"/>
        <v>1.33572085369985E-2</v>
      </c>
    </row>
    <row r="31" spans="1:7" ht="23.1" customHeight="1" x14ac:dyDescent="0.25">
      <c r="A31" s="29"/>
      <c r="B31" s="71" t="s">
        <v>89</v>
      </c>
      <c r="C31" s="27">
        <f>SUM(C22:C30)</f>
        <v>341987000</v>
      </c>
      <c r="D31" s="27">
        <f>SUM(D22:D30)</f>
        <v>351813000</v>
      </c>
      <c r="E31" s="27">
        <f t="shared" si="2"/>
        <v>9826000</v>
      </c>
      <c r="F31" s="28">
        <f t="shared" si="3"/>
        <v>2.8732086307374258E-2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10822000</v>
      </c>
      <c r="D33" s="27">
        <f>+D19-D31</f>
        <v>14761000</v>
      </c>
      <c r="E33" s="27">
        <f>D33-C33</f>
        <v>3939000</v>
      </c>
      <c r="F33" s="28">
        <f>IF(C33=0,0,E33/C33)</f>
        <v>0.36398077989281097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-3219000</v>
      </c>
      <c r="D36" s="51">
        <v>26784000</v>
      </c>
      <c r="E36" s="51">
        <f>D36-C36</f>
        <v>30003000</v>
      </c>
      <c r="F36" s="70">
        <f>IF(C36=0,0,E36/C36)</f>
        <v>-9.3205964585274934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-596000</v>
      </c>
      <c r="D38" s="51">
        <v>-780000</v>
      </c>
      <c r="E38" s="51">
        <f>D38-C38</f>
        <v>-184000</v>
      </c>
      <c r="F38" s="70">
        <f>IF(C38=0,0,E38/C38)</f>
        <v>0.3087248322147651</v>
      </c>
    </row>
    <row r="39" spans="1:6" ht="23.1" customHeight="1" x14ac:dyDescent="0.25">
      <c r="A39" s="20"/>
      <c r="B39" s="71" t="s">
        <v>95</v>
      </c>
      <c r="C39" s="27">
        <f>SUM(C36:C38)</f>
        <v>-3815000</v>
      </c>
      <c r="D39" s="27">
        <f>SUM(D36:D38)</f>
        <v>26004000</v>
      </c>
      <c r="E39" s="27">
        <f>D39-C39</f>
        <v>29819000</v>
      </c>
      <c r="F39" s="28">
        <f>IF(C39=0,0,E39/C39)</f>
        <v>-7.8162516382699865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7007000</v>
      </c>
      <c r="D41" s="27">
        <f>D33+D39</f>
        <v>40765000</v>
      </c>
      <c r="E41" s="27">
        <f>D41-C41</f>
        <v>33758000</v>
      </c>
      <c r="F41" s="28">
        <f>IF(C41=0,0,E41/C41)</f>
        <v>4.8177536748965322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7007000</v>
      </c>
      <c r="D48" s="27">
        <f>D41+D46</f>
        <v>40765000</v>
      </c>
      <c r="E48" s="27">
        <f>D48-C48</f>
        <v>33758000</v>
      </c>
      <c r="F48" s="28">
        <f>IF(C48=0,0,E48/C48)</f>
        <v>4.8177536748965322</v>
      </c>
    </row>
    <row r="49" spans="1:6" ht="23.1" customHeight="1" x14ac:dyDescent="0.2">
      <c r="A49" s="44"/>
      <c r="B49" s="48" t="s">
        <v>102</v>
      </c>
      <c r="C49" s="51">
        <v>912458</v>
      </c>
      <c r="D49" s="51">
        <v>932801</v>
      </c>
      <c r="E49" s="51">
        <f>D49-C49</f>
        <v>20343</v>
      </c>
      <c r="F49" s="70">
        <f>IF(C49=0,0,E49/C49)</f>
        <v>2.2294724798292087E-2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FILING&amp;RSAINT VINCENT`S MEDICAL CENTER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A2" sqref="A2:F2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236378588</v>
      </c>
      <c r="D14" s="97">
        <v>255540233</v>
      </c>
      <c r="E14" s="97">
        <f t="shared" ref="E14:E25" si="0">D14-C14</f>
        <v>19161645</v>
      </c>
      <c r="F14" s="98">
        <f t="shared" ref="F14:F25" si="1">IF(C14=0,0,E14/C14)</f>
        <v>8.1063370257546341E-2</v>
      </c>
    </row>
    <row r="15" spans="1:6" ht="18" customHeight="1" x14ac:dyDescent="0.25">
      <c r="A15" s="99">
        <v>2</v>
      </c>
      <c r="B15" s="100" t="s">
        <v>113</v>
      </c>
      <c r="C15" s="97">
        <v>97381396</v>
      </c>
      <c r="D15" s="97">
        <v>103643190</v>
      </c>
      <c r="E15" s="97">
        <f t="shared" si="0"/>
        <v>6261794</v>
      </c>
      <c r="F15" s="98">
        <f t="shared" si="1"/>
        <v>6.430174814910232E-2</v>
      </c>
    </row>
    <row r="16" spans="1:6" ht="18" customHeight="1" x14ac:dyDescent="0.25">
      <c r="A16" s="99">
        <v>3</v>
      </c>
      <c r="B16" s="100" t="s">
        <v>114</v>
      </c>
      <c r="C16" s="97">
        <v>42312836</v>
      </c>
      <c r="D16" s="97">
        <v>59383222</v>
      </c>
      <c r="E16" s="97">
        <f t="shared" si="0"/>
        <v>17070386</v>
      </c>
      <c r="F16" s="98">
        <f t="shared" si="1"/>
        <v>0.40343280228250361</v>
      </c>
    </row>
    <row r="17" spans="1:6" ht="18" customHeight="1" x14ac:dyDescent="0.25">
      <c r="A17" s="99">
        <v>4</v>
      </c>
      <c r="B17" s="100" t="s">
        <v>115</v>
      </c>
      <c r="C17" s="97">
        <v>27827830</v>
      </c>
      <c r="D17" s="97">
        <v>31237897</v>
      </c>
      <c r="E17" s="97">
        <f t="shared" si="0"/>
        <v>3410067</v>
      </c>
      <c r="F17" s="98">
        <f t="shared" si="1"/>
        <v>0.12254160672966595</v>
      </c>
    </row>
    <row r="18" spans="1:6" ht="18" customHeight="1" x14ac:dyDescent="0.25">
      <c r="A18" s="99">
        <v>5</v>
      </c>
      <c r="B18" s="100" t="s">
        <v>116</v>
      </c>
      <c r="C18" s="97">
        <v>360974</v>
      </c>
      <c r="D18" s="97">
        <v>483690</v>
      </c>
      <c r="E18" s="97">
        <f t="shared" si="0"/>
        <v>122716</v>
      </c>
      <c r="F18" s="98">
        <f t="shared" si="1"/>
        <v>0.33995800251541664</v>
      </c>
    </row>
    <row r="19" spans="1:6" ht="18" customHeight="1" x14ac:dyDescent="0.25">
      <c r="A19" s="99">
        <v>6</v>
      </c>
      <c r="B19" s="100" t="s">
        <v>117</v>
      </c>
      <c r="C19" s="97">
        <v>53452562</v>
      </c>
      <c r="D19" s="97">
        <v>47236109</v>
      </c>
      <c r="E19" s="97">
        <f t="shared" si="0"/>
        <v>-6216453</v>
      </c>
      <c r="F19" s="98">
        <f t="shared" si="1"/>
        <v>-0.11629850408292872</v>
      </c>
    </row>
    <row r="20" spans="1:6" ht="18" customHeight="1" x14ac:dyDescent="0.25">
      <c r="A20" s="99">
        <v>7</v>
      </c>
      <c r="B20" s="100" t="s">
        <v>118</v>
      </c>
      <c r="C20" s="97">
        <v>113101098</v>
      </c>
      <c r="D20" s="97">
        <v>129136241</v>
      </c>
      <c r="E20" s="97">
        <f t="shared" si="0"/>
        <v>16035143</v>
      </c>
      <c r="F20" s="98">
        <f t="shared" si="1"/>
        <v>0.14177707629328232</v>
      </c>
    </row>
    <row r="21" spans="1:6" ht="18" customHeight="1" x14ac:dyDescent="0.25">
      <c r="A21" s="99">
        <v>8</v>
      </c>
      <c r="B21" s="100" t="s">
        <v>119</v>
      </c>
      <c r="C21" s="97">
        <v>5725389</v>
      </c>
      <c r="D21" s="97">
        <v>6532474</v>
      </c>
      <c r="E21" s="97">
        <f t="shared" si="0"/>
        <v>807085</v>
      </c>
      <c r="F21" s="98">
        <f t="shared" si="1"/>
        <v>0.14096596755259774</v>
      </c>
    </row>
    <row r="22" spans="1:6" ht="18" customHeight="1" x14ac:dyDescent="0.25">
      <c r="A22" s="99">
        <v>9</v>
      </c>
      <c r="B22" s="100" t="s">
        <v>120</v>
      </c>
      <c r="C22" s="97">
        <v>20406154</v>
      </c>
      <c r="D22" s="97">
        <v>18013248</v>
      </c>
      <c r="E22" s="97">
        <f t="shared" si="0"/>
        <v>-2392906</v>
      </c>
      <c r="F22" s="98">
        <f t="shared" si="1"/>
        <v>-0.11726393910386053</v>
      </c>
    </row>
    <row r="23" spans="1:6" ht="18" customHeight="1" x14ac:dyDescent="0.25">
      <c r="A23" s="99">
        <v>10</v>
      </c>
      <c r="B23" s="100" t="s">
        <v>121</v>
      </c>
      <c r="C23" s="97">
        <v>16127727</v>
      </c>
      <c r="D23" s="97">
        <v>10685294</v>
      </c>
      <c r="E23" s="97">
        <f t="shared" si="0"/>
        <v>-5442433</v>
      </c>
      <c r="F23" s="98">
        <f t="shared" si="1"/>
        <v>-0.33745815513866273</v>
      </c>
    </row>
    <row r="24" spans="1:6" ht="18" customHeight="1" x14ac:dyDescent="0.25">
      <c r="A24" s="99">
        <v>11</v>
      </c>
      <c r="B24" s="100" t="s">
        <v>122</v>
      </c>
      <c r="C24" s="97">
        <v>451711</v>
      </c>
      <c r="D24" s="97">
        <v>360997</v>
      </c>
      <c r="E24" s="97">
        <f t="shared" si="0"/>
        <v>-90714</v>
      </c>
      <c r="F24" s="98">
        <f t="shared" si="1"/>
        <v>-0.20082309264109133</v>
      </c>
    </row>
    <row r="25" spans="1:6" ht="18" customHeight="1" x14ac:dyDescent="0.25">
      <c r="A25" s="101"/>
      <c r="B25" s="102" t="s">
        <v>123</v>
      </c>
      <c r="C25" s="103">
        <f>SUM(C14:C24)</f>
        <v>613526265</v>
      </c>
      <c r="D25" s="103">
        <f>SUM(D14:D24)</f>
        <v>662252595</v>
      </c>
      <c r="E25" s="103">
        <f t="shared" si="0"/>
        <v>48726330</v>
      </c>
      <c r="F25" s="104">
        <f t="shared" si="1"/>
        <v>7.942012066916157E-2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55766975</v>
      </c>
      <c r="D27" s="97">
        <v>63042261</v>
      </c>
      <c r="E27" s="97">
        <f t="shared" ref="E27:E38" si="2">D27-C27</f>
        <v>7275286</v>
      </c>
      <c r="F27" s="98">
        <f t="shared" ref="F27:F38" si="3">IF(C27=0,0,E27/C27)</f>
        <v>0.13045868096664737</v>
      </c>
    </row>
    <row r="28" spans="1:6" ht="18" customHeight="1" x14ac:dyDescent="0.25">
      <c r="A28" s="99">
        <v>2</v>
      </c>
      <c r="B28" s="100" t="s">
        <v>113</v>
      </c>
      <c r="C28" s="97">
        <v>24956462</v>
      </c>
      <c r="D28" s="97">
        <v>27236342</v>
      </c>
      <c r="E28" s="97">
        <f t="shared" si="2"/>
        <v>2279880</v>
      </c>
      <c r="F28" s="98">
        <f t="shared" si="3"/>
        <v>9.1354295332407298E-2</v>
      </c>
    </row>
    <row r="29" spans="1:6" ht="18" customHeight="1" x14ac:dyDescent="0.25">
      <c r="A29" s="99">
        <v>3</v>
      </c>
      <c r="B29" s="100" t="s">
        <v>114</v>
      </c>
      <c r="C29" s="97">
        <v>12356951</v>
      </c>
      <c r="D29" s="97">
        <v>18441730</v>
      </c>
      <c r="E29" s="97">
        <f t="shared" si="2"/>
        <v>6084779</v>
      </c>
      <c r="F29" s="98">
        <f t="shared" si="3"/>
        <v>0.49241750655157573</v>
      </c>
    </row>
    <row r="30" spans="1:6" ht="18" customHeight="1" x14ac:dyDescent="0.25">
      <c r="A30" s="99">
        <v>4</v>
      </c>
      <c r="B30" s="100" t="s">
        <v>115</v>
      </c>
      <c r="C30" s="97">
        <v>13866694</v>
      </c>
      <c r="D30" s="97">
        <v>21922834</v>
      </c>
      <c r="E30" s="97">
        <f t="shared" si="2"/>
        <v>8056140</v>
      </c>
      <c r="F30" s="98">
        <f t="shared" si="3"/>
        <v>0.58097048943316987</v>
      </c>
    </row>
    <row r="31" spans="1:6" ht="18" customHeight="1" x14ac:dyDescent="0.25">
      <c r="A31" s="99">
        <v>5</v>
      </c>
      <c r="B31" s="100" t="s">
        <v>116</v>
      </c>
      <c r="C31" s="97">
        <v>283642</v>
      </c>
      <c r="D31" s="97">
        <v>266626</v>
      </c>
      <c r="E31" s="97">
        <f t="shared" si="2"/>
        <v>-17016</v>
      </c>
      <c r="F31" s="98">
        <f t="shared" si="3"/>
        <v>-5.9991115561165133E-2</v>
      </c>
    </row>
    <row r="32" spans="1:6" ht="18" customHeight="1" x14ac:dyDescent="0.25">
      <c r="A32" s="99">
        <v>6</v>
      </c>
      <c r="B32" s="100" t="s">
        <v>117</v>
      </c>
      <c r="C32" s="97">
        <v>33046865</v>
      </c>
      <c r="D32" s="97">
        <v>32786081</v>
      </c>
      <c r="E32" s="97">
        <f t="shared" si="2"/>
        <v>-260784</v>
      </c>
      <c r="F32" s="98">
        <f t="shared" si="3"/>
        <v>-7.8913385581355442E-3</v>
      </c>
    </row>
    <row r="33" spans="1:6" ht="18" customHeight="1" x14ac:dyDescent="0.25">
      <c r="A33" s="99">
        <v>7</v>
      </c>
      <c r="B33" s="100" t="s">
        <v>118</v>
      </c>
      <c r="C33" s="97">
        <v>65349481</v>
      </c>
      <c r="D33" s="97">
        <v>68768765</v>
      </c>
      <c r="E33" s="97">
        <f t="shared" si="2"/>
        <v>3419284</v>
      </c>
      <c r="F33" s="98">
        <f t="shared" si="3"/>
        <v>5.2323047523514382E-2</v>
      </c>
    </row>
    <row r="34" spans="1:6" ht="18" customHeight="1" x14ac:dyDescent="0.25">
      <c r="A34" s="99">
        <v>8</v>
      </c>
      <c r="B34" s="100" t="s">
        <v>119</v>
      </c>
      <c r="C34" s="97">
        <v>4390225</v>
      </c>
      <c r="D34" s="97">
        <v>4808282</v>
      </c>
      <c r="E34" s="97">
        <f t="shared" si="2"/>
        <v>418057</v>
      </c>
      <c r="F34" s="98">
        <f t="shared" si="3"/>
        <v>9.522450443883855E-2</v>
      </c>
    </row>
    <row r="35" spans="1:6" ht="18" customHeight="1" x14ac:dyDescent="0.25">
      <c r="A35" s="99">
        <v>9</v>
      </c>
      <c r="B35" s="100" t="s">
        <v>120</v>
      </c>
      <c r="C35" s="97">
        <v>20686277</v>
      </c>
      <c r="D35" s="97">
        <v>22035587</v>
      </c>
      <c r="E35" s="97">
        <f t="shared" si="2"/>
        <v>1349310</v>
      </c>
      <c r="F35" s="98">
        <f t="shared" si="3"/>
        <v>6.5227300204865279E-2</v>
      </c>
    </row>
    <row r="36" spans="1:6" ht="18" customHeight="1" x14ac:dyDescent="0.25">
      <c r="A36" s="99">
        <v>10</v>
      </c>
      <c r="B36" s="100" t="s">
        <v>121</v>
      </c>
      <c r="C36" s="97">
        <v>7978668</v>
      </c>
      <c r="D36" s="97">
        <v>6711759</v>
      </c>
      <c r="E36" s="97">
        <f t="shared" si="2"/>
        <v>-1266909</v>
      </c>
      <c r="F36" s="98">
        <f t="shared" si="3"/>
        <v>-0.15878703061714061</v>
      </c>
    </row>
    <row r="37" spans="1:6" ht="18" customHeight="1" x14ac:dyDescent="0.25">
      <c r="A37" s="99">
        <v>11</v>
      </c>
      <c r="B37" s="100" t="s">
        <v>122</v>
      </c>
      <c r="C37" s="97">
        <v>290363</v>
      </c>
      <c r="D37" s="97">
        <v>242766</v>
      </c>
      <c r="E37" s="97">
        <f t="shared" si="2"/>
        <v>-47597</v>
      </c>
      <c r="F37" s="98">
        <f t="shared" si="3"/>
        <v>-0.16392240058134128</v>
      </c>
    </row>
    <row r="38" spans="1:6" ht="18" customHeight="1" x14ac:dyDescent="0.25">
      <c r="A38" s="101"/>
      <c r="B38" s="102" t="s">
        <v>126</v>
      </c>
      <c r="C38" s="103">
        <f>SUM(C27:C37)</f>
        <v>238972603</v>
      </c>
      <c r="D38" s="103">
        <f>SUM(D27:D37)</f>
        <v>266263033</v>
      </c>
      <c r="E38" s="103">
        <f t="shared" si="2"/>
        <v>27290430</v>
      </c>
      <c r="F38" s="104">
        <f t="shared" si="3"/>
        <v>0.11419899041732412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292145563</v>
      </c>
      <c r="D41" s="103">
        <f t="shared" si="4"/>
        <v>318582494</v>
      </c>
      <c r="E41" s="107">
        <f t="shared" ref="E41:E52" si="5">D41-C41</f>
        <v>26436931</v>
      </c>
      <c r="F41" s="108">
        <f t="shared" ref="F41:F52" si="6">IF(C41=0,0,E41/C41)</f>
        <v>9.049232419798893E-2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122337858</v>
      </c>
      <c r="D42" s="103">
        <f t="shared" si="4"/>
        <v>130879532</v>
      </c>
      <c r="E42" s="107">
        <f t="shared" si="5"/>
        <v>8541674</v>
      </c>
      <c r="F42" s="108">
        <f t="shared" si="6"/>
        <v>6.9820365826578398E-2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54669787</v>
      </c>
      <c r="D43" s="103">
        <f t="shared" si="4"/>
        <v>77824952</v>
      </c>
      <c r="E43" s="107">
        <f t="shared" si="5"/>
        <v>23155165</v>
      </c>
      <c r="F43" s="108">
        <f t="shared" si="6"/>
        <v>0.42354591577245398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41694524</v>
      </c>
      <c r="D44" s="103">
        <f t="shared" si="4"/>
        <v>53160731</v>
      </c>
      <c r="E44" s="107">
        <f t="shared" si="5"/>
        <v>11466207</v>
      </c>
      <c r="F44" s="108">
        <f t="shared" si="6"/>
        <v>0.2750051061861265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644616</v>
      </c>
      <c r="D45" s="103">
        <f t="shared" si="4"/>
        <v>750316</v>
      </c>
      <c r="E45" s="107">
        <f t="shared" si="5"/>
        <v>105700</v>
      </c>
      <c r="F45" s="108">
        <f t="shared" si="6"/>
        <v>0.16397359047867258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86499427</v>
      </c>
      <c r="D46" s="103">
        <f t="shared" si="4"/>
        <v>80022190</v>
      </c>
      <c r="E46" s="107">
        <f t="shared" si="5"/>
        <v>-6477237</v>
      </c>
      <c r="F46" s="108">
        <f t="shared" si="6"/>
        <v>-7.4881848639297921E-2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178450579</v>
      </c>
      <c r="D47" s="103">
        <f t="shared" si="4"/>
        <v>197905006</v>
      </c>
      <c r="E47" s="107">
        <f t="shared" si="5"/>
        <v>19454427</v>
      </c>
      <c r="F47" s="108">
        <f t="shared" si="6"/>
        <v>0.1090185703460228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10115614</v>
      </c>
      <c r="D48" s="103">
        <f t="shared" si="4"/>
        <v>11340756</v>
      </c>
      <c r="E48" s="107">
        <f t="shared" si="5"/>
        <v>1225142</v>
      </c>
      <c r="F48" s="108">
        <f t="shared" si="6"/>
        <v>0.12111395314214243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41092431</v>
      </c>
      <c r="D49" s="103">
        <f t="shared" si="4"/>
        <v>40048835</v>
      </c>
      <c r="E49" s="107">
        <f t="shared" si="5"/>
        <v>-1043596</v>
      </c>
      <c r="F49" s="108">
        <f t="shared" si="6"/>
        <v>-2.5396307169074518E-2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24106395</v>
      </c>
      <c r="D50" s="103">
        <f t="shared" si="4"/>
        <v>17397053</v>
      </c>
      <c r="E50" s="107">
        <f t="shared" si="5"/>
        <v>-6709342</v>
      </c>
      <c r="F50" s="108">
        <f t="shared" si="6"/>
        <v>-0.27832208009534398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742074</v>
      </c>
      <c r="D51" s="103">
        <f t="shared" si="4"/>
        <v>603763</v>
      </c>
      <c r="E51" s="107">
        <f t="shared" si="5"/>
        <v>-138311</v>
      </c>
      <c r="F51" s="108">
        <f t="shared" si="6"/>
        <v>-0.1863843767602692</v>
      </c>
    </row>
    <row r="52" spans="1:6" ht="18.75" customHeight="1" thickBot="1" x14ac:dyDescent="0.3">
      <c r="A52" s="109"/>
      <c r="B52" s="110" t="s">
        <v>128</v>
      </c>
      <c r="C52" s="111">
        <f>SUM(C41:C51)</f>
        <v>852498868</v>
      </c>
      <c r="D52" s="112">
        <f>SUM(D41:D51)</f>
        <v>928515628</v>
      </c>
      <c r="E52" s="111">
        <f t="shared" si="5"/>
        <v>76016760</v>
      </c>
      <c r="F52" s="113">
        <f t="shared" si="6"/>
        <v>8.9169338345678598E-2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87164920</v>
      </c>
      <c r="D57" s="97">
        <v>89377029</v>
      </c>
      <c r="E57" s="97">
        <f t="shared" ref="E57:E68" si="7">D57-C57</f>
        <v>2212109</v>
      </c>
      <c r="F57" s="98">
        <f t="shared" ref="F57:F68" si="8">IF(C57=0,0,E57/C57)</f>
        <v>2.5378432057300115E-2</v>
      </c>
    </row>
    <row r="58" spans="1:6" ht="18" customHeight="1" x14ac:dyDescent="0.25">
      <c r="A58" s="99">
        <v>2</v>
      </c>
      <c r="B58" s="100" t="s">
        <v>113</v>
      </c>
      <c r="C58" s="97">
        <v>33638866</v>
      </c>
      <c r="D58" s="97">
        <v>32953688</v>
      </c>
      <c r="E58" s="97">
        <f t="shared" si="7"/>
        <v>-685178</v>
      </c>
      <c r="F58" s="98">
        <f t="shared" si="8"/>
        <v>-2.0368641439934391E-2</v>
      </c>
    </row>
    <row r="59" spans="1:6" ht="18" customHeight="1" x14ac:dyDescent="0.25">
      <c r="A59" s="99">
        <v>3</v>
      </c>
      <c r="B59" s="100" t="s">
        <v>114</v>
      </c>
      <c r="C59" s="97">
        <v>13298979</v>
      </c>
      <c r="D59" s="97">
        <v>14857701</v>
      </c>
      <c r="E59" s="97">
        <f t="shared" si="7"/>
        <v>1558722</v>
      </c>
      <c r="F59" s="98">
        <f t="shared" si="8"/>
        <v>0.11720614041123006</v>
      </c>
    </row>
    <row r="60" spans="1:6" ht="18" customHeight="1" x14ac:dyDescent="0.25">
      <c r="A60" s="99">
        <v>4</v>
      </c>
      <c r="B60" s="100" t="s">
        <v>115</v>
      </c>
      <c r="C60" s="97">
        <v>6684131</v>
      </c>
      <c r="D60" s="97">
        <v>9146667</v>
      </c>
      <c r="E60" s="97">
        <f t="shared" si="7"/>
        <v>2462536</v>
      </c>
      <c r="F60" s="98">
        <f t="shared" si="8"/>
        <v>0.36841528090936576</v>
      </c>
    </row>
    <row r="61" spans="1:6" ht="18" customHeight="1" x14ac:dyDescent="0.25">
      <c r="A61" s="99">
        <v>5</v>
      </c>
      <c r="B61" s="100" t="s">
        <v>116</v>
      </c>
      <c r="C61" s="97">
        <v>121850</v>
      </c>
      <c r="D61" s="97">
        <v>190001</v>
      </c>
      <c r="E61" s="97">
        <f t="shared" si="7"/>
        <v>68151</v>
      </c>
      <c r="F61" s="98">
        <f t="shared" si="8"/>
        <v>0.55930242100943783</v>
      </c>
    </row>
    <row r="62" spans="1:6" ht="18" customHeight="1" x14ac:dyDescent="0.25">
      <c r="A62" s="99">
        <v>6</v>
      </c>
      <c r="B62" s="100" t="s">
        <v>117</v>
      </c>
      <c r="C62" s="97">
        <v>25694944</v>
      </c>
      <c r="D62" s="97">
        <v>19355591</v>
      </c>
      <c r="E62" s="97">
        <f t="shared" si="7"/>
        <v>-6339353</v>
      </c>
      <c r="F62" s="98">
        <f t="shared" si="8"/>
        <v>-0.24671596871353368</v>
      </c>
    </row>
    <row r="63" spans="1:6" ht="18" customHeight="1" x14ac:dyDescent="0.25">
      <c r="A63" s="99">
        <v>7</v>
      </c>
      <c r="B63" s="100" t="s">
        <v>118</v>
      </c>
      <c r="C63" s="97">
        <v>59933337</v>
      </c>
      <c r="D63" s="97">
        <v>74140381</v>
      </c>
      <c r="E63" s="97">
        <f t="shared" si="7"/>
        <v>14207044</v>
      </c>
      <c r="F63" s="98">
        <f t="shared" si="8"/>
        <v>0.23704743822290422</v>
      </c>
    </row>
    <row r="64" spans="1:6" ht="18" customHeight="1" x14ac:dyDescent="0.25">
      <c r="A64" s="99">
        <v>8</v>
      </c>
      <c r="B64" s="100" t="s">
        <v>119</v>
      </c>
      <c r="C64" s="97">
        <v>4150747</v>
      </c>
      <c r="D64" s="97">
        <v>4235894</v>
      </c>
      <c r="E64" s="97">
        <f t="shared" si="7"/>
        <v>85147</v>
      </c>
      <c r="F64" s="98">
        <f t="shared" si="8"/>
        <v>2.051365693934128E-2</v>
      </c>
    </row>
    <row r="65" spans="1:6" ht="18" customHeight="1" x14ac:dyDescent="0.25">
      <c r="A65" s="99">
        <v>9</v>
      </c>
      <c r="B65" s="100" t="s">
        <v>120</v>
      </c>
      <c r="C65" s="97">
        <v>1590034</v>
      </c>
      <c r="D65" s="97">
        <v>1010117</v>
      </c>
      <c r="E65" s="97">
        <f t="shared" si="7"/>
        <v>-579917</v>
      </c>
      <c r="F65" s="98">
        <f t="shared" si="8"/>
        <v>-0.36471987391464583</v>
      </c>
    </row>
    <row r="66" spans="1:6" ht="18" customHeight="1" x14ac:dyDescent="0.25">
      <c r="A66" s="99">
        <v>10</v>
      </c>
      <c r="B66" s="100" t="s">
        <v>121</v>
      </c>
      <c r="C66" s="97">
        <v>1936674</v>
      </c>
      <c r="D66" s="97">
        <v>165649</v>
      </c>
      <c r="E66" s="97">
        <f t="shared" si="7"/>
        <v>-1771025</v>
      </c>
      <c r="F66" s="98">
        <f t="shared" si="8"/>
        <v>-0.91446727740445732</v>
      </c>
    </row>
    <row r="67" spans="1:6" ht="18" customHeight="1" x14ac:dyDescent="0.25">
      <c r="A67" s="99">
        <v>11</v>
      </c>
      <c r="B67" s="100" t="s">
        <v>122</v>
      </c>
      <c r="C67" s="97">
        <v>48475</v>
      </c>
      <c r="D67" s="97">
        <v>80040</v>
      </c>
      <c r="E67" s="97">
        <f t="shared" si="7"/>
        <v>31565</v>
      </c>
      <c r="F67" s="98">
        <f t="shared" si="8"/>
        <v>0.65116039195461584</v>
      </c>
    </row>
    <row r="68" spans="1:6" ht="18" customHeight="1" x14ac:dyDescent="0.25">
      <c r="A68" s="101"/>
      <c r="B68" s="102" t="s">
        <v>131</v>
      </c>
      <c r="C68" s="103">
        <f>SUM(C57:C67)</f>
        <v>234262957</v>
      </c>
      <c r="D68" s="103">
        <f>SUM(D57:D67)</f>
        <v>245512758</v>
      </c>
      <c r="E68" s="103">
        <f t="shared" si="7"/>
        <v>11249801</v>
      </c>
      <c r="F68" s="104">
        <f t="shared" si="8"/>
        <v>4.8022107908421902E-2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17902956</v>
      </c>
      <c r="D70" s="97">
        <v>18212362</v>
      </c>
      <c r="E70" s="97">
        <f t="shared" ref="E70:E81" si="9">D70-C70</f>
        <v>309406</v>
      </c>
      <c r="F70" s="98">
        <f t="shared" ref="F70:F81" si="10">IF(C70=0,0,E70/C70)</f>
        <v>1.7282397387336484E-2</v>
      </c>
    </row>
    <row r="71" spans="1:6" ht="18" customHeight="1" x14ac:dyDescent="0.25">
      <c r="A71" s="99">
        <v>2</v>
      </c>
      <c r="B71" s="100" t="s">
        <v>113</v>
      </c>
      <c r="C71" s="97">
        <v>6965399</v>
      </c>
      <c r="D71" s="97">
        <v>7604170</v>
      </c>
      <c r="E71" s="97">
        <f t="shared" si="9"/>
        <v>638771</v>
      </c>
      <c r="F71" s="98">
        <f t="shared" si="10"/>
        <v>9.1706304261966909E-2</v>
      </c>
    </row>
    <row r="72" spans="1:6" ht="18" customHeight="1" x14ac:dyDescent="0.25">
      <c r="A72" s="99">
        <v>3</v>
      </c>
      <c r="B72" s="100" t="s">
        <v>114</v>
      </c>
      <c r="C72" s="97">
        <v>3704922</v>
      </c>
      <c r="D72" s="97">
        <v>3222124</v>
      </c>
      <c r="E72" s="97">
        <f t="shared" si="9"/>
        <v>-482798</v>
      </c>
      <c r="F72" s="98">
        <f t="shared" si="10"/>
        <v>-0.13031259497500891</v>
      </c>
    </row>
    <row r="73" spans="1:6" ht="18" customHeight="1" x14ac:dyDescent="0.25">
      <c r="A73" s="99">
        <v>4</v>
      </c>
      <c r="B73" s="100" t="s">
        <v>115</v>
      </c>
      <c r="C73" s="97">
        <v>4751409</v>
      </c>
      <c r="D73" s="97">
        <v>5657042</v>
      </c>
      <c r="E73" s="97">
        <f t="shared" si="9"/>
        <v>905633</v>
      </c>
      <c r="F73" s="98">
        <f t="shared" si="10"/>
        <v>0.19060304006664128</v>
      </c>
    </row>
    <row r="74" spans="1:6" ht="18" customHeight="1" x14ac:dyDescent="0.25">
      <c r="A74" s="99">
        <v>5</v>
      </c>
      <c r="B74" s="100" t="s">
        <v>116</v>
      </c>
      <c r="C74" s="97">
        <v>101544</v>
      </c>
      <c r="D74" s="97">
        <v>91593</v>
      </c>
      <c r="E74" s="97">
        <f t="shared" si="9"/>
        <v>-9951</v>
      </c>
      <c r="F74" s="98">
        <f t="shared" si="10"/>
        <v>-9.7996927440321444E-2</v>
      </c>
    </row>
    <row r="75" spans="1:6" ht="18" customHeight="1" x14ac:dyDescent="0.25">
      <c r="A75" s="99">
        <v>6</v>
      </c>
      <c r="B75" s="100" t="s">
        <v>117</v>
      </c>
      <c r="C75" s="97">
        <v>13285767</v>
      </c>
      <c r="D75" s="97">
        <v>10898955</v>
      </c>
      <c r="E75" s="97">
        <f t="shared" si="9"/>
        <v>-2386812</v>
      </c>
      <c r="F75" s="98">
        <f t="shared" si="10"/>
        <v>-0.17965180331703845</v>
      </c>
    </row>
    <row r="76" spans="1:6" ht="18" customHeight="1" x14ac:dyDescent="0.25">
      <c r="A76" s="99">
        <v>7</v>
      </c>
      <c r="B76" s="100" t="s">
        <v>118</v>
      </c>
      <c r="C76" s="97">
        <v>32866012</v>
      </c>
      <c r="D76" s="97">
        <v>34179885</v>
      </c>
      <c r="E76" s="97">
        <f t="shared" si="9"/>
        <v>1313873</v>
      </c>
      <c r="F76" s="98">
        <f t="shared" si="10"/>
        <v>3.9976648216400582E-2</v>
      </c>
    </row>
    <row r="77" spans="1:6" ht="18" customHeight="1" x14ac:dyDescent="0.25">
      <c r="A77" s="99">
        <v>8</v>
      </c>
      <c r="B77" s="100" t="s">
        <v>119</v>
      </c>
      <c r="C77" s="97">
        <v>3241169</v>
      </c>
      <c r="D77" s="97">
        <v>3345866</v>
      </c>
      <c r="E77" s="97">
        <f t="shared" si="9"/>
        <v>104697</v>
      </c>
      <c r="F77" s="98">
        <f t="shared" si="10"/>
        <v>3.2302234163044258E-2</v>
      </c>
    </row>
    <row r="78" spans="1:6" ht="18" customHeight="1" x14ac:dyDescent="0.25">
      <c r="A78" s="99">
        <v>9</v>
      </c>
      <c r="B78" s="100" t="s">
        <v>120</v>
      </c>
      <c r="C78" s="97">
        <v>1462161</v>
      </c>
      <c r="D78" s="97">
        <v>1818473</v>
      </c>
      <c r="E78" s="97">
        <f t="shared" si="9"/>
        <v>356312</v>
      </c>
      <c r="F78" s="98">
        <f t="shared" si="10"/>
        <v>0.24368862252515283</v>
      </c>
    </row>
    <row r="79" spans="1:6" ht="18" customHeight="1" x14ac:dyDescent="0.25">
      <c r="A79" s="99">
        <v>10</v>
      </c>
      <c r="B79" s="100" t="s">
        <v>121</v>
      </c>
      <c r="C79" s="97">
        <v>1381834</v>
      </c>
      <c r="D79" s="97">
        <v>1998932</v>
      </c>
      <c r="E79" s="97">
        <f t="shared" si="9"/>
        <v>617098</v>
      </c>
      <c r="F79" s="98">
        <f t="shared" si="10"/>
        <v>0.44657896679340642</v>
      </c>
    </row>
    <row r="80" spans="1:6" ht="18" customHeight="1" x14ac:dyDescent="0.25">
      <c r="A80" s="99">
        <v>11</v>
      </c>
      <c r="B80" s="100" t="s">
        <v>122</v>
      </c>
      <c r="C80" s="97">
        <v>44512</v>
      </c>
      <c r="D80" s="97">
        <v>55429</v>
      </c>
      <c r="E80" s="97">
        <f t="shared" si="9"/>
        <v>10917</v>
      </c>
      <c r="F80" s="98">
        <f t="shared" si="10"/>
        <v>0.24525970524802301</v>
      </c>
    </row>
    <row r="81" spans="1:6" ht="18" customHeight="1" x14ac:dyDescent="0.25">
      <c r="A81" s="101"/>
      <c r="B81" s="102" t="s">
        <v>133</v>
      </c>
      <c r="C81" s="103">
        <f>SUM(C70:C80)</f>
        <v>85707685</v>
      </c>
      <c r="D81" s="103">
        <f>SUM(D70:D80)</f>
        <v>87084831</v>
      </c>
      <c r="E81" s="103">
        <f t="shared" si="9"/>
        <v>1377146</v>
      </c>
      <c r="F81" s="104">
        <f t="shared" si="10"/>
        <v>1.6067940698666638E-2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105067876</v>
      </c>
      <c r="D84" s="103">
        <f t="shared" si="11"/>
        <v>107589391</v>
      </c>
      <c r="E84" s="103">
        <f t="shared" ref="E84:E95" si="12">D84-C84</f>
        <v>2521515</v>
      </c>
      <c r="F84" s="104">
        <f t="shared" ref="F84:F95" si="13">IF(C84=0,0,E84/C84)</f>
        <v>2.3998914758684185E-2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40604265</v>
      </c>
      <c r="D85" s="103">
        <f t="shared" si="11"/>
        <v>40557858</v>
      </c>
      <c r="E85" s="103">
        <f t="shared" si="12"/>
        <v>-46407</v>
      </c>
      <c r="F85" s="104">
        <f t="shared" si="13"/>
        <v>-1.1429094948523265E-3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17003901</v>
      </c>
      <c r="D86" s="103">
        <f t="shared" si="11"/>
        <v>18079825</v>
      </c>
      <c r="E86" s="103">
        <f t="shared" si="12"/>
        <v>1075924</v>
      </c>
      <c r="F86" s="104">
        <f t="shared" si="13"/>
        <v>6.3275127278146354E-2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11435540</v>
      </c>
      <c r="D87" s="103">
        <f t="shared" si="11"/>
        <v>14803709</v>
      </c>
      <c r="E87" s="103">
        <f t="shared" si="12"/>
        <v>3368169</v>
      </c>
      <c r="F87" s="104">
        <f t="shared" si="13"/>
        <v>0.29453519466505296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223394</v>
      </c>
      <c r="D88" s="103">
        <f t="shared" si="11"/>
        <v>281594</v>
      </c>
      <c r="E88" s="103">
        <f t="shared" si="12"/>
        <v>58200</v>
      </c>
      <c r="F88" s="104">
        <f t="shared" si="13"/>
        <v>0.26052624510953742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38980711</v>
      </c>
      <c r="D89" s="103">
        <f t="shared" si="11"/>
        <v>30254546</v>
      </c>
      <c r="E89" s="103">
        <f t="shared" si="12"/>
        <v>-8726165</v>
      </c>
      <c r="F89" s="104">
        <f t="shared" si="13"/>
        <v>-0.22385853865005181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92799349</v>
      </c>
      <c r="D90" s="103">
        <f t="shared" si="11"/>
        <v>108320266</v>
      </c>
      <c r="E90" s="103">
        <f t="shared" si="12"/>
        <v>15520917</v>
      </c>
      <c r="F90" s="104">
        <f t="shared" si="13"/>
        <v>0.16725243406610535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7391916</v>
      </c>
      <c r="D91" s="103">
        <f t="shared" si="11"/>
        <v>7581760</v>
      </c>
      <c r="E91" s="103">
        <f t="shared" si="12"/>
        <v>189844</v>
      </c>
      <c r="F91" s="104">
        <f t="shared" si="13"/>
        <v>2.5682651155667896E-2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3052195</v>
      </c>
      <c r="D92" s="103">
        <f t="shared" si="11"/>
        <v>2828590</v>
      </c>
      <c r="E92" s="103">
        <f t="shared" si="12"/>
        <v>-223605</v>
      </c>
      <c r="F92" s="104">
        <f t="shared" si="13"/>
        <v>-7.3260391292168422E-2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3318508</v>
      </c>
      <c r="D93" s="103">
        <f t="shared" si="11"/>
        <v>2164581</v>
      </c>
      <c r="E93" s="103">
        <f t="shared" si="12"/>
        <v>-1153927</v>
      </c>
      <c r="F93" s="104">
        <f t="shared" si="13"/>
        <v>-0.34772464010935034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92987</v>
      </c>
      <c r="D94" s="103">
        <f t="shared" si="11"/>
        <v>135469</v>
      </c>
      <c r="E94" s="103">
        <f t="shared" si="12"/>
        <v>42482</v>
      </c>
      <c r="F94" s="104">
        <f t="shared" si="13"/>
        <v>0.45685956101390518</v>
      </c>
    </row>
    <row r="95" spans="1:6" ht="18.75" customHeight="1" thickBot="1" x14ac:dyDescent="0.3">
      <c r="A95" s="115"/>
      <c r="B95" s="116" t="s">
        <v>134</v>
      </c>
      <c r="C95" s="112">
        <f>SUM(C84:C94)</f>
        <v>319970642</v>
      </c>
      <c r="D95" s="112">
        <f>SUM(D84:D94)</f>
        <v>332597589</v>
      </c>
      <c r="E95" s="112">
        <f t="shared" si="12"/>
        <v>12626947</v>
      </c>
      <c r="F95" s="113">
        <f t="shared" si="13"/>
        <v>3.9462829842995407E-2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6876</v>
      </c>
      <c r="D100" s="117">
        <v>6978</v>
      </c>
      <c r="E100" s="117">
        <f t="shared" ref="E100:E111" si="14">D100-C100</f>
        <v>102</v>
      </c>
      <c r="F100" s="98">
        <f t="shared" ref="F100:F111" si="15">IF(C100=0,0,E100/C100)</f>
        <v>1.4834205933682374E-2</v>
      </c>
    </row>
    <row r="101" spans="1:6" ht="18" customHeight="1" x14ac:dyDescent="0.25">
      <c r="A101" s="99">
        <v>2</v>
      </c>
      <c r="B101" s="100" t="s">
        <v>113</v>
      </c>
      <c r="C101" s="117">
        <v>2870</v>
      </c>
      <c r="D101" s="117">
        <v>2942</v>
      </c>
      <c r="E101" s="117">
        <f t="shared" si="14"/>
        <v>72</v>
      </c>
      <c r="F101" s="98">
        <f t="shared" si="15"/>
        <v>2.5087108013937282E-2</v>
      </c>
    </row>
    <row r="102" spans="1:6" ht="18" customHeight="1" x14ac:dyDescent="0.25">
      <c r="A102" s="99">
        <v>3</v>
      </c>
      <c r="B102" s="100" t="s">
        <v>114</v>
      </c>
      <c r="C102" s="117">
        <v>1616</v>
      </c>
      <c r="D102" s="117">
        <v>1927</v>
      </c>
      <c r="E102" s="117">
        <f t="shared" si="14"/>
        <v>311</v>
      </c>
      <c r="F102" s="98">
        <f t="shared" si="15"/>
        <v>0.19245049504950495</v>
      </c>
    </row>
    <row r="103" spans="1:6" ht="18" customHeight="1" x14ac:dyDescent="0.25">
      <c r="A103" s="99">
        <v>4</v>
      </c>
      <c r="B103" s="100" t="s">
        <v>115</v>
      </c>
      <c r="C103" s="117">
        <v>1504</v>
      </c>
      <c r="D103" s="117">
        <v>1725</v>
      </c>
      <c r="E103" s="117">
        <f t="shared" si="14"/>
        <v>221</v>
      </c>
      <c r="F103" s="98">
        <f t="shared" si="15"/>
        <v>0.14694148936170212</v>
      </c>
    </row>
    <row r="104" spans="1:6" ht="18" customHeight="1" x14ac:dyDescent="0.25">
      <c r="A104" s="99">
        <v>5</v>
      </c>
      <c r="B104" s="100" t="s">
        <v>116</v>
      </c>
      <c r="C104" s="117">
        <v>18</v>
      </c>
      <c r="D104" s="117">
        <v>30</v>
      </c>
      <c r="E104" s="117">
        <f t="shared" si="14"/>
        <v>12</v>
      </c>
      <c r="F104" s="98">
        <f t="shared" si="15"/>
        <v>0.66666666666666663</v>
      </c>
    </row>
    <row r="105" spans="1:6" ht="18" customHeight="1" x14ac:dyDescent="0.25">
      <c r="A105" s="99">
        <v>6</v>
      </c>
      <c r="B105" s="100" t="s">
        <v>117</v>
      </c>
      <c r="C105" s="117">
        <v>2605</v>
      </c>
      <c r="D105" s="117">
        <v>1956</v>
      </c>
      <c r="E105" s="117">
        <f t="shared" si="14"/>
        <v>-649</v>
      </c>
      <c r="F105" s="98">
        <f t="shared" si="15"/>
        <v>-0.2491362763915547</v>
      </c>
    </row>
    <row r="106" spans="1:6" ht="18" customHeight="1" x14ac:dyDescent="0.25">
      <c r="A106" s="99">
        <v>7</v>
      </c>
      <c r="B106" s="100" t="s">
        <v>118</v>
      </c>
      <c r="C106" s="117">
        <v>4482</v>
      </c>
      <c r="D106" s="117">
        <v>4774</v>
      </c>
      <c r="E106" s="117">
        <f t="shared" si="14"/>
        <v>292</v>
      </c>
      <c r="F106" s="98">
        <f t="shared" si="15"/>
        <v>6.5149486836233825E-2</v>
      </c>
    </row>
    <row r="107" spans="1:6" ht="18" customHeight="1" x14ac:dyDescent="0.25">
      <c r="A107" s="99">
        <v>8</v>
      </c>
      <c r="B107" s="100" t="s">
        <v>119</v>
      </c>
      <c r="C107" s="117">
        <v>158</v>
      </c>
      <c r="D107" s="117">
        <v>143</v>
      </c>
      <c r="E107" s="117">
        <f t="shared" si="14"/>
        <v>-15</v>
      </c>
      <c r="F107" s="98">
        <f t="shared" si="15"/>
        <v>-9.49367088607595E-2</v>
      </c>
    </row>
    <row r="108" spans="1:6" ht="18" customHeight="1" x14ac:dyDescent="0.25">
      <c r="A108" s="99">
        <v>9</v>
      </c>
      <c r="B108" s="100" t="s">
        <v>120</v>
      </c>
      <c r="C108" s="117">
        <v>955</v>
      </c>
      <c r="D108" s="117">
        <v>1024</v>
      </c>
      <c r="E108" s="117">
        <f t="shared" si="14"/>
        <v>69</v>
      </c>
      <c r="F108" s="98">
        <f t="shared" si="15"/>
        <v>7.2251308900523559E-2</v>
      </c>
    </row>
    <row r="109" spans="1:6" ht="18" customHeight="1" x14ac:dyDescent="0.25">
      <c r="A109" s="99">
        <v>10</v>
      </c>
      <c r="B109" s="100" t="s">
        <v>121</v>
      </c>
      <c r="C109" s="117">
        <v>615</v>
      </c>
      <c r="D109" s="117">
        <v>353</v>
      </c>
      <c r="E109" s="117">
        <f t="shared" si="14"/>
        <v>-262</v>
      </c>
      <c r="F109" s="98">
        <f t="shared" si="15"/>
        <v>-0.42601626016260163</v>
      </c>
    </row>
    <row r="110" spans="1:6" ht="18" customHeight="1" x14ac:dyDescent="0.25">
      <c r="A110" s="99">
        <v>11</v>
      </c>
      <c r="B110" s="100" t="s">
        <v>122</v>
      </c>
      <c r="C110" s="117">
        <v>27</v>
      </c>
      <c r="D110" s="117">
        <v>21</v>
      </c>
      <c r="E110" s="117">
        <f t="shared" si="14"/>
        <v>-6</v>
      </c>
      <c r="F110" s="98">
        <f t="shared" si="15"/>
        <v>-0.22222222222222221</v>
      </c>
    </row>
    <row r="111" spans="1:6" ht="18" customHeight="1" x14ac:dyDescent="0.25">
      <c r="A111" s="101"/>
      <c r="B111" s="102" t="s">
        <v>138</v>
      </c>
      <c r="C111" s="118">
        <f>SUM(C100:C110)</f>
        <v>21726</v>
      </c>
      <c r="D111" s="118">
        <f>SUM(D100:D110)</f>
        <v>21873</v>
      </c>
      <c r="E111" s="118">
        <f t="shared" si="14"/>
        <v>147</v>
      </c>
      <c r="F111" s="104">
        <f t="shared" si="15"/>
        <v>6.7660867163766916E-3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46479</v>
      </c>
      <c r="D113" s="117">
        <v>45977</v>
      </c>
      <c r="E113" s="117">
        <f t="shared" ref="E113:E124" si="16">D113-C113</f>
        <v>-502</v>
      </c>
      <c r="F113" s="98">
        <f t="shared" ref="F113:F124" si="17">IF(C113=0,0,E113/C113)</f>
        <v>-1.0800576604488049E-2</v>
      </c>
    </row>
    <row r="114" spans="1:6" ht="18" customHeight="1" x14ac:dyDescent="0.25">
      <c r="A114" s="99">
        <v>2</v>
      </c>
      <c r="B114" s="100" t="s">
        <v>113</v>
      </c>
      <c r="C114" s="117">
        <v>17559</v>
      </c>
      <c r="D114" s="117">
        <v>16791</v>
      </c>
      <c r="E114" s="117">
        <f t="shared" si="16"/>
        <v>-768</v>
      </c>
      <c r="F114" s="98">
        <f t="shared" si="17"/>
        <v>-4.373825388689561E-2</v>
      </c>
    </row>
    <row r="115" spans="1:6" ht="18" customHeight="1" x14ac:dyDescent="0.25">
      <c r="A115" s="99">
        <v>3</v>
      </c>
      <c r="B115" s="100" t="s">
        <v>114</v>
      </c>
      <c r="C115" s="117">
        <v>11261</v>
      </c>
      <c r="D115" s="117">
        <v>13346</v>
      </c>
      <c r="E115" s="117">
        <f t="shared" si="16"/>
        <v>2085</v>
      </c>
      <c r="F115" s="98">
        <f t="shared" si="17"/>
        <v>0.18515229553325638</v>
      </c>
    </row>
    <row r="116" spans="1:6" ht="18" customHeight="1" x14ac:dyDescent="0.25">
      <c r="A116" s="99">
        <v>4</v>
      </c>
      <c r="B116" s="100" t="s">
        <v>115</v>
      </c>
      <c r="C116" s="117">
        <v>9659</v>
      </c>
      <c r="D116" s="117">
        <v>9249</v>
      </c>
      <c r="E116" s="117">
        <f t="shared" si="16"/>
        <v>-410</v>
      </c>
      <c r="F116" s="98">
        <f t="shared" si="17"/>
        <v>-4.2447458329019569E-2</v>
      </c>
    </row>
    <row r="117" spans="1:6" ht="18" customHeight="1" x14ac:dyDescent="0.25">
      <c r="A117" s="99">
        <v>5</v>
      </c>
      <c r="B117" s="100" t="s">
        <v>116</v>
      </c>
      <c r="C117" s="117">
        <v>79</v>
      </c>
      <c r="D117" s="117">
        <v>116</v>
      </c>
      <c r="E117" s="117">
        <f t="shared" si="16"/>
        <v>37</v>
      </c>
      <c r="F117" s="98">
        <f t="shared" si="17"/>
        <v>0.46835443037974683</v>
      </c>
    </row>
    <row r="118" spans="1:6" ht="18" customHeight="1" x14ac:dyDescent="0.25">
      <c r="A118" s="99">
        <v>6</v>
      </c>
      <c r="B118" s="100" t="s">
        <v>117</v>
      </c>
      <c r="C118" s="117">
        <v>11337</v>
      </c>
      <c r="D118" s="117">
        <v>8491</v>
      </c>
      <c r="E118" s="117">
        <f t="shared" si="16"/>
        <v>-2846</v>
      </c>
      <c r="F118" s="98">
        <f t="shared" si="17"/>
        <v>-0.25103642939049131</v>
      </c>
    </row>
    <row r="119" spans="1:6" ht="18" customHeight="1" x14ac:dyDescent="0.25">
      <c r="A119" s="99">
        <v>7</v>
      </c>
      <c r="B119" s="100" t="s">
        <v>118</v>
      </c>
      <c r="C119" s="117">
        <v>20193</v>
      </c>
      <c r="D119" s="117">
        <v>20989</v>
      </c>
      <c r="E119" s="117">
        <f t="shared" si="16"/>
        <v>796</v>
      </c>
      <c r="F119" s="98">
        <f t="shared" si="17"/>
        <v>3.9419600851780319E-2</v>
      </c>
    </row>
    <row r="120" spans="1:6" ht="18" customHeight="1" x14ac:dyDescent="0.25">
      <c r="A120" s="99">
        <v>8</v>
      </c>
      <c r="B120" s="100" t="s">
        <v>119</v>
      </c>
      <c r="C120" s="117">
        <v>527</v>
      </c>
      <c r="D120" s="117">
        <v>541</v>
      </c>
      <c r="E120" s="117">
        <f t="shared" si="16"/>
        <v>14</v>
      </c>
      <c r="F120" s="98">
        <f t="shared" si="17"/>
        <v>2.6565464895635674E-2</v>
      </c>
    </row>
    <row r="121" spans="1:6" ht="18" customHeight="1" x14ac:dyDescent="0.25">
      <c r="A121" s="99">
        <v>9</v>
      </c>
      <c r="B121" s="100" t="s">
        <v>120</v>
      </c>
      <c r="C121" s="117">
        <v>4657</v>
      </c>
      <c r="D121" s="117">
        <v>5403</v>
      </c>
      <c r="E121" s="117">
        <f t="shared" si="16"/>
        <v>746</v>
      </c>
      <c r="F121" s="98">
        <f t="shared" si="17"/>
        <v>0.16018896285162121</v>
      </c>
    </row>
    <row r="122" spans="1:6" ht="18" customHeight="1" x14ac:dyDescent="0.25">
      <c r="A122" s="99">
        <v>10</v>
      </c>
      <c r="B122" s="100" t="s">
        <v>121</v>
      </c>
      <c r="C122" s="117">
        <v>3578</v>
      </c>
      <c r="D122" s="117">
        <v>1845</v>
      </c>
      <c r="E122" s="117">
        <f t="shared" si="16"/>
        <v>-1733</v>
      </c>
      <c r="F122" s="98">
        <f t="shared" si="17"/>
        <v>-0.48434879821129123</v>
      </c>
    </row>
    <row r="123" spans="1:6" ht="18" customHeight="1" x14ac:dyDescent="0.25">
      <c r="A123" s="99">
        <v>11</v>
      </c>
      <c r="B123" s="100" t="s">
        <v>122</v>
      </c>
      <c r="C123" s="117">
        <v>118</v>
      </c>
      <c r="D123" s="117">
        <v>64</v>
      </c>
      <c r="E123" s="117">
        <f t="shared" si="16"/>
        <v>-54</v>
      </c>
      <c r="F123" s="98">
        <f t="shared" si="17"/>
        <v>-0.4576271186440678</v>
      </c>
    </row>
    <row r="124" spans="1:6" ht="18" customHeight="1" x14ac:dyDescent="0.25">
      <c r="A124" s="101"/>
      <c r="B124" s="102" t="s">
        <v>140</v>
      </c>
      <c r="C124" s="118">
        <f>SUM(C113:C123)</f>
        <v>125447</v>
      </c>
      <c r="D124" s="118">
        <f>SUM(D113:D123)</f>
        <v>122812</v>
      </c>
      <c r="E124" s="118">
        <f t="shared" si="16"/>
        <v>-2635</v>
      </c>
      <c r="F124" s="104">
        <f t="shared" si="17"/>
        <v>-2.1004886525783799E-2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32924</v>
      </c>
      <c r="D126" s="117">
        <v>39623</v>
      </c>
      <c r="E126" s="117">
        <f t="shared" ref="E126:E137" si="18">D126-C126</f>
        <v>6699</v>
      </c>
      <c r="F126" s="98">
        <f t="shared" ref="F126:F137" si="19">IF(C126=0,0,E126/C126)</f>
        <v>0.2034685943384765</v>
      </c>
    </row>
    <row r="127" spans="1:6" ht="18" customHeight="1" x14ac:dyDescent="0.25">
      <c r="A127" s="99">
        <v>2</v>
      </c>
      <c r="B127" s="100" t="s">
        <v>113</v>
      </c>
      <c r="C127" s="117">
        <v>12216</v>
      </c>
      <c r="D127" s="117">
        <v>14107</v>
      </c>
      <c r="E127" s="117">
        <f t="shared" si="18"/>
        <v>1891</v>
      </c>
      <c r="F127" s="98">
        <f t="shared" si="19"/>
        <v>0.1547969875573019</v>
      </c>
    </row>
    <row r="128" spans="1:6" ht="18" customHeight="1" x14ac:dyDescent="0.25">
      <c r="A128" s="99">
        <v>3</v>
      </c>
      <c r="B128" s="100" t="s">
        <v>114</v>
      </c>
      <c r="C128" s="117">
        <v>11529</v>
      </c>
      <c r="D128" s="117">
        <v>18723</v>
      </c>
      <c r="E128" s="117">
        <f t="shared" si="18"/>
        <v>7194</v>
      </c>
      <c r="F128" s="98">
        <f t="shared" si="19"/>
        <v>0.62399167317200099</v>
      </c>
    </row>
    <row r="129" spans="1:6" ht="18" customHeight="1" x14ac:dyDescent="0.25">
      <c r="A129" s="99">
        <v>4</v>
      </c>
      <c r="B129" s="100" t="s">
        <v>115</v>
      </c>
      <c r="C129" s="117">
        <v>20279</v>
      </c>
      <c r="D129" s="117">
        <v>31492</v>
      </c>
      <c r="E129" s="117">
        <f t="shared" si="18"/>
        <v>11213</v>
      </c>
      <c r="F129" s="98">
        <f t="shared" si="19"/>
        <v>0.55293653533211695</v>
      </c>
    </row>
    <row r="130" spans="1:6" ht="18" customHeight="1" x14ac:dyDescent="0.25">
      <c r="A130" s="99">
        <v>5</v>
      </c>
      <c r="B130" s="100" t="s">
        <v>116</v>
      </c>
      <c r="C130" s="117">
        <v>15</v>
      </c>
      <c r="D130" s="117">
        <v>291</v>
      </c>
      <c r="E130" s="117">
        <f t="shared" si="18"/>
        <v>276</v>
      </c>
      <c r="F130" s="98">
        <f t="shared" si="19"/>
        <v>18.399999999999999</v>
      </c>
    </row>
    <row r="131" spans="1:6" ht="18" customHeight="1" x14ac:dyDescent="0.25">
      <c r="A131" s="99">
        <v>6</v>
      </c>
      <c r="B131" s="100" t="s">
        <v>117</v>
      </c>
      <c r="C131" s="117">
        <v>34631</v>
      </c>
      <c r="D131" s="117">
        <v>32669</v>
      </c>
      <c r="E131" s="117">
        <f t="shared" si="18"/>
        <v>-1962</v>
      </c>
      <c r="F131" s="98">
        <f t="shared" si="19"/>
        <v>-5.6654442551471222E-2</v>
      </c>
    </row>
    <row r="132" spans="1:6" ht="18" customHeight="1" x14ac:dyDescent="0.25">
      <c r="A132" s="99">
        <v>7</v>
      </c>
      <c r="B132" s="100" t="s">
        <v>118</v>
      </c>
      <c r="C132" s="117">
        <v>45900</v>
      </c>
      <c r="D132" s="117">
        <v>50951</v>
      </c>
      <c r="E132" s="117">
        <f t="shared" si="18"/>
        <v>5051</v>
      </c>
      <c r="F132" s="98">
        <f t="shared" si="19"/>
        <v>0.11004357298474945</v>
      </c>
    </row>
    <row r="133" spans="1:6" ht="18" customHeight="1" x14ac:dyDescent="0.25">
      <c r="A133" s="99">
        <v>8</v>
      </c>
      <c r="B133" s="100" t="s">
        <v>119</v>
      </c>
      <c r="C133" s="117">
        <v>7378</v>
      </c>
      <c r="D133" s="117">
        <v>8364</v>
      </c>
      <c r="E133" s="117">
        <f t="shared" si="18"/>
        <v>986</v>
      </c>
      <c r="F133" s="98">
        <f t="shared" si="19"/>
        <v>0.13364055299539171</v>
      </c>
    </row>
    <row r="134" spans="1:6" ht="18" customHeight="1" x14ac:dyDescent="0.25">
      <c r="A134" s="99">
        <v>9</v>
      </c>
      <c r="B134" s="100" t="s">
        <v>120</v>
      </c>
      <c r="C134" s="117">
        <v>29348</v>
      </c>
      <c r="D134" s="117">
        <v>29665</v>
      </c>
      <c r="E134" s="117">
        <f t="shared" si="18"/>
        <v>317</v>
      </c>
      <c r="F134" s="98">
        <f t="shared" si="19"/>
        <v>1.080141747308164E-2</v>
      </c>
    </row>
    <row r="135" spans="1:6" ht="18" customHeight="1" x14ac:dyDescent="0.25">
      <c r="A135" s="99">
        <v>10</v>
      </c>
      <c r="B135" s="100" t="s">
        <v>121</v>
      </c>
      <c r="C135" s="117">
        <v>8037</v>
      </c>
      <c r="D135" s="117">
        <v>5969</v>
      </c>
      <c r="E135" s="117">
        <f t="shared" si="18"/>
        <v>-2068</v>
      </c>
      <c r="F135" s="98">
        <f t="shared" si="19"/>
        <v>-0.25730994152046782</v>
      </c>
    </row>
    <row r="136" spans="1:6" ht="18" customHeight="1" x14ac:dyDescent="0.25">
      <c r="A136" s="99">
        <v>11</v>
      </c>
      <c r="B136" s="100" t="s">
        <v>122</v>
      </c>
      <c r="C136" s="117">
        <v>266</v>
      </c>
      <c r="D136" s="117">
        <v>265</v>
      </c>
      <c r="E136" s="117">
        <f t="shared" si="18"/>
        <v>-1</v>
      </c>
      <c r="F136" s="98">
        <f t="shared" si="19"/>
        <v>-3.7593984962406013E-3</v>
      </c>
    </row>
    <row r="137" spans="1:6" ht="18" customHeight="1" x14ac:dyDescent="0.25">
      <c r="A137" s="101"/>
      <c r="B137" s="102" t="s">
        <v>143</v>
      </c>
      <c r="C137" s="118">
        <f>SUM(C126:C136)</f>
        <v>202523</v>
      </c>
      <c r="D137" s="118">
        <f>SUM(D126:D136)</f>
        <v>232119</v>
      </c>
      <c r="E137" s="118">
        <f t="shared" si="18"/>
        <v>29596</v>
      </c>
      <c r="F137" s="104">
        <f t="shared" si="19"/>
        <v>0.14613648820134009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10023294</v>
      </c>
      <c r="D142" s="97">
        <v>11701255</v>
      </c>
      <c r="E142" s="97">
        <f t="shared" ref="E142:E153" si="20">D142-C142</f>
        <v>1677961</v>
      </c>
      <c r="F142" s="98">
        <f t="shared" ref="F142:F153" si="21">IF(C142=0,0,E142/C142)</f>
        <v>0.16740614412786856</v>
      </c>
    </row>
    <row r="143" spans="1:6" ht="18" customHeight="1" x14ac:dyDescent="0.25">
      <c r="A143" s="99">
        <v>2</v>
      </c>
      <c r="B143" s="100" t="s">
        <v>113</v>
      </c>
      <c r="C143" s="97">
        <v>3606937</v>
      </c>
      <c r="D143" s="97">
        <v>3943261</v>
      </c>
      <c r="E143" s="97">
        <f t="shared" si="20"/>
        <v>336324</v>
      </c>
      <c r="F143" s="98">
        <f t="shared" si="21"/>
        <v>9.3243657984600228E-2</v>
      </c>
    </row>
    <row r="144" spans="1:6" ht="18" customHeight="1" x14ac:dyDescent="0.25">
      <c r="A144" s="99">
        <v>3</v>
      </c>
      <c r="B144" s="100" t="s">
        <v>114</v>
      </c>
      <c r="C144" s="97">
        <v>4481186</v>
      </c>
      <c r="D144" s="97">
        <v>7228017</v>
      </c>
      <c r="E144" s="97">
        <f t="shared" si="20"/>
        <v>2746831</v>
      </c>
      <c r="F144" s="98">
        <f t="shared" si="21"/>
        <v>0.61296964687473365</v>
      </c>
    </row>
    <row r="145" spans="1:6" ht="18" customHeight="1" x14ac:dyDescent="0.25">
      <c r="A145" s="99">
        <v>4</v>
      </c>
      <c r="B145" s="100" t="s">
        <v>115</v>
      </c>
      <c r="C145" s="97">
        <v>7381860</v>
      </c>
      <c r="D145" s="97">
        <v>11617137</v>
      </c>
      <c r="E145" s="97">
        <f t="shared" si="20"/>
        <v>4235277</v>
      </c>
      <c r="F145" s="98">
        <f t="shared" si="21"/>
        <v>0.57374117092440113</v>
      </c>
    </row>
    <row r="146" spans="1:6" ht="18" customHeight="1" x14ac:dyDescent="0.25">
      <c r="A146" s="99">
        <v>5</v>
      </c>
      <c r="B146" s="100" t="s">
        <v>116</v>
      </c>
      <c r="C146" s="97">
        <v>104577</v>
      </c>
      <c r="D146" s="97">
        <v>142737</v>
      </c>
      <c r="E146" s="97">
        <f t="shared" si="20"/>
        <v>38160</v>
      </c>
      <c r="F146" s="98">
        <f t="shared" si="21"/>
        <v>0.36489859146848735</v>
      </c>
    </row>
    <row r="147" spans="1:6" ht="18" customHeight="1" x14ac:dyDescent="0.25">
      <c r="A147" s="99">
        <v>6</v>
      </c>
      <c r="B147" s="100" t="s">
        <v>117</v>
      </c>
      <c r="C147" s="97">
        <v>10883047</v>
      </c>
      <c r="D147" s="97">
        <v>9190106</v>
      </c>
      <c r="E147" s="97">
        <f t="shared" si="20"/>
        <v>-1692941</v>
      </c>
      <c r="F147" s="98">
        <f t="shared" si="21"/>
        <v>-0.15555763013795676</v>
      </c>
    </row>
    <row r="148" spans="1:6" ht="18" customHeight="1" x14ac:dyDescent="0.25">
      <c r="A148" s="99">
        <v>7</v>
      </c>
      <c r="B148" s="100" t="s">
        <v>118</v>
      </c>
      <c r="C148" s="97">
        <v>13780757</v>
      </c>
      <c r="D148" s="97">
        <v>16252448</v>
      </c>
      <c r="E148" s="97">
        <f t="shared" si="20"/>
        <v>2471691</v>
      </c>
      <c r="F148" s="98">
        <f t="shared" si="21"/>
        <v>0.17935814411356357</v>
      </c>
    </row>
    <row r="149" spans="1:6" ht="18" customHeight="1" x14ac:dyDescent="0.25">
      <c r="A149" s="99">
        <v>8</v>
      </c>
      <c r="B149" s="100" t="s">
        <v>119</v>
      </c>
      <c r="C149" s="97">
        <v>1038135</v>
      </c>
      <c r="D149" s="97">
        <v>1211214</v>
      </c>
      <c r="E149" s="97">
        <f t="shared" si="20"/>
        <v>173079</v>
      </c>
      <c r="F149" s="98">
        <f t="shared" si="21"/>
        <v>0.16672109118756231</v>
      </c>
    </row>
    <row r="150" spans="1:6" ht="18" customHeight="1" x14ac:dyDescent="0.25">
      <c r="A150" s="99">
        <v>9</v>
      </c>
      <c r="B150" s="100" t="s">
        <v>120</v>
      </c>
      <c r="C150" s="97">
        <v>12167721</v>
      </c>
      <c r="D150" s="97">
        <v>12652143</v>
      </c>
      <c r="E150" s="97">
        <f t="shared" si="20"/>
        <v>484422</v>
      </c>
      <c r="F150" s="98">
        <f t="shared" si="21"/>
        <v>3.9812056834636497E-2</v>
      </c>
    </row>
    <row r="151" spans="1:6" ht="18" customHeight="1" x14ac:dyDescent="0.25">
      <c r="A151" s="99">
        <v>10</v>
      </c>
      <c r="B151" s="100" t="s">
        <v>121</v>
      </c>
      <c r="C151" s="97">
        <v>3883336</v>
      </c>
      <c r="D151" s="97">
        <v>3461648</v>
      </c>
      <c r="E151" s="97">
        <f t="shared" si="20"/>
        <v>-421688</v>
      </c>
      <c r="F151" s="98">
        <f t="shared" si="21"/>
        <v>-0.10858910998172705</v>
      </c>
    </row>
    <row r="152" spans="1:6" ht="18" customHeight="1" x14ac:dyDescent="0.25">
      <c r="A152" s="99">
        <v>11</v>
      </c>
      <c r="B152" s="100" t="s">
        <v>122</v>
      </c>
      <c r="C152" s="97">
        <v>252955</v>
      </c>
      <c r="D152" s="97">
        <v>217946</v>
      </c>
      <c r="E152" s="97">
        <f t="shared" si="20"/>
        <v>-35009</v>
      </c>
      <c r="F152" s="98">
        <f t="shared" si="21"/>
        <v>-0.138400110691625</v>
      </c>
    </row>
    <row r="153" spans="1:6" ht="33.75" customHeight="1" x14ac:dyDescent="0.25">
      <c r="A153" s="101"/>
      <c r="B153" s="102" t="s">
        <v>147</v>
      </c>
      <c r="C153" s="103">
        <f>SUM(C142:C152)</f>
        <v>67603805</v>
      </c>
      <c r="D153" s="103">
        <f>SUM(D142:D152)</f>
        <v>77617912</v>
      </c>
      <c r="E153" s="103">
        <f t="shared" si="20"/>
        <v>10014107</v>
      </c>
      <c r="F153" s="104">
        <f t="shared" si="21"/>
        <v>0.14812933976127526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2724306</v>
      </c>
      <c r="D155" s="97">
        <v>3143010</v>
      </c>
      <c r="E155" s="97">
        <f t="shared" ref="E155:E166" si="22">D155-C155</f>
        <v>418704</v>
      </c>
      <c r="F155" s="98">
        <f t="shared" ref="F155:F166" si="23">IF(C155=0,0,E155/C155)</f>
        <v>0.15369198614252583</v>
      </c>
    </row>
    <row r="156" spans="1:6" ht="18" customHeight="1" x14ac:dyDescent="0.25">
      <c r="A156" s="99">
        <v>2</v>
      </c>
      <c r="B156" s="100" t="s">
        <v>113</v>
      </c>
      <c r="C156" s="97">
        <v>987263</v>
      </c>
      <c r="D156" s="97">
        <v>1046117</v>
      </c>
      <c r="E156" s="97">
        <f t="shared" si="22"/>
        <v>58854</v>
      </c>
      <c r="F156" s="98">
        <f t="shared" si="23"/>
        <v>5.9613294532459941E-2</v>
      </c>
    </row>
    <row r="157" spans="1:6" ht="18" customHeight="1" x14ac:dyDescent="0.25">
      <c r="A157" s="99">
        <v>3</v>
      </c>
      <c r="B157" s="100" t="s">
        <v>114</v>
      </c>
      <c r="C157" s="97">
        <v>1204804</v>
      </c>
      <c r="D157" s="97">
        <v>1619364</v>
      </c>
      <c r="E157" s="97">
        <f t="shared" si="22"/>
        <v>414560</v>
      </c>
      <c r="F157" s="98">
        <f t="shared" si="23"/>
        <v>0.34408916305058745</v>
      </c>
    </row>
    <row r="158" spans="1:6" ht="18" customHeight="1" x14ac:dyDescent="0.25">
      <c r="A158" s="99">
        <v>4</v>
      </c>
      <c r="B158" s="100" t="s">
        <v>115</v>
      </c>
      <c r="C158" s="97">
        <v>2293984</v>
      </c>
      <c r="D158" s="97">
        <v>3174450</v>
      </c>
      <c r="E158" s="97">
        <f t="shared" si="22"/>
        <v>880466</v>
      </c>
      <c r="F158" s="98">
        <f t="shared" si="23"/>
        <v>0.38381523149246027</v>
      </c>
    </row>
    <row r="159" spans="1:6" ht="18" customHeight="1" x14ac:dyDescent="0.25">
      <c r="A159" s="99">
        <v>5</v>
      </c>
      <c r="B159" s="100" t="s">
        <v>116</v>
      </c>
      <c r="C159" s="97">
        <v>-49242</v>
      </c>
      <c r="D159" s="97">
        <v>65756</v>
      </c>
      <c r="E159" s="97">
        <f t="shared" si="22"/>
        <v>114998</v>
      </c>
      <c r="F159" s="98">
        <f t="shared" si="23"/>
        <v>-2.3353641200601114</v>
      </c>
    </row>
    <row r="160" spans="1:6" ht="18" customHeight="1" x14ac:dyDescent="0.25">
      <c r="A160" s="99">
        <v>6</v>
      </c>
      <c r="B160" s="100" t="s">
        <v>117</v>
      </c>
      <c r="C160" s="97">
        <v>5941407</v>
      </c>
      <c r="D160" s="97">
        <v>4438615</v>
      </c>
      <c r="E160" s="97">
        <f t="shared" si="22"/>
        <v>-1502792</v>
      </c>
      <c r="F160" s="98">
        <f t="shared" si="23"/>
        <v>-0.25293537372544922</v>
      </c>
    </row>
    <row r="161" spans="1:6" ht="18" customHeight="1" x14ac:dyDescent="0.25">
      <c r="A161" s="99">
        <v>7</v>
      </c>
      <c r="B161" s="100" t="s">
        <v>118</v>
      </c>
      <c r="C161" s="97">
        <v>7795105</v>
      </c>
      <c r="D161" s="97">
        <v>8660519</v>
      </c>
      <c r="E161" s="97">
        <f t="shared" si="22"/>
        <v>865414</v>
      </c>
      <c r="F161" s="98">
        <f t="shared" si="23"/>
        <v>0.1110201851033437</v>
      </c>
    </row>
    <row r="162" spans="1:6" ht="18" customHeight="1" x14ac:dyDescent="0.25">
      <c r="A162" s="99">
        <v>8</v>
      </c>
      <c r="B162" s="100" t="s">
        <v>119</v>
      </c>
      <c r="C162" s="97">
        <v>868982</v>
      </c>
      <c r="D162" s="97">
        <v>884529</v>
      </c>
      <c r="E162" s="97">
        <f t="shared" si="22"/>
        <v>15547</v>
      </c>
      <c r="F162" s="98">
        <f t="shared" si="23"/>
        <v>1.7891049526917703E-2</v>
      </c>
    </row>
    <row r="163" spans="1:6" ht="18" customHeight="1" x14ac:dyDescent="0.25">
      <c r="A163" s="99">
        <v>9</v>
      </c>
      <c r="B163" s="100" t="s">
        <v>120</v>
      </c>
      <c r="C163" s="97">
        <v>1788148</v>
      </c>
      <c r="D163" s="97">
        <v>1969363</v>
      </c>
      <c r="E163" s="97">
        <f t="shared" si="22"/>
        <v>181215</v>
      </c>
      <c r="F163" s="98">
        <f t="shared" si="23"/>
        <v>0.10134228262984943</v>
      </c>
    </row>
    <row r="164" spans="1:6" ht="18" customHeight="1" x14ac:dyDescent="0.25">
      <c r="A164" s="99">
        <v>10</v>
      </c>
      <c r="B164" s="100" t="s">
        <v>121</v>
      </c>
      <c r="C164" s="97">
        <v>480235</v>
      </c>
      <c r="D164" s="97">
        <v>189279</v>
      </c>
      <c r="E164" s="97">
        <f t="shared" si="22"/>
        <v>-290956</v>
      </c>
      <c r="F164" s="98">
        <f t="shared" si="23"/>
        <v>-0.60586171353608131</v>
      </c>
    </row>
    <row r="165" spans="1:6" ht="18" customHeight="1" x14ac:dyDescent="0.25">
      <c r="A165" s="99">
        <v>11</v>
      </c>
      <c r="B165" s="100" t="s">
        <v>122</v>
      </c>
      <c r="C165" s="97">
        <v>29322</v>
      </c>
      <c r="D165" s="97">
        <v>5505</v>
      </c>
      <c r="E165" s="97">
        <f t="shared" si="22"/>
        <v>-23817</v>
      </c>
      <c r="F165" s="98">
        <f t="shared" si="23"/>
        <v>-0.81225700838960513</v>
      </c>
    </row>
    <row r="166" spans="1:6" ht="33.75" customHeight="1" x14ac:dyDescent="0.25">
      <c r="A166" s="101"/>
      <c r="B166" s="102" t="s">
        <v>149</v>
      </c>
      <c r="C166" s="103">
        <f>SUM(C155:C165)</f>
        <v>24064314</v>
      </c>
      <c r="D166" s="103">
        <f>SUM(D155:D165)</f>
        <v>25196507</v>
      </c>
      <c r="E166" s="103">
        <f t="shared" si="22"/>
        <v>1132193</v>
      </c>
      <c r="F166" s="104">
        <f t="shared" si="23"/>
        <v>4.7048629767713304E-2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5774</v>
      </c>
      <c r="D168" s="117">
        <v>6490</v>
      </c>
      <c r="E168" s="117">
        <f t="shared" ref="E168:E179" si="24">D168-C168</f>
        <v>716</v>
      </c>
      <c r="F168" s="98">
        <f t="shared" ref="F168:F179" si="25">IF(C168=0,0,E168/C168)</f>
        <v>0.12400415656390718</v>
      </c>
    </row>
    <row r="169" spans="1:6" ht="18" customHeight="1" x14ac:dyDescent="0.25">
      <c r="A169" s="99">
        <v>2</v>
      </c>
      <c r="B169" s="100" t="s">
        <v>113</v>
      </c>
      <c r="C169" s="117">
        <v>2010</v>
      </c>
      <c r="D169" s="117">
        <v>2021</v>
      </c>
      <c r="E169" s="117">
        <f t="shared" si="24"/>
        <v>11</v>
      </c>
      <c r="F169" s="98">
        <f t="shared" si="25"/>
        <v>5.4726368159203984E-3</v>
      </c>
    </row>
    <row r="170" spans="1:6" ht="18" customHeight="1" x14ac:dyDescent="0.25">
      <c r="A170" s="99">
        <v>3</v>
      </c>
      <c r="B170" s="100" t="s">
        <v>114</v>
      </c>
      <c r="C170" s="117">
        <v>3516</v>
      </c>
      <c r="D170" s="117">
        <v>5232</v>
      </c>
      <c r="E170" s="117">
        <f t="shared" si="24"/>
        <v>1716</v>
      </c>
      <c r="F170" s="98">
        <f t="shared" si="25"/>
        <v>0.48805460750853241</v>
      </c>
    </row>
    <row r="171" spans="1:6" ht="18" customHeight="1" x14ac:dyDescent="0.25">
      <c r="A171" s="99">
        <v>4</v>
      </c>
      <c r="B171" s="100" t="s">
        <v>115</v>
      </c>
      <c r="C171" s="117">
        <v>7608</v>
      </c>
      <c r="D171" s="117">
        <v>10876</v>
      </c>
      <c r="E171" s="117">
        <f t="shared" si="24"/>
        <v>3268</v>
      </c>
      <c r="F171" s="98">
        <f t="shared" si="25"/>
        <v>0.42954784437434279</v>
      </c>
    </row>
    <row r="172" spans="1:6" ht="18" customHeight="1" x14ac:dyDescent="0.25">
      <c r="A172" s="99">
        <v>5</v>
      </c>
      <c r="B172" s="100" t="s">
        <v>116</v>
      </c>
      <c r="C172" s="117">
        <v>92</v>
      </c>
      <c r="D172" s="117">
        <v>100</v>
      </c>
      <c r="E172" s="117">
        <f t="shared" si="24"/>
        <v>8</v>
      </c>
      <c r="F172" s="98">
        <f t="shared" si="25"/>
        <v>8.6956521739130432E-2</v>
      </c>
    </row>
    <row r="173" spans="1:6" ht="18" customHeight="1" x14ac:dyDescent="0.25">
      <c r="A173" s="99">
        <v>6</v>
      </c>
      <c r="B173" s="100" t="s">
        <v>117</v>
      </c>
      <c r="C173" s="117">
        <v>8326</v>
      </c>
      <c r="D173" s="117">
        <v>6494</v>
      </c>
      <c r="E173" s="117">
        <f t="shared" si="24"/>
        <v>-1832</v>
      </c>
      <c r="F173" s="98">
        <f t="shared" si="25"/>
        <v>-0.22003362959404277</v>
      </c>
    </row>
    <row r="174" spans="1:6" ht="18" customHeight="1" x14ac:dyDescent="0.25">
      <c r="A174" s="99">
        <v>7</v>
      </c>
      <c r="B174" s="100" t="s">
        <v>118</v>
      </c>
      <c r="C174" s="117">
        <v>9220</v>
      </c>
      <c r="D174" s="117">
        <v>10178</v>
      </c>
      <c r="E174" s="117">
        <f t="shared" si="24"/>
        <v>958</v>
      </c>
      <c r="F174" s="98">
        <f t="shared" si="25"/>
        <v>0.10390455531453362</v>
      </c>
    </row>
    <row r="175" spans="1:6" ht="18" customHeight="1" x14ac:dyDescent="0.25">
      <c r="A175" s="99">
        <v>8</v>
      </c>
      <c r="B175" s="100" t="s">
        <v>119</v>
      </c>
      <c r="C175" s="117">
        <v>1048</v>
      </c>
      <c r="D175" s="117">
        <v>1068</v>
      </c>
      <c r="E175" s="117">
        <f t="shared" si="24"/>
        <v>20</v>
      </c>
      <c r="F175" s="98">
        <f t="shared" si="25"/>
        <v>1.9083969465648856E-2</v>
      </c>
    </row>
    <row r="176" spans="1:6" ht="18" customHeight="1" x14ac:dyDescent="0.25">
      <c r="A176" s="99">
        <v>9</v>
      </c>
      <c r="B176" s="100" t="s">
        <v>120</v>
      </c>
      <c r="C176" s="117">
        <v>9464</v>
      </c>
      <c r="D176" s="117">
        <v>9315</v>
      </c>
      <c r="E176" s="117">
        <f t="shared" si="24"/>
        <v>-149</v>
      </c>
      <c r="F176" s="98">
        <f t="shared" si="25"/>
        <v>-1.5743871513102282E-2</v>
      </c>
    </row>
    <row r="177" spans="1:6" ht="18" customHeight="1" x14ac:dyDescent="0.25">
      <c r="A177" s="99">
        <v>10</v>
      </c>
      <c r="B177" s="100" t="s">
        <v>121</v>
      </c>
      <c r="C177" s="117">
        <v>3169</v>
      </c>
      <c r="D177" s="117">
        <v>2776</v>
      </c>
      <c r="E177" s="117">
        <f t="shared" si="24"/>
        <v>-393</v>
      </c>
      <c r="F177" s="98">
        <f t="shared" si="25"/>
        <v>-0.12401388450615336</v>
      </c>
    </row>
    <row r="178" spans="1:6" ht="18" customHeight="1" x14ac:dyDescent="0.25">
      <c r="A178" s="99">
        <v>11</v>
      </c>
      <c r="B178" s="100" t="s">
        <v>122</v>
      </c>
      <c r="C178" s="117">
        <v>204</v>
      </c>
      <c r="D178" s="117">
        <v>210</v>
      </c>
      <c r="E178" s="117">
        <f t="shared" si="24"/>
        <v>6</v>
      </c>
      <c r="F178" s="98">
        <f t="shared" si="25"/>
        <v>2.9411764705882353E-2</v>
      </c>
    </row>
    <row r="179" spans="1:6" ht="33.75" customHeight="1" x14ac:dyDescent="0.25">
      <c r="A179" s="101"/>
      <c r="B179" s="102" t="s">
        <v>151</v>
      </c>
      <c r="C179" s="118">
        <f>SUM(C168:C178)</f>
        <v>50431</v>
      </c>
      <c r="D179" s="118">
        <f>SUM(D168:D178)</f>
        <v>54760</v>
      </c>
      <c r="E179" s="118">
        <f t="shared" si="24"/>
        <v>4329</v>
      </c>
      <c r="F179" s="104">
        <f t="shared" si="25"/>
        <v>8.5840058694057225E-2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3" fitToHeight="2" orientation="portrait" r:id="rId1"/>
  <headerFooter>
    <oddHeader>&amp;LOFFICE OF HEALTH CARE ACCESS&amp;CTWELVE MONTHS ACTUAL FILING&amp;RSAINT VINCENT`S MEDICAL CENTER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zoomScaleNormal="75" workbookViewId="0">
      <selection activeCell="A2" sqref="A2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3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59660307</v>
      </c>
      <c r="D15" s="146">
        <v>61447266</v>
      </c>
      <c r="E15" s="146">
        <f>+D15-C15</f>
        <v>1786959</v>
      </c>
      <c r="F15" s="150">
        <f>IF(C15=0,0,E15/C15)</f>
        <v>2.9952226025253274E-2</v>
      </c>
    </row>
    <row r="16" spans="1:7" ht="15" customHeight="1" x14ac:dyDescent="0.2">
      <c r="A16" s="141">
        <v>2</v>
      </c>
      <c r="B16" s="149" t="s">
        <v>158</v>
      </c>
      <c r="C16" s="146">
        <v>23691353</v>
      </c>
      <c r="D16" s="146">
        <v>14734157</v>
      </c>
      <c r="E16" s="146">
        <f>+D16-C16</f>
        <v>-8957196</v>
      </c>
      <c r="F16" s="150">
        <f>IF(C16=0,0,E16/C16)</f>
        <v>-0.37807870238563412</v>
      </c>
    </row>
    <row r="17" spans="1:7" ht="15" customHeight="1" x14ac:dyDescent="0.2">
      <c r="A17" s="141">
        <v>3</v>
      </c>
      <c r="B17" s="149" t="s">
        <v>159</v>
      </c>
      <c r="C17" s="146">
        <v>63525340</v>
      </c>
      <c r="D17" s="146">
        <v>66164577</v>
      </c>
      <c r="E17" s="146">
        <f>+D17-C17</f>
        <v>2639237</v>
      </c>
      <c r="F17" s="150">
        <f>IF(C17=0,0,E17/C17)</f>
        <v>4.1546208174564669E-2</v>
      </c>
    </row>
    <row r="18" spans="1:7" ht="15.75" customHeight="1" x14ac:dyDescent="0.25">
      <c r="A18" s="141"/>
      <c r="B18" s="151" t="s">
        <v>160</v>
      </c>
      <c r="C18" s="147">
        <f>SUM(C15:C17)</f>
        <v>146877000</v>
      </c>
      <c r="D18" s="147">
        <f>SUM(D15:D17)</f>
        <v>142346000</v>
      </c>
      <c r="E18" s="147">
        <f>+D18-C18</f>
        <v>-4531000</v>
      </c>
      <c r="F18" s="148">
        <f>IF(C18=0,0,E18/C18)</f>
        <v>-3.0848941631433105E-2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13620400</v>
      </c>
      <c r="D21" s="146">
        <v>16610102</v>
      </c>
      <c r="E21" s="146">
        <f>+D21-C21</f>
        <v>2989702</v>
      </c>
      <c r="F21" s="150">
        <f>IF(C21=0,0,E21/C21)</f>
        <v>0.21950177674664473</v>
      </c>
    </row>
    <row r="22" spans="1:7" ht="15" customHeight="1" x14ac:dyDescent="0.2">
      <c r="A22" s="141">
        <v>2</v>
      </c>
      <c r="B22" s="149" t="s">
        <v>163</v>
      </c>
      <c r="C22" s="146">
        <v>5408717</v>
      </c>
      <c r="D22" s="146">
        <v>3982860</v>
      </c>
      <c r="E22" s="146">
        <f>+D22-C22</f>
        <v>-1425857</v>
      </c>
      <c r="F22" s="150">
        <f>IF(C22=0,0,E22/C22)</f>
        <v>-0.26362203827636016</v>
      </c>
    </row>
    <row r="23" spans="1:7" ht="15" customHeight="1" x14ac:dyDescent="0.2">
      <c r="A23" s="141">
        <v>3</v>
      </c>
      <c r="B23" s="149" t="s">
        <v>164</v>
      </c>
      <c r="C23" s="146">
        <v>14502883</v>
      </c>
      <c r="D23" s="146">
        <v>17885038</v>
      </c>
      <c r="E23" s="146">
        <f>+D23-C23</f>
        <v>3382155</v>
      </c>
      <c r="F23" s="150">
        <f>IF(C23=0,0,E23/C23)</f>
        <v>0.23320570123885023</v>
      </c>
    </row>
    <row r="24" spans="1:7" ht="15.75" customHeight="1" x14ac:dyDescent="0.25">
      <c r="A24" s="141"/>
      <c r="B24" s="151" t="s">
        <v>165</v>
      </c>
      <c r="C24" s="147">
        <f>SUM(C21:C23)</f>
        <v>33532000</v>
      </c>
      <c r="D24" s="147">
        <f>SUM(D21:D23)</f>
        <v>38478000</v>
      </c>
      <c r="E24" s="147">
        <f>+D24-C24</f>
        <v>4946000</v>
      </c>
      <c r="F24" s="148">
        <f>IF(C24=0,0,E24/C24)</f>
        <v>0.14750089466778002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3112080</v>
      </c>
      <c r="D27" s="146">
        <v>969320</v>
      </c>
      <c r="E27" s="146">
        <f>+D27-C27</f>
        <v>-2142760</v>
      </c>
      <c r="F27" s="150">
        <f>IF(C27=0,0,E27/C27)</f>
        <v>-0.68852985784427134</v>
      </c>
    </row>
    <row r="28" spans="1:7" ht="15" customHeight="1" x14ac:dyDescent="0.2">
      <c r="A28" s="141">
        <v>2</v>
      </c>
      <c r="B28" s="149" t="s">
        <v>168</v>
      </c>
      <c r="C28" s="146">
        <v>2257000</v>
      </c>
      <c r="D28" s="146">
        <v>2362000</v>
      </c>
      <c r="E28" s="146">
        <f>+D28-C28</f>
        <v>105000</v>
      </c>
      <c r="F28" s="150">
        <f>IF(C28=0,0,E28/C28)</f>
        <v>4.652193176783341E-2</v>
      </c>
    </row>
    <row r="29" spans="1:7" ht="15" customHeight="1" x14ac:dyDescent="0.2">
      <c r="A29" s="141">
        <v>3</v>
      </c>
      <c r="B29" s="149" t="s">
        <v>169</v>
      </c>
      <c r="C29" s="146">
        <v>774258</v>
      </c>
      <c r="D29" s="146">
        <v>576059</v>
      </c>
      <c r="E29" s="146">
        <f>+D29-C29</f>
        <v>-198199</v>
      </c>
      <c r="F29" s="150">
        <f>IF(C29=0,0,E29/C29)</f>
        <v>-0.25598573085457305</v>
      </c>
    </row>
    <row r="30" spans="1:7" ht="15.75" customHeight="1" x14ac:dyDescent="0.25">
      <c r="A30" s="141"/>
      <c r="B30" s="151" t="s">
        <v>170</v>
      </c>
      <c r="C30" s="147">
        <f>SUM(C27:C29)</f>
        <v>6143338</v>
      </c>
      <c r="D30" s="147">
        <f>SUM(D27:D29)</f>
        <v>3907379</v>
      </c>
      <c r="E30" s="147">
        <f>+D30-C30</f>
        <v>-2235959</v>
      </c>
      <c r="F30" s="148">
        <f>IF(C30=0,0,E30/C30)</f>
        <v>-0.36396483475270286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36567269</v>
      </c>
      <c r="D33" s="146">
        <v>38482803</v>
      </c>
      <c r="E33" s="146">
        <f>+D33-C33</f>
        <v>1915534</v>
      </c>
      <c r="F33" s="150">
        <f>IF(C33=0,0,E33/C33)</f>
        <v>5.238384086052475E-2</v>
      </c>
    </row>
    <row r="34" spans="1:7" ht="15" customHeight="1" x14ac:dyDescent="0.2">
      <c r="A34" s="141">
        <v>2</v>
      </c>
      <c r="B34" s="149" t="s">
        <v>174</v>
      </c>
      <c r="C34" s="146">
        <v>14888731</v>
      </c>
      <c r="D34" s="146">
        <v>14894197</v>
      </c>
      <c r="E34" s="146">
        <f>+D34-C34</f>
        <v>5466</v>
      </c>
      <c r="F34" s="150">
        <f>IF(C34=0,0,E34/C34)</f>
        <v>3.6712329613584931E-4</v>
      </c>
    </row>
    <row r="35" spans="1:7" ht="15.75" customHeight="1" x14ac:dyDescent="0.25">
      <c r="A35" s="141"/>
      <c r="B35" s="151" t="s">
        <v>175</v>
      </c>
      <c r="C35" s="147">
        <f>SUM(C33:C34)</f>
        <v>51456000</v>
      </c>
      <c r="D35" s="147">
        <f>SUM(D33:D34)</f>
        <v>53377000</v>
      </c>
      <c r="E35" s="147">
        <f>+D35-C35</f>
        <v>1921000</v>
      </c>
      <c r="F35" s="148">
        <f>IF(C35=0,0,E35/C35)</f>
        <v>3.7332866915422883E-2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9092641</v>
      </c>
      <c r="D38" s="146">
        <v>10060379</v>
      </c>
      <c r="E38" s="146">
        <f>+D38-C38</f>
        <v>967738</v>
      </c>
      <c r="F38" s="150">
        <f>IF(C38=0,0,E38/C38)</f>
        <v>0.10643090384850783</v>
      </c>
    </row>
    <row r="39" spans="1:7" ht="15" customHeight="1" x14ac:dyDescent="0.2">
      <c r="A39" s="141">
        <v>2</v>
      </c>
      <c r="B39" s="149" t="s">
        <v>179</v>
      </c>
      <c r="C39" s="146">
        <v>9535359</v>
      </c>
      <c r="D39" s="146">
        <v>12054621</v>
      </c>
      <c r="E39" s="146">
        <f>+D39-C39</f>
        <v>2519262</v>
      </c>
      <c r="F39" s="150">
        <f>IF(C39=0,0,E39/C39)</f>
        <v>0.26420211341806848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18628000</v>
      </c>
      <c r="D41" s="147">
        <f>SUM(D38:D40)</f>
        <v>22115000</v>
      </c>
      <c r="E41" s="147">
        <f>+D41-C41</f>
        <v>3487000</v>
      </c>
      <c r="F41" s="148">
        <f>IF(C41=0,0,E41/C41)</f>
        <v>0.18719132488726647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21818000</v>
      </c>
      <c r="D44" s="146">
        <v>21127000</v>
      </c>
      <c r="E44" s="146">
        <f>+D44-C44</f>
        <v>-691000</v>
      </c>
      <c r="F44" s="150">
        <f>IF(C44=0,0,E44/C44)</f>
        <v>-3.1671097259143827E-2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678000</v>
      </c>
      <c r="D47" s="146">
        <v>2186000</v>
      </c>
      <c r="E47" s="146">
        <f>+D47-C47</f>
        <v>1508000</v>
      </c>
      <c r="F47" s="150">
        <f>IF(C47=0,0,E47/C47)</f>
        <v>2.224188790560472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4752000</v>
      </c>
      <c r="D50" s="146">
        <v>7005000</v>
      </c>
      <c r="E50" s="146">
        <f>+D50-C50</f>
        <v>2253000</v>
      </c>
      <c r="F50" s="150">
        <f>IF(C50=0,0,E50/C50)</f>
        <v>0.4741161616161616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324683</v>
      </c>
      <c r="D53" s="146">
        <v>380757</v>
      </c>
      <c r="E53" s="146">
        <f t="shared" ref="E53:E59" si="0">+D53-C53</f>
        <v>56074</v>
      </c>
      <c r="F53" s="150">
        <f t="shared" ref="F53:F59" si="1">IF(C53=0,0,E53/C53)</f>
        <v>0.17270383728128666</v>
      </c>
    </row>
    <row r="54" spans="1:7" ht="15" customHeight="1" x14ac:dyDescent="0.2">
      <c r="A54" s="141">
        <v>2</v>
      </c>
      <c r="B54" s="149" t="s">
        <v>193</v>
      </c>
      <c r="C54" s="146">
        <v>738920</v>
      </c>
      <c r="D54" s="146">
        <v>900350</v>
      </c>
      <c r="E54" s="146">
        <f t="shared" si="0"/>
        <v>161430</v>
      </c>
      <c r="F54" s="150">
        <f t="shared" si="1"/>
        <v>0.21846749309803498</v>
      </c>
    </row>
    <row r="55" spans="1:7" ht="15" customHeight="1" x14ac:dyDescent="0.2">
      <c r="A55" s="141">
        <v>3</v>
      </c>
      <c r="B55" s="149" t="s">
        <v>194</v>
      </c>
      <c r="C55" s="146">
        <v>664161</v>
      </c>
      <c r="D55" s="146">
        <v>353187</v>
      </c>
      <c r="E55" s="146">
        <f t="shared" si="0"/>
        <v>-310974</v>
      </c>
      <c r="F55" s="150">
        <f t="shared" si="1"/>
        <v>-0.46822080790651666</v>
      </c>
    </row>
    <row r="56" spans="1:7" ht="15" customHeight="1" x14ac:dyDescent="0.2">
      <c r="A56" s="141">
        <v>4</v>
      </c>
      <c r="B56" s="149" t="s">
        <v>195</v>
      </c>
      <c r="C56" s="146">
        <v>3574130</v>
      </c>
      <c r="D56" s="146">
        <v>3365047</v>
      </c>
      <c r="E56" s="146">
        <f t="shared" si="0"/>
        <v>-209083</v>
      </c>
      <c r="F56" s="150">
        <f t="shared" si="1"/>
        <v>-5.849899136293308E-2</v>
      </c>
    </row>
    <row r="57" spans="1:7" ht="15" customHeight="1" x14ac:dyDescent="0.2">
      <c r="A57" s="141">
        <v>5</v>
      </c>
      <c r="B57" s="149" t="s">
        <v>196</v>
      </c>
      <c r="C57" s="146">
        <v>1645332</v>
      </c>
      <c r="D57" s="146">
        <v>746719</v>
      </c>
      <c r="E57" s="146">
        <f t="shared" si="0"/>
        <v>-898613</v>
      </c>
      <c r="F57" s="150">
        <f t="shared" si="1"/>
        <v>-0.54615907306245792</v>
      </c>
    </row>
    <row r="58" spans="1:7" ht="15" customHeight="1" x14ac:dyDescent="0.2">
      <c r="A58" s="141">
        <v>6</v>
      </c>
      <c r="B58" s="149" t="s">
        <v>197</v>
      </c>
      <c r="C58" s="146">
        <v>45275</v>
      </c>
      <c r="D58" s="146">
        <v>44706</v>
      </c>
      <c r="E58" s="146">
        <f t="shared" si="0"/>
        <v>-569</v>
      </c>
      <c r="F58" s="150">
        <f t="shared" si="1"/>
        <v>-1.2567642186637216E-2</v>
      </c>
    </row>
    <row r="59" spans="1:7" ht="15.75" customHeight="1" x14ac:dyDescent="0.25">
      <c r="A59" s="141"/>
      <c r="B59" s="151" t="s">
        <v>198</v>
      </c>
      <c r="C59" s="147">
        <f>SUM(C53:C58)</f>
        <v>6992501</v>
      </c>
      <c r="D59" s="147">
        <f>SUM(D53:D58)</f>
        <v>5790766</v>
      </c>
      <c r="E59" s="147">
        <f t="shared" si="0"/>
        <v>-1201735</v>
      </c>
      <c r="F59" s="148">
        <f t="shared" si="1"/>
        <v>-0.17186054031311543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370149</v>
      </c>
      <c r="D62" s="146">
        <v>329525</v>
      </c>
      <c r="E62" s="146">
        <f t="shared" ref="E62:E78" si="2">+D62-C62</f>
        <v>-40624</v>
      </c>
      <c r="F62" s="150">
        <f t="shared" ref="F62:F78" si="3">IF(C62=0,0,E62/C62)</f>
        <v>-0.1097503978127727</v>
      </c>
    </row>
    <row r="63" spans="1:7" ht="15" customHeight="1" x14ac:dyDescent="0.2">
      <c r="A63" s="141">
        <v>2</v>
      </c>
      <c r="B63" s="149" t="s">
        <v>202</v>
      </c>
      <c r="C63" s="146">
        <v>801028</v>
      </c>
      <c r="D63" s="146">
        <v>1161429</v>
      </c>
      <c r="E63" s="146">
        <f t="shared" si="2"/>
        <v>360401</v>
      </c>
      <c r="F63" s="150">
        <f t="shared" si="3"/>
        <v>0.44992309881801884</v>
      </c>
    </row>
    <row r="64" spans="1:7" ht="15" customHeight="1" x14ac:dyDescent="0.2">
      <c r="A64" s="141">
        <v>3</v>
      </c>
      <c r="B64" s="149" t="s">
        <v>203</v>
      </c>
      <c r="C64" s="146">
        <v>1379107</v>
      </c>
      <c r="D64" s="146">
        <v>1103284</v>
      </c>
      <c r="E64" s="146">
        <f t="shared" si="2"/>
        <v>-275823</v>
      </c>
      <c r="F64" s="150">
        <f t="shared" si="3"/>
        <v>-0.20000116017103822</v>
      </c>
    </row>
    <row r="65" spans="1:7" ht="15" customHeight="1" x14ac:dyDescent="0.2">
      <c r="A65" s="141">
        <v>4</v>
      </c>
      <c r="B65" s="149" t="s">
        <v>204</v>
      </c>
      <c r="C65" s="146">
        <v>772294</v>
      </c>
      <c r="D65" s="146">
        <v>855242</v>
      </c>
      <c r="E65" s="146">
        <f t="shared" si="2"/>
        <v>82948</v>
      </c>
      <c r="F65" s="150">
        <f t="shared" si="3"/>
        <v>0.10740469303141031</v>
      </c>
    </row>
    <row r="66" spans="1:7" ht="15" customHeight="1" x14ac:dyDescent="0.2">
      <c r="A66" s="141">
        <v>5</v>
      </c>
      <c r="B66" s="149" t="s">
        <v>205</v>
      </c>
      <c r="C66" s="146">
        <v>1223383</v>
      </c>
      <c r="D66" s="146">
        <v>1019926</v>
      </c>
      <c r="E66" s="146">
        <f t="shared" si="2"/>
        <v>-203457</v>
      </c>
      <c r="F66" s="150">
        <f t="shared" si="3"/>
        <v>-0.16630687200982849</v>
      </c>
    </row>
    <row r="67" spans="1:7" ht="15" customHeight="1" x14ac:dyDescent="0.2">
      <c r="A67" s="141">
        <v>6</v>
      </c>
      <c r="B67" s="149" t="s">
        <v>206</v>
      </c>
      <c r="C67" s="146">
        <v>1872827</v>
      </c>
      <c r="D67" s="146">
        <v>2044747</v>
      </c>
      <c r="E67" s="146">
        <f t="shared" si="2"/>
        <v>171920</v>
      </c>
      <c r="F67" s="150">
        <f t="shared" si="3"/>
        <v>9.1797053331674525E-2</v>
      </c>
    </row>
    <row r="68" spans="1:7" ht="15" customHeight="1" x14ac:dyDescent="0.2">
      <c r="A68" s="141">
        <v>7</v>
      </c>
      <c r="B68" s="149" t="s">
        <v>207</v>
      </c>
      <c r="C68" s="146">
        <v>2328141</v>
      </c>
      <c r="D68" s="146">
        <v>2430592</v>
      </c>
      <c r="E68" s="146">
        <f t="shared" si="2"/>
        <v>102451</v>
      </c>
      <c r="F68" s="150">
        <f t="shared" si="3"/>
        <v>4.4005496230683623E-2</v>
      </c>
    </row>
    <row r="69" spans="1:7" ht="15" customHeight="1" x14ac:dyDescent="0.2">
      <c r="A69" s="141">
        <v>8</v>
      </c>
      <c r="B69" s="149" t="s">
        <v>208</v>
      </c>
      <c r="C69" s="146">
        <v>629984</v>
      </c>
      <c r="D69" s="146">
        <v>164331</v>
      </c>
      <c r="E69" s="146">
        <f t="shared" si="2"/>
        <v>-465653</v>
      </c>
      <c r="F69" s="150">
        <f t="shared" si="3"/>
        <v>-0.73915051810839638</v>
      </c>
    </row>
    <row r="70" spans="1:7" ht="15" customHeight="1" x14ac:dyDescent="0.2">
      <c r="A70" s="141">
        <v>9</v>
      </c>
      <c r="B70" s="149" t="s">
        <v>209</v>
      </c>
      <c r="C70" s="146">
        <v>262472</v>
      </c>
      <c r="D70" s="146">
        <v>165222</v>
      </c>
      <c r="E70" s="146">
        <f t="shared" si="2"/>
        <v>-97250</v>
      </c>
      <c r="F70" s="150">
        <f t="shared" si="3"/>
        <v>-0.3705157121521534</v>
      </c>
    </row>
    <row r="71" spans="1:7" ht="15" customHeight="1" x14ac:dyDescent="0.2">
      <c r="A71" s="141">
        <v>10</v>
      </c>
      <c r="B71" s="149" t="s">
        <v>210</v>
      </c>
      <c r="C71" s="146">
        <v>259879</v>
      </c>
      <c r="D71" s="146">
        <v>404521</v>
      </c>
      <c r="E71" s="146">
        <f t="shared" si="2"/>
        <v>144642</v>
      </c>
      <c r="F71" s="150">
        <f t="shared" si="3"/>
        <v>0.55657440578115203</v>
      </c>
    </row>
    <row r="72" spans="1:7" ht="15" customHeight="1" x14ac:dyDescent="0.2">
      <c r="A72" s="141">
        <v>11</v>
      </c>
      <c r="B72" s="149" t="s">
        <v>211</v>
      </c>
      <c r="C72" s="146">
        <v>138179</v>
      </c>
      <c r="D72" s="146">
        <v>213353</v>
      </c>
      <c r="E72" s="146">
        <f t="shared" si="2"/>
        <v>75174</v>
      </c>
      <c r="F72" s="150">
        <f t="shared" si="3"/>
        <v>0.54403346384038098</v>
      </c>
    </row>
    <row r="73" spans="1:7" ht="15" customHeight="1" x14ac:dyDescent="0.2">
      <c r="A73" s="141">
        <v>12</v>
      </c>
      <c r="B73" s="149" t="s">
        <v>212</v>
      </c>
      <c r="C73" s="146">
        <v>8572041</v>
      </c>
      <c r="D73" s="146">
        <v>8446392</v>
      </c>
      <c r="E73" s="146">
        <f t="shared" si="2"/>
        <v>-125649</v>
      </c>
      <c r="F73" s="150">
        <f t="shared" si="3"/>
        <v>-1.4658002685708106E-2</v>
      </c>
    </row>
    <row r="74" spans="1:7" ht="15" customHeight="1" x14ac:dyDescent="0.2">
      <c r="A74" s="141">
        <v>13</v>
      </c>
      <c r="B74" s="149" t="s">
        <v>213</v>
      </c>
      <c r="C74" s="146">
        <v>304605</v>
      </c>
      <c r="D74" s="146">
        <v>295000</v>
      </c>
      <c r="E74" s="146">
        <f t="shared" si="2"/>
        <v>-9605</v>
      </c>
      <c r="F74" s="150">
        <f t="shared" si="3"/>
        <v>-3.1532640632950873E-2</v>
      </c>
    </row>
    <row r="75" spans="1:7" ht="15" customHeight="1" x14ac:dyDescent="0.2">
      <c r="A75" s="141">
        <v>14</v>
      </c>
      <c r="B75" s="149" t="s">
        <v>214</v>
      </c>
      <c r="C75" s="146">
        <v>564868</v>
      </c>
      <c r="D75" s="146">
        <v>250803</v>
      </c>
      <c r="E75" s="146">
        <f t="shared" si="2"/>
        <v>-314065</v>
      </c>
      <c r="F75" s="150">
        <f t="shared" si="3"/>
        <v>-0.5559971533172352</v>
      </c>
    </row>
    <row r="76" spans="1:7" ht="15" customHeight="1" x14ac:dyDescent="0.2">
      <c r="A76" s="141">
        <v>15</v>
      </c>
      <c r="B76" s="149" t="s">
        <v>215</v>
      </c>
      <c r="C76" s="146">
        <v>1797738</v>
      </c>
      <c r="D76" s="146">
        <v>2007664</v>
      </c>
      <c r="E76" s="146">
        <f t="shared" si="2"/>
        <v>209926</v>
      </c>
      <c r="F76" s="150">
        <f t="shared" si="3"/>
        <v>0.11677229941181641</v>
      </c>
    </row>
    <row r="77" spans="1:7" ht="15" customHeight="1" x14ac:dyDescent="0.2">
      <c r="A77" s="141">
        <v>16</v>
      </c>
      <c r="B77" s="149" t="s">
        <v>216</v>
      </c>
      <c r="C77" s="146">
        <v>29833466</v>
      </c>
      <c r="D77" s="146">
        <v>34588824</v>
      </c>
      <c r="E77" s="146">
        <f t="shared" si="2"/>
        <v>4755358</v>
      </c>
      <c r="F77" s="150">
        <f t="shared" si="3"/>
        <v>0.15939676603449293</v>
      </c>
    </row>
    <row r="78" spans="1:7" ht="15.75" customHeight="1" x14ac:dyDescent="0.25">
      <c r="A78" s="141"/>
      <c r="B78" s="151" t="s">
        <v>217</v>
      </c>
      <c r="C78" s="147">
        <f>SUM(C62:C77)</f>
        <v>51110161</v>
      </c>
      <c r="D78" s="147">
        <f>SUM(D62:D77)</f>
        <v>55480855</v>
      </c>
      <c r="E78" s="147">
        <f t="shared" si="2"/>
        <v>4370694</v>
      </c>
      <c r="F78" s="148">
        <f t="shared" si="3"/>
        <v>8.5515167913480059E-2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341987000</v>
      </c>
      <c r="D83" s="147">
        <f>+D81+D78+D59+D50+D47+D44+D41+D35+D30+D24+D18</f>
        <v>351813000</v>
      </c>
      <c r="E83" s="147">
        <f>+D83-C83</f>
        <v>9826000</v>
      </c>
      <c r="F83" s="148">
        <f>IF(C83=0,0,E83/C83)</f>
        <v>2.8732086307374258E-2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69015114</v>
      </c>
      <c r="D91" s="146">
        <v>75288931</v>
      </c>
      <c r="E91" s="146">
        <f t="shared" ref="E91:E109" si="4">D91-C91</f>
        <v>6273817</v>
      </c>
      <c r="F91" s="150">
        <f t="shared" ref="F91:F109" si="5">IF(C91=0,0,E91/C91)</f>
        <v>9.0904971916731164E-2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2247475</v>
      </c>
      <c r="D92" s="146">
        <v>1869774</v>
      </c>
      <c r="E92" s="146">
        <f t="shared" si="4"/>
        <v>-377701</v>
      </c>
      <c r="F92" s="150">
        <f t="shared" si="5"/>
        <v>-0.16805570696003291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4484398</v>
      </c>
      <c r="D93" s="146">
        <v>4338070</v>
      </c>
      <c r="E93" s="146">
        <f t="shared" si="4"/>
        <v>-146328</v>
      </c>
      <c r="F93" s="150">
        <f t="shared" si="5"/>
        <v>-3.2630466787292298E-2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1894008</v>
      </c>
      <c r="D94" s="146">
        <v>2230865</v>
      </c>
      <c r="E94" s="146">
        <f t="shared" si="4"/>
        <v>336857</v>
      </c>
      <c r="F94" s="150">
        <f t="shared" si="5"/>
        <v>0.17785405341476909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11142108</v>
      </c>
      <c r="D95" s="146">
        <v>12732438</v>
      </c>
      <c r="E95" s="146">
        <f t="shared" si="4"/>
        <v>1590330</v>
      </c>
      <c r="F95" s="150">
        <f t="shared" si="5"/>
        <v>0.14273151902674072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1849064</v>
      </c>
      <c r="D96" s="146">
        <v>1726448</v>
      </c>
      <c r="E96" s="146">
        <f t="shared" si="4"/>
        <v>-122616</v>
      </c>
      <c r="F96" s="150">
        <f t="shared" si="5"/>
        <v>-6.631246944399978E-2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36005085</v>
      </c>
      <c r="D97" s="146">
        <v>41205860</v>
      </c>
      <c r="E97" s="146">
        <f t="shared" si="4"/>
        <v>5200775</v>
      </c>
      <c r="F97" s="150">
        <f t="shared" si="5"/>
        <v>0.14444556928556063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2297549</v>
      </c>
      <c r="D98" s="146">
        <v>2728247</v>
      </c>
      <c r="E98" s="146">
        <f t="shared" si="4"/>
        <v>430698</v>
      </c>
      <c r="F98" s="150">
        <f t="shared" si="5"/>
        <v>0.18745976690812688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496496</v>
      </c>
      <c r="D99" s="146">
        <v>510959</v>
      </c>
      <c r="E99" s="146">
        <f t="shared" si="4"/>
        <v>14463</v>
      </c>
      <c r="F99" s="150">
        <f t="shared" si="5"/>
        <v>2.9130144049498888E-2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5585231</v>
      </c>
      <c r="D100" s="146">
        <v>5659622</v>
      </c>
      <c r="E100" s="146">
        <f t="shared" si="4"/>
        <v>74391</v>
      </c>
      <c r="F100" s="150">
        <f t="shared" si="5"/>
        <v>1.3319234244742966E-2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3432080</v>
      </c>
      <c r="D101" s="146">
        <v>3716772</v>
      </c>
      <c r="E101" s="146">
        <f t="shared" si="4"/>
        <v>284692</v>
      </c>
      <c r="F101" s="150">
        <f t="shared" si="5"/>
        <v>8.295028087923359E-2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1242642</v>
      </c>
      <c r="D102" s="146">
        <v>1144203</v>
      </c>
      <c r="E102" s="146">
        <f t="shared" si="4"/>
        <v>-98439</v>
      </c>
      <c r="F102" s="150">
        <f t="shared" si="5"/>
        <v>-7.9217505926888032E-2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6557428</v>
      </c>
      <c r="D103" s="146">
        <v>6050024</v>
      </c>
      <c r="E103" s="146">
        <f t="shared" si="4"/>
        <v>-507404</v>
      </c>
      <c r="F103" s="150">
        <f t="shared" si="5"/>
        <v>-7.7378508768986859E-2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1454820</v>
      </c>
      <c r="D104" s="146">
        <v>1549877</v>
      </c>
      <c r="E104" s="146">
        <f t="shared" si="4"/>
        <v>95057</v>
      </c>
      <c r="F104" s="150">
        <f t="shared" si="5"/>
        <v>6.533935469680098E-2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5743669</v>
      </c>
      <c r="D105" s="146">
        <v>6380478</v>
      </c>
      <c r="E105" s="146">
        <f t="shared" si="4"/>
        <v>636809</v>
      </c>
      <c r="F105" s="150">
        <f t="shared" si="5"/>
        <v>0.11087146560848127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909372</v>
      </c>
      <c r="D106" s="146">
        <v>1087676</v>
      </c>
      <c r="E106" s="146">
        <f t="shared" si="4"/>
        <v>178304</v>
      </c>
      <c r="F106" s="150">
        <f t="shared" si="5"/>
        <v>0.19607377398908257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19404327</v>
      </c>
      <c r="D107" s="146">
        <v>19561346</v>
      </c>
      <c r="E107" s="146">
        <f t="shared" si="4"/>
        <v>157019</v>
      </c>
      <c r="F107" s="150">
        <f t="shared" si="5"/>
        <v>8.0919580462646291E-3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173760866</v>
      </c>
      <c r="D109" s="147">
        <f>SUM(D91:D108)</f>
        <v>187781590</v>
      </c>
      <c r="E109" s="147">
        <f t="shared" si="4"/>
        <v>14020724</v>
      </c>
      <c r="F109" s="148">
        <f t="shared" si="5"/>
        <v>8.0689768201316403E-2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803512</v>
      </c>
      <c r="D112" s="146">
        <v>620576</v>
      </c>
      <c r="E112" s="146">
        <f t="shared" ref="E112:E118" si="6">D112-C112</f>
        <v>-182936</v>
      </c>
      <c r="F112" s="150">
        <f t="shared" ref="F112:F118" si="7">IF(C112=0,0,E112/C112)</f>
        <v>-0.22767052638915161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5122664</v>
      </c>
      <c r="D113" s="146">
        <v>5161996</v>
      </c>
      <c r="E113" s="146">
        <f t="shared" si="6"/>
        <v>39332</v>
      </c>
      <c r="F113" s="150">
        <f t="shared" si="7"/>
        <v>7.6780362717523542E-3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2538730</v>
      </c>
      <c r="D114" s="146">
        <v>2625219</v>
      </c>
      <c r="E114" s="146">
        <f t="shared" si="6"/>
        <v>86489</v>
      </c>
      <c r="F114" s="150">
        <f t="shared" si="7"/>
        <v>3.406782131223092E-2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2437846</v>
      </c>
      <c r="D115" s="146">
        <v>2828182</v>
      </c>
      <c r="E115" s="146">
        <f t="shared" si="6"/>
        <v>390336</v>
      </c>
      <c r="F115" s="150">
        <f t="shared" si="7"/>
        <v>0.16011511801811928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647010</v>
      </c>
      <c r="D116" s="146">
        <v>699485</v>
      </c>
      <c r="E116" s="146">
        <f t="shared" si="6"/>
        <v>52475</v>
      </c>
      <c r="F116" s="150">
        <f t="shared" si="7"/>
        <v>8.1103846926631737E-2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11549762</v>
      </c>
      <c r="D118" s="147">
        <f>SUM(D112:D117)</f>
        <v>11935458</v>
      </c>
      <c r="E118" s="147">
        <f t="shared" si="6"/>
        <v>385696</v>
      </c>
      <c r="F118" s="148">
        <f t="shared" si="7"/>
        <v>3.3394281198175342E-2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24838097</v>
      </c>
      <c r="D121" s="146">
        <v>23022201</v>
      </c>
      <c r="E121" s="146">
        <f t="shared" ref="E121:E155" si="8">D121-C121</f>
        <v>-1815896</v>
      </c>
      <c r="F121" s="150">
        <f t="shared" ref="F121:F155" si="9">IF(C121=0,0,E121/C121)</f>
        <v>-7.3109304629899785E-2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1836024</v>
      </c>
      <c r="D122" s="146">
        <v>1798981</v>
      </c>
      <c r="E122" s="146">
        <f t="shared" si="8"/>
        <v>-37043</v>
      </c>
      <c r="F122" s="150">
        <f t="shared" si="9"/>
        <v>-2.0175662191779627E-2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1073593</v>
      </c>
      <c r="D123" s="146">
        <v>1215286</v>
      </c>
      <c r="E123" s="146">
        <f t="shared" si="8"/>
        <v>141693</v>
      </c>
      <c r="F123" s="150">
        <f t="shared" si="9"/>
        <v>0.1319801824341254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3684015</v>
      </c>
      <c r="D125" s="146">
        <v>3662275</v>
      </c>
      <c r="E125" s="146">
        <f t="shared" si="8"/>
        <v>-21740</v>
      </c>
      <c r="F125" s="150">
        <f t="shared" si="9"/>
        <v>-5.9011703263966084E-3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538845</v>
      </c>
      <c r="D126" s="146">
        <v>578077</v>
      </c>
      <c r="E126" s="146">
        <f t="shared" si="8"/>
        <v>39232</v>
      </c>
      <c r="F126" s="150">
        <f t="shared" si="9"/>
        <v>7.2807579173973958E-2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1140174</v>
      </c>
      <c r="D127" s="146">
        <v>1554960</v>
      </c>
      <c r="E127" s="146">
        <f t="shared" si="8"/>
        <v>414786</v>
      </c>
      <c r="F127" s="150">
        <f t="shared" si="9"/>
        <v>0.36379184229775458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461903</v>
      </c>
      <c r="D128" s="146">
        <v>501416</v>
      </c>
      <c r="E128" s="146">
        <f t="shared" si="8"/>
        <v>39513</v>
      </c>
      <c r="F128" s="150">
        <f t="shared" si="9"/>
        <v>8.5543934549028686E-2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1198375</v>
      </c>
      <c r="D129" s="146">
        <v>1264538</v>
      </c>
      <c r="E129" s="146">
        <f t="shared" si="8"/>
        <v>66163</v>
      </c>
      <c r="F129" s="150">
        <f t="shared" si="9"/>
        <v>5.5210597684364246E-2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6742835</v>
      </c>
      <c r="D130" s="146">
        <v>7064706</v>
      </c>
      <c r="E130" s="146">
        <f t="shared" si="8"/>
        <v>321871</v>
      </c>
      <c r="F130" s="150">
        <f t="shared" si="9"/>
        <v>4.7735262689951631E-2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3641754</v>
      </c>
      <c r="D131" s="146">
        <v>3274476</v>
      </c>
      <c r="E131" s="146">
        <f t="shared" si="8"/>
        <v>-367278</v>
      </c>
      <c r="F131" s="150">
        <f t="shared" si="9"/>
        <v>-0.10085195210879153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1469938</v>
      </c>
      <c r="D133" s="146">
        <v>1410314</v>
      </c>
      <c r="E133" s="146">
        <f t="shared" si="8"/>
        <v>-59624</v>
      </c>
      <c r="F133" s="150">
        <f t="shared" si="9"/>
        <v>-4.056225500667375E-2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43080</v>
      </c>
      <c r="D134" s="146">
        <v>30247</v>
      </c>
      <c r="E134" s="146">
        <f t="shared" si="8"/>
        <v>-12833</v>
      </c>
      <c r="F134" s="150">
        <f t="shared" si="9"/>
        <v>-0.29788765088207986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466212</v>
      </c>
      <c r="D135" s="146">
        <v>460690</v>
      </c>
      <c r="E135" s="146">
        <f t="shared" si="8"/>
        <v>-5522</v>
      </c>
      <c r="F135" s="150">
        <f t="shared" si="9"/>
        <v>-1.1844396969618972E-2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2458587</v>
      </c>
      <c r="D138" s="146">
        <v>2595608</v>
      </c>
      <c r="E138" s="146">
        <f t="shared" si="8"/>
        <v>137021</v>
      </c>
      <c r="F138" s="150">
        <f t="shared" si="9"/>
        <v>5.5731605186230951E-2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367609</v>
      </c>
      <c r="D139" s="146">
        <v>400938</v>
      </c>
      <c r="E139" s="146">
        <f t="shared" si="8"/>
        <v>33329</v>
      </c>
      <c r="F139" s="150">
        <f t="shared" si="9"/>
        <v>9.0664265564771265E-2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376576</v>
      </c>
      <c r="D140" s="146">
        <v>388530</v>
      </c>
      <c r="E140" s="146">
        <f t="shared" si="8"/>
        <v>11954</v>
      </c>
      <c r="F140" s="150">
        <f t="shared" si="9"/>
        <v>3.1743924201223656E-2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890033</v>
      </c>
      <c r="D143" s="146">
        <v>1184332</v>
      </c>
      <c r="E143" s="146">
        <f t="shared" si="8"/>
        <v>294299</v>
      </c>
      <c r="F143" s="150">
        <f t="shared" si="9"/>
        <v>0.3306607732522277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12795817</v>
      </c>
      <c r="D144" s="146">
        <v>11543354</v>
      </c>
      <c r="E144" s="146">
        <f t="shared" si="8"/>
        <v>-1252463</v>
      </c>
      <c r="F144" s="150">
        <f t="shared" si="9"/>
        <v>-9.7880658968473838E-2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450428</v>
      </c>
      <c r="D145" s="146">
        <v>472394</v>
      </c>
      <c r="E145" s="146">
        <f t="shared" si="8"/>
        <v>21966</v>
      </c>
      <c r="F145" s="150">
        <f t="shared" si="9"/>
        <v>4.8766950544815155E-2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480400</v>
      </c>
      <c r="D146" s="146">
        <v>381739</v>
      </c>
      <c r="E146" s="146">
        <f t="shared" si="8"/>
        <v>-98661</v>
      </c>
      <c r="F146" s="150">
        <f t="shared" si="9"/>
        <v>-0.20537260616153205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1169057</v>
      </c>
      <c r="D148" s="146">
        <v>1153444</v>
      </c>
      <c r="E148" s="146">
        <f t="shared" si="8"/>
        <v>-15613</v>
      </c>
      <c r="F148" s="150">
        <f t="shared" si="9"/>
        <v>-1.3355208514212737E-2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12596449</v>
      </c>
      <c r="D151" s="146">
        <v>12138003</v>
      </c>
      <c r="E151" s="146">
        <f t="shared" si="8"/>
        <v>-458446</v>
      </c>
      <c r="F151" s="150">
        <f t="shared" si="9"/>
        <v>-3.6394860170513132E-2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1082831</v>
      </c>
      <c r="D152" s="146">
        <v>1032060</v>
      </c>
      <c r="E152" s="146">
        <f t="shared" si="8"/>
        <v>-50771</v>
      </c>
      <c r="F152" s="150">
        <f t="shared" si="9"/>
        <v>-4.6887279732479033E-2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2853530</v>
      </c>
      <c r="D154" s="146">
        <v>3061050</v>
      </c>
      <c r="E154" s="146">
        <f t="shared" si="8"/>
        <v>207520</v>
      </c>
      <c r="F154" s="150">
        <f t="shared" si="9"/>
        <v>7.2723959446720374E-2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82656162</v>
      </c>
      <c r="D155" s="147">
        <f>SUM(D121:D154)</f>
        <v>80189619</v>
      </c>
      <c r="E155" s="147">
        <f t="shared" si="8"/>
        <v>-2466543</v>
      </c>
      <c r="F155" s="148">
        <f t="shared" si="9"/>
        <v>-2.9841005683278639E-2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38520770</v>
      </c>
      <c r="D158" s="146">
        <v>35737665</v>
      </c>
      <c r="E158" s="146">
        <f t="shared" ref="E158:E171" si="10">D158-C158</f>
        <v>-2783105</v>
      </c>
      <c r="F158" s="150">
        <f t="shared" ref="F158:F171" si="11">IF(C158=0,0,E158/C158)</f>
        <v>-7.2249464379865722E-2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7371651</v>
      </c>
      <c r="D159" s="146">
        <v>8523139</v>
      </c>
      <c r="E159" s="146">
        <f t="shared" si="10"/>
        <v>1151488</v>
      </c>
      <c r="F159" s="150">
        <f t="shared" si="11"/>
        <v>0.15620489901108991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7741565</v>
      </c>
      <c r="D161" s="146">
        <v>7945856</v>
      </c>
      <c r="E161" s="146">
        <f t="shared" si="10"/>
        <v>204291</v>
      </c>
      <c r="F161" s="150">
        <f t="shared" si="11"/>
        <v>2.6388850316441184E-2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3219892</v>
      </c>
      <c r="D163" s="146">
        <v>3601215</v>
      </c>
      <c r="E163" s="146">
        <f t="shared" si="10"/>
        <v>381323</v>
      </c>
      <c r="F163" s="150">
        <f t="shared" si="11"/>
        <v>0.11842726402003545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1081209</v>
      </c>
      <c r="D164" s="146">
        <v>1306824</v>
      </c>
      <c r="E164" s="146">
        <f t="shared" si="10"/>
        <v>225615</v>
      </c>
      <c r="F164" s="150">
        <f t="shared" si="11"/>
        <v>0.20866918421877731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2076605</v>
      </c>
      <c r="D166" s="146">
        <v>2117328</v>
      </c>
      <c r="E166" s="146">
        <f t="shared" si="10"/>
        <v>40723</v>
      </c>
      <c r="F166" s="150">
        <f t="shared" si="11"/>
        <v>1.961037366278132E-2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5885892</v>
      </c>
      <c r="D167" s="146">
        <v>6158205</v>
      </c>
      <c r="E167" s="146">
        <f t="shared" si="10"/>
        <v>272313</v>
      </c>
      <c r="F167" s="150">
        <f t="shared" si="11"/>
        <v>4.6265374899845259E-2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7927594</v>
      </c>
      <c r="D169" s="146">
        <v>6279381</v>
      </c>
      <c r="E169" s="146">
        <f t="shared" si="10"/>
        <v>-1648213</v>
      </c>
      <c r="F169" s="150">
        <f t="shared" si="11"/>
        <v>-0.20790835151245132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73825178</v>
      </c>
      <c r="D171" s="147">
        <f>SUM(D158:D170)</f>
        <v>71669613</v>
      </c>
      <c r="E171" s="147">
        <f t="shared" si="10"/>
        <v>-2155565</v>
      </c>
      <c r="F171" s="148">
        <f t="shared" si="11"/>
        <v>-2.9198236406554955E-2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195032</v>
      </c>
      <c r="D174" s="146">
        <v>236720</v>
      </c>
      <c r="E174" s="146">
        <f>D174-C174</f>
        <v>41688</v>
      </c>
      <c r="F174" s="150">
        <f>IF(C174=0,0,E174/C174)</f>
        <v>0.21374953853726569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341987000</v>
      </c>
      <c r="D176" s="147">
        <f>+D174+D171+D155+D118+D109</f>
        <v>351813000</v>
      </c>
      <c r="E176" s="147">
        <f>D176-C176</f>
        <v>9826000</v>
      </c>
      <c r="F176" s="148">
        <f>IF(C176=0,0,E176/C176)</f>
        <v>2.8732086307374258E-2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1" fitToHeight="0" orientation="portrait" r:id="rId1"/>
  <headerFooter>
    <oddHeader>&amp;LOFFICE OF HEALTH CARE ACCESS&amp;CTWELVE MONTHS ACTUAL FILING&amp;RSAINT VINCENT`S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>
      <selection activeCell="A2" sqref="A2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309364455</v>
      </c>
      <c r="D11" s="164">
        <v>341788581</v>
      </c>
      <c r="E11" s="51">
        <v>353724000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13485455</v>
      </c>
      <c r="D12" s="49">
        <v>11020419</v>
      </c>
      <c r="E12" s="49">
        <v>12850000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322849910</v>
      </c>
      <c r="D13" s="51">
        <f>+D11+D12</f>
        <v>352809000</v>
      </c>
      <c r="E13" s="51">
        <f>+E11+E12</f>
        <v>366574000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302743320</v>
      </c>
      <c r="D14" s="49">
        <v>341987000</v>
      </c>
      <c r="E14" s="49">
        <v>351813000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20106590</v>
      </c>
      <c r="D15" s="51">
        <f>+D13-D14</f>
        <v>10822000</v>
      </c>
      <c r="E15" s="51">
        <f>+E13-E14</f>
        <v>14761000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-34584733</v>
      </c>
      <c r="D16" s="49">
        <v>-3815000</v>
      </c>
      <c r="E16" s="49">
        <v>26004000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-14478143</v>
      </c>
      <c r="D17" s="51">
        <f>D15+D16</f>
        <v>7007000</v>
      </c>
      <c r="E17" s="51">
        <f>E15+E16</f>
        <v>40765000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6.9750325756482198E-2</v>
      </c>
      <c r="D20" s="169">
        <f>IF(+D27=0,0,+D24/+D27)</f>
        <v>3.1009129096775303E-2</v>
      </c>
      <c r="E20" s="169">
        <f>IF(+E27=0,0,+E24/+E27)</f>
        <v>3.7600171176173904E-2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-0.11997541069624237</v>
      </c>
      <c r="D21" s="169">
        <f>IF(D27=0,0,+D26/D27)</f>
        <v>-1.0931420024413028E-2</v>
      </c>
      <c r="E21" s="169">
        <f>IF(E27=0,0,+E26/E27)</f>
        <v>6.6239065867165256E-2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-5.0225084939760169E-2</v>
      </c>
      <c r="D22" s="169">
        <f>IF(D27=0,0,+D28/D27)</f>
        <v>2.0077709072362275E-2</v>
      </c>
      <c r="E22" s="169">
        <f>IF(E27=0,0,+E28/E27)</f>
        <v>0.10383923704333915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20106590</v>
      </c>
      <c r="D24" s="51">
        <f>+D15</f>
        <v>10822000</v>
      </c>
      <c r="E24" s="51">
        <f>+E15</f>
        <v>14761000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322849910</v>
      </c>
      <c r="D25" s="51">
        <f>+D13</f>
        <v>352809000</v>
      </c>
      <c r="E25" s="51">
        <f>+E13</f>
        <v>366574000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-34584733</v>
      </c>
      <c r="D26" s="51">
        <f>+D16</f>
        <v>-3815000</v>
      </c>
      <c r="E26" s="51">
        <f>+E16</f>
        <v>26004000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288265177</v>
      </c>
      <c r="D27" s="51">
        <f>+D25+D26</f>
        <v>348994000</v>
      </c>
      <c r="E27" s="51">
        <f>+E25+E26</f>
        <v>392578000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-14478143</v>
      </c>
      <c r="D28" s="51">
        <f>+D17</f>
        <v>7007000</v>
      </c>
      <c r="E28" s="51">
        <f>+E17</f>
        <v>40765000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334148000</v>
      </c>
      <c r="D31" s="51">
        <v>314991000</v>
      </c>
      <c r="E31" s="51">
        <v>373265000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380811000</v>
      </c>
      <c r="D32" s="51">
        <v>356510000</v>
      </c>
      <c r="E32" s="51">
        <v>396726000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2146000</v>
      </c>
      <c r="D33" s="51">
        <f>+D32-C32</f>
        <v>-24301000</v>
      </c>
      <c r="E33" s="51">
        <f>+E32-D32</f>
        <v>40216000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1.0056</v>
      </c>
      <c r="D34" s="171">
        <f>IF(C32=0,0,+D33/C32)</f>
        <v>-6.381380789945669E-2</v>
      </c>
      <c r="E34" s="171">
        <f>IF(D32=0,0,+E33/D32)</f>
        <v>0.11280468991052145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0.41392191651933968</v>
      </c>
      <c r="D38" s="172">
        <f>IF((D40+D41)=0,0,+D39/(D40+D41))</f>
        <v>0.39656971826322918</v>
      </c>
      <c r="E38" s="172">
        <f>IF((E40+E41)=0,0,+E39/(E40+E41))</f>
        <v>0.37390334894788696</v>
      </c>
      <c r="F38" s="5"/>
    </row>
    <row r="39" spans="1:6" ht="24" customHeight="1" x14ac:dyDescent="0.2">
      <c r="A39" s="21">
        <v>2</v>
      </c>
      <c r="B39" s="48" t="s">
        <v>324</v>
      </c>
      <c r="C39" s="51">
        <v>302743318</v>
      </c>
      <c r="D39" s="51">
        <v>341987000</v>
      </c>
      <c r="E39" s="23">
        <v>351813000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717916546</v>
      </c>
      <c r="D40" s="51">
        <v>852498869</v>
      </c>
      <c r="E40" s="23">
        <v>928515628</v>
      </c>
      <c r="F40" s="5"/>
    </row>
    <row r="41" spans="1:6" ht="24" customHeight="1" x14ac:dyDescent="0.2">
      <c r="A41" s="21">
        <v>4</v>
      </c>
      <c r="B41" s="48" t="s">
        <v>326</v>
      </c>
      <c r="C41" s="51">
        <v>13485455</v>
      </c>
      <c r="D41" s="51">
        <v>9864000</v>
      </c>
      <c r="E41" s="23">
        <v>12404000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1.2896051136059337</v>
      </c>
      <c r="D43" s="173">
        <f>IF(D38=0,0,IF((D46-D47)=0,0,((+D44-D45)/(D46-D47)/D38)))</f>
        <v>1.2758391737097561</v>
      </c>
      <c r="E43" s="173">
        <f>IF(E38=0,0,IF((E46-E47)=0,0,((+E44-E45)/(E46-E47)/E38)))</f>
        <v>1.3513214562675153</v>
      </c>
      <c r="F43" s="5"/>
    </row>
    <row r="44" spans="1:6" ht="24" customHeight="1" x14ac:dyDescent="0.2">
      <c r="A44" s="21">
        <v>6</v>
      </c>
      <c r="B44" s="48" t="s">
        <v>328</v>
      </c>
      <c r="C44" s="51">
        <v>128943739</v>
      </c>
      <c r="D44" s="51">
        <v>142224171</v>
      </c>
      <c r="E44" s="23">
        <v>148985162</v>
      </c>
      <c r="F44" s="5"/>
    </row>
    <row r="45" spans="1:6" ht="24" customHeight="1" x14ac:dyDescent="0.2">
      <c r="A45" s="21">
        <v>7</v>
      </c>
      <c r="B45" s="48" t="s">
        <v>329</v>
      </c>
      <c r="C45" s="51">
        <v>3824672</v>
      </c>
      <c r="D45" s="51">
        <v>3052195</v>
      </c>
      <c r="E45" s="23">
        <v>2828590</v>
      </c>
      <c r="F45" s="5"/>
    </row>
    <row r="46" spans="1:6" ht="24" customHeight="1" x14ac:dyDescent="0.2">
      <c r="A46" s="21">
        <v>8</v>
      </c>
      <c r="B46" s="48" t="s">
        <v>330</v>
      </c>
      <c r="C46" s="51">
        <v>268699815</v>
      </c>
      <c r="D46" s="51">
        <v>316158051</v>
      </c>
      <c r="E46" s="23">
        <v>329316787</v>
      </c>
      <c r="F46" s="5"/>
    </row>
    <row r="47" spans="1:6" ht="24" customHeight="1" x14ac:dyDescent="0.2">
      <c r="A47" s="21">
        <v>9</v>
      </c>
      <c r="B47" s="48" t="s">
        <v>331</v>
      </c>
      <c r="C47" s="51">
        <v>34304823</v>
      </c>
      <c r="D47" s="51">
        <v>41092431</v>
      </c>
      <c r="E47" s="174">
        <v>40048835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0.93182631147099848</v>
      </c>
      <c r="D49" s="175">
        <f>IF(D38=0,0,IF(D51=0,0,(D50/D51)/D38))</f>
        <v>0.88623682250141755</v>
      </c>
      <c r="E49" s="175">
        <f>IF(E38=0,0,IF(E51=0,0,(E50/E51)/E38))</f>
        <v>0.88153839227894604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138576124</v>
      </c>
      <c r="D50" s="176">
        <v>145672141</v>
      </c>
      <c r="E50" s="176">
        <v>148147249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359281635</v>
      </c>
      <c r="D51" s="176">
        <v>414483421</v>
      </c>
      <c r="E51" s="176">
        <v>449462026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0.64691479714935274</v>
      </c>
      <c r="D53" s="175">
        <f>IF(D38=0,0,IF(D55=0,0,(D54/D55)/D38))</f>
        <v>0.74419249576824964</v>
      </c>
      <c r="E53" s="175">
        <f>IF(E38=0,0,IF(E55=0,0,(E54/E55)/E38))</f>
        <v>0.67142158833200938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19395154</v>
      </c>
      <c r="D54" s="176">
        <v>28439441</v>
      </c>
      <c r="E54" s="176">
        <v>32883534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72431541</v>
      </c>
      <c r="D55" s="176">
        <v>96364311</v>
      </c>
      <c r="E55" s="176">
        <v>130985683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13269471.546804504</v>
      </c>
      <c r="D57" s="53">
        <f>+D60*D38</f>
        <v>15619939.745877441</v>
      </c>
      <c r="E57" s="53">
        <f>+E60*E38</f>
        <v>14299562.66838978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5784833</v>
      </c>
      <c r="D58" s="51">
        <v>8833000</v>
      </c>
      <c r="E58" s="52">
        <v>7662000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26273077</v>
      </c>
      <c r="D59" s="51">
        <v>30554626</v>
      </c>
      <c r="E59" s="52">
        <v>30582008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32057910</v>
      </c>
      <c r="D60" s="51">
        <v>39387626</v>
      </c>
      <c r="E60" s="52">
        <v>38244008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4.3830766057748313E-2</v>
      </c>
      <c r="D62" s="178">
        <f>IF(D63=0,0,+D57/D63)</f>
        <v>4.567407458727215E-2</v>
      </c>
      <c r="E62" s="178">
        <f>IF(E63=0,0,+E57/E63)</f>
        <v>4.0645350423065038E-2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302743318</v>
      </c>
      <c r="D63" s="176">
        <v>341987000</v>
      </c>
      <c r="E63" s="176">
        <v>351813000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1.3741938044492072</v>
      </c>
      <c r="D67" s="179">
        <f>IF(D69=0,0,D68/D69)</f>
        <v>1.2642539682539682</v>
      </c>
      <c r="E67" s="179">
        <f>IF(E69=0,0,E68/E69)</f>
        <v>1.6282949487129863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69247000</v>
      </c>
      <c r="D68" s="180">
        <v>69692000</v>
      </c>
      <c r="E68" s="180">
        <v>84134000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50391000</v>
      </c>
      <c r="D69" s="180">
        <v>55125000</v>
      </c>
      <c r="E69" s="180">
        <v>51670000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18.186360883980544</v>
      </c>
      <c r="D71" s="181">
        <f>IF((D77/365)=0,0,+D74/(D77/365))</f>
        <v>20.76045509789429</v>
      </c>
      <c r="E71" s="181">
        <f>IF((E77/365)=0,0,+E74/(E77/365))</f>
        <v>23.326043834054197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10785000</v>
      </c>
      <c r="D72" s="182">
        <v>10599000</v>
      </c>
      <c r="E72" s="182">
        <v>6014000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3463000</v>
      </c>
      <c r="D73" s="184">
        <v>7793000</v>
      </c>
      <c r="E73" s="184">
        <v>15056000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14248000</v>
      </c>
      <c r="D74" s="180">
        <f>+D72+D73</f>
        <v>18392000</v>
      </c>
      <c r="E74" s="180">
        <f>+E72+E73</f>
        <v>21070000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302743320</v>
      </c>
      <c r="D75" s="180">
        <f>+D14</f>
        <v>341987000</v>
      </c>
      <c r="E75" s="180">
        <f>+E14</f>
        <v>351813000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16786166</v>
      </c>
      <c r="D76" s="180">
        <v>18628000</v>
      </c>
      <c r="E76" s="180">
        <v>22115000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285957154</v>
      </c>
      <c r="D77" s="180">
        <f>+D75-D76</f>
        <v>323359000</v>
      </c>
      <c r="E77" s="180">
        <f>+E75-E76</f>
        <v>329698000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36.802692798046245</v>
      </c>
      <c r="D79" s="179">
        <f>IF((D84/365)=0,0,+D83/(D84/365))</f>
        <v>33.885903871083393</v>
      </c>
      <c r="E79" s="179">
        <f>IF((E84/365)=0,0,+E83/(E84/365))</f>
        <v>33.07994368490688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40947000</v>
      </c>
      <c r="D80" s="189">
        <v>40833000</v>
      </c>
      <c r="E80" s="189">
        <v>44277000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9754000</v>
      </c>
      <c r="D82" s="190">
        <v>9102000</v>
      </c>
      <c r="E82" s="190">
        <v>12219000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31193000</v>
      </c>
      <c r="D83" s="191">
        <f>+D80+D81-D82</f>
        <v>31731000</v>
      </c>
      <c r="E83" s="191">
        <f>+E80+E81-E82</f>
        <v>32058000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309364455</v>
      </c>
      <c r="D84" s="191">
        <f>+D11</f>
        <v>341788581</v>
      </c>
      <c r="E84" s="191">
        <f>+E11</f>
        <v>353724000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64.319828137609733</v>
      </c>
      <c r="D86" s="179">
        <f>IF((D90/365)=0,0,+D87/(D90/365))</f>
        <v>62.223797698533211</v>
      </c>
      <c r="E86" s="179">
        <f>IF((E90/365)=0,0,+E87/(E90/365))</f>
        <v>57.202500470127212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50391000</v>
      </c>
      <c r="D87" s="51">
        <f>+D69</f>
        <v>55125000</v>
      </c>
      <c r="E87" s="51">
        <f>+E69</f>
        <v>51670000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302743320</v>
      </c>
      <c r="D88" s="51">
        <f t="shared" si="0"/>
        <v>341987000</v>
      </c>
      <c r="E88" s="51">
        <f t="shared" si="0"/>
        <v>351813000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16786166</v>
      </c>
      <c r="D89" s="52">
        <f t="shared" si="0"/>
        <v>18628000</v>
      </c>
      <c r="E89" s="52">
        <f t="shared" si="0"/>
        <v>22115000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285957154</v>
      </c>
      <c r="D90" s="51">
        <f>+D88-D89</f>
        <v>323359000</v>
      </c>
      <c r="E90" s="51">
        <f>+E88-E89</f>
        <v>329698000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75.056911915137675</v>
      </c>
      <c r="D94" s="192">
        <f>IF(D96=0,0,(D95/D96)*100)</f>
        <v>67.347362853256769</v>
      </c>
      <c r="E94" s="192">
        <f>IF(E96=0,0,(E95/E96)*100)</f>
        <v>69.894856273035415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380811000</v>
      </c>
      <c r="D95" s="51">
        <f>+D32</f>
        <v>356510000</v>
      </c>
      <c r="E95" s="51">
        <f>+E32</f>
        <v>396726000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507363000</v>
      </c>
      <c r="D96" s="51">
        <v>529360000</v>
      </c>
      <c r="E96" s="51">
        <v>567604000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2.1465987723214286</v>
      </c>
      <c r="D98" s="192">
        <f>IF(D104=0,0,(D101/D104)*100)</f>
        <v>20.310742072987146</v>
      </c>
      <c r="E98" s="192">
        <f>IF(E104=0,0,(E101/E104)*100)</f>
        <v>51.475162906447494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-14478143</v>
      </c>
      <c r="D99" s="51">
        <f>+D28</f>
        <v>7007000</v>
      </c>
      <c r="E99" s="51">
        <f>+E28</f>
        <v>40765000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16786166</v>
      </c>
      <c r="D100" s="52">
        <f>+D76</f>
        <v>18628000</v>
      </c>
      <c r="E100" s="52">
        <f>+E76</f>
        <v>22115000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2308023</v>
      </c>
      <c r="D101" s="51">
        <f>+D99+D100</f>
        <v>25635000</v>
      </c>
      <c r="E101" s="51">
        <f>+E99+E100</f>
        <v>62880000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50391000</v>
      </c>
      <c r="D102" s="180">
        <f>+D69</f>
        <v>55125000</v>
      </c>
      <c r="E102" s="180">
        <f>+E69</f>
        <v>51670000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57129000</v>
      </c>
      <c r="D103" s="194">
        <v>71089000</v>
      </c>
      <c r="E103" s="194">
        <v>70486000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107520000</v>
      </c>
      <c r="D104" s="180">
        <f>+D102+D103</f>
        <v>126214000</v>
      </c>
      <c r="E104" s="180">
        <f>+E102+E103</f>
        <v>122156000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13.044937662693521</v>
      </c>
      <c r="D106" s="197">
        <f>IF(D109=0,0,(D107/D109)*100)</f>
        <v>16.625155811870467</v>
      </c>
      <c r="E106" s="197">
        <f>IF(E109=0,0,(E107/E109)*100)</f>
        <v>15.086513188873575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57129000</v>
      </c>
      <c r="D107" s="180">
        <f>+D103</f>
        <v>71089000</v>
      </c>
      <c r="E107" s="180">
        <f>+E103</f>
        <v>70486000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380811000</v>
      </c>
      <c r="D108" s="180">
        <f>+D32</f>
        <v>356510000</v>
      </c>
      <c r="E108" s="180">
        <f>+E32</f>
        <v>396726000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437940000</v>
      </c>
      <c r="D109" s="180">
        <f>+D107+D108</f>
        <v>427599000</v>
      </c>
      <c r="E109" s="180">
        <f>+E107+E108</f>
        <v>467212000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3.280930112128142</v>
      </c>
      <c r="D111" s="197">
        <f>IF((+D113+D115)=0,0,((+D112+D113+D114)/(+D113+D115)))</f>
        <v>16.544291015543951</v>
      </c>
      <c r="E111" s="197">
        <f>IF((+E113+E115)=0,0,((+E112+E113+E114)/(+E113+E115)))</f>
        <v>20.862504532992006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-14478143</v>
      </c>
      <c r="D112" s="180">
        <f>+D17</f>
        <v>7007000</v>
      </c>
      <c r="E112" s="180">
        <f>+E17</f>
        <v>40765000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1011878</v>
      </c>
      <c r="D113" s="180">
        <v>678000</v>
      </c>
      <c r="E113" s="180">
        <v>2186000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16786166</v>
      </c>
      <c r="D114" s="180">
        <v>18628000</v>
      </c>
      <c r="E114" s="180">
        <v>22115000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912458</v>
      </c>
      <c r="E115" s="180">
        <v>932801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8.2737773473704479</v>
      </c>
      <c r="D119" s="197">
        <f>IF(+D121=0,0,(+D120)/(+D121))</f>
        <v>8.7235344642473702</v>
      </c>
      <c r="E119" s="197">
        <f>IF(+E121=0,0,(+E120)/(+E121))</f>
        <v>8.3122767352475702</v>
      </c>
    </row>
    <row r="120" spans="1:8" ht="24" customHeight="1" x14ac:dyDescent="0.25">
      <c r="A120" s="17">
        <v>21</v>
      </c>
      <c r="B120" s="48" t="s">
        <v>369</v>
      </c>
      <c r="C120" s="180">
        <v>138885000</v>
      </c>
      <c r="D120" s="180">
        <v>162502000</v>
      </c>
      <c r="E120" s="180">
        <v>183826000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16786166</v>
      </c>
      <c r="D121" s="180">
        <v>18628000</v>
      </c>
      <c r="E121" s="180">
        <v>22115000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104524</v>
      </c>
      <c r="D124" s="198">
        <v>125447</v>
      </c>
      <c r="E124" s="198">
        <v>122812</v>
      </c>
    </row>
    <row r="125" spans="1:8" ht="24" customHeight="1" x14ac:dyDescent="0.2">
      <c r="A125" s="44">
        <v>2</v>
      </c>
      <c r="B125" s="48" t="s">
        <v>373</v>
      </c>
      <c r="C125" s="198">
        <v>20159</v>
      </c>
      <c r="D125" s="198">
        <v>21743</v>
      </c>
      <c r="E125" s="198">
        <v>21873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5.1849794136613916</v>
      </c>
      <c r="D126" s="199">
        <f>IF(D125=0,0,D124/D125)</f>
        <v>5.7695350227659477</v>
      </c>
      <c r="E126" s="199">
        <f>IF(E125=0,0,E124/E125)</f>
        <v>5.614776208110456</v>
      </c>
    </row>
    <row r="127" spans="1:8" ht="24" customHeight="1" x14ac:dyDescent="0.2">
      <c r="A127" s="44">
        <v>4</v>
      </c>
      <c r="B127" s="48" t="s">
        <v>375</v>
      </c>
      <c r="C127" s="198">
        <v>340</v>
      </c>
      <c r="D127" s="198">
        <v>415</v>
      </c>
      <c r="E127" s="198">
        <v>423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423</v>
      </c>
      <c r="E128" s="198">
        <v>423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444</v>
      </c>
      <c r="D129" s="198">
        <v>520</v>
      </c>
      <c r="E129" s="198">
        <v>520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0.84219999999999995</v>
      </c>
      <c r="D130" s="171">
        <v>0.82809999999999995</v>
      </c>
      <c r="E130" s="171">
        <v>0.7954</v>
      </c>
    </row>
    <row r="131" spans="1:8" ht="24" customHeight="1" x14ac:dyDescent="0.2">
      <c r="A131" s="44">
        <v>7</v>
      </c>
      <c r="B131" s="48" t="s">
        <v>379</v>
      </c>
      <c r="C131" s="171">
        <v>0.82050000000000001</v>
      </c>
      <c r="D131" s="171">
        <v>0.8125</v>
      </c>
      <c r="E131" s="171">
        <v>0.7954</v>
      </c>
    </row>
    <row r="132" spans="1:8" ht="24" customHeight="1" x14ac:dyDescent="0.2">
      <c r="A132" s="44">
        <v>8</v>
      </c>
      <c r="B132" s="48" t="s">
        <v>380</v>
      </c>
      <c r="C132" s="199">
        <v>1829.4</v>
      </c>
      <c r="D132" s="199">
        <v>2049.6</v>
      </c>
      <c r="E132" s="199">
        <v>2020.1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0.32649336932819489</v>
      </c>
      <c r="D135" s="203">
        <f>IF(D149=0,0,D143/D149)</f>
        <v>0.32265804683431198</v>
      </c>
      <c r="E135" s="203">
        <f>IF(E149=0,0,E143/E149)</f>
        <v>0.31153805415540081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0.50045041725504402</v>
      </c>
      <c r="D136" s="203">
        <f>IF(D149=0,0,D144/D149)</f>
        <v>0.48619820632278166</v>
      </c>
      <c r="E136" s="203">
        <f>IF(E149=0,0,E144/E149)</f>
        <v>0.48406511688783338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0.10089131028329858</v>
      </c>
      <c r="D137" s="203">
        <f>IF(D149=0,0,D145/D149)</f>
        <v>0.11303746492125845</v>
      </c>
      <c r="E137" s="203">
        <f>IF(E149=0,0,E145/E149)</f>
        <v>0.14106998207681218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2.3850532621656557E-2</v>
      </c>
      <c r="D138" s="203">
        <f>IF(D149=0,0,D146/D149)</f>
        <v>2.9147804065884339E-2</v>
      </c>
      <c r="E138" s="203">
        <f>IF(E149=0,0,E146/E149)</f>
        <v>1.9386659154863466E-2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4.7783858989092029E-2</v>
      </c>
      <c r="D139" s="203">
        <f>IF(D149=0,0,D147/D149)</f>
        <v>4.8202329052004875E-2</v>
      </c>
      <c r="E139" s="203">
        <f>IF(E149=0,0,E147/E149)</f>
        <v>4.3132106549745655E-2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5.3051152271395069E-4</v>
      </c>
      <c r="D140" s="203">
        <f>IF(D149=0,0,D148/D149)</f>
        <v>7.5614880375870618E-4</v>
      </c>
      <c r="E140" s="203">
        <f>IF(E149=0,0,E148/E149)</f>
        <v>8.0808117534452524E-4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234394992</v>
      </c>
      <c r="D143" s="205">
        <f>+D46-D147</f>
        <v>275065620</v>
      </c>
      <c r="E143" s="205">
        <f>+E46-E147</f>
        <v>289267952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359281635</v>
      </c>
      <c r="D144" s="205">
        <f>+D51</f>
        <v>414483421</v>
      </c>
      <c r="E144" s="205">
        <f>+E51</f>
        <v>449462026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72431541</v>
      </c>
      <c r="D145" s="205">
        <f>+D55</f>
        <v>96364311</v>
      </c>
      <c r="E145" s="205">
        <f>+E55</f>
        <v>130985683</v>
      </c>
    </row>
    <row r="146" spans="1:7" ht="20.100000000000001" customHeight="1" x14ac:dyDescent="0.2">
      <c r="A146" s="202">
        <v>11</v>
      </c>
      <c r="B146" s="201" t="s">
        <v>392</v>
      </c>
      <c r="C146" s="204">
        <v>17122692</v>
      </c>
      <c r="D146" s="205">
        <v>24848470</v>
      </c>
      <c r="E146" s="205">
        <v>18000816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34304823</v>
      </c>
      <c r="D147" s="205">
        <f>+D47</f>
        <v>41092431</v>
      </c>
      <c r="E147" s="205">
        <f>+E47</f>
        <v>40048835</v>
      </c>
    </row>
    <row r="148" spans="1:7" ht="20.100000000000001" customHeight="1" x14ac:dyDescent="0.2">
      <c r="A148" s="202">
        <v>13</v>
      </c>
      <c r="B148" s="201" t="s">
        <v>394</v>
      </c>
      <c r="C148" s="206">
        <v>380863</v>
      </c>
      <c r="D148" s="205">
        <v>644616</v>
      </c>
      <c r="E148" s="205">
        <v>750316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717916546</v>
      </c>
      <c r="D149" s="205">
        <f>SUM(D143:D148)</f>
        <v>852498869</v>
      </c>
      <c r="E149" s="205">
        <f>SUM(E143:E148)</f>
        <v>928515628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0.43259263289874977</v>
      </c>
      <c r="D152" s="203">
        <f>IF(D166=0,0,D160/D166)</f>
        <v>0.43495232779839743</v>
      </c>
      <c r="E152" s="203">
        <f>IF(E166=0,0,E160/E166)</f>
        <v>0.43943966172286353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0.47911970393819858</v>
      </c>
      <c r="D153" s="203">
        <f>IF(D166=0,0,D161/D166)</f>
        <v>0.45526720712312346</v>
      </c>
      <c r="E153" s="203">
        <f>IF(E166=0,0,E161/E166)</f>
        <v>0.44542490354612885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6.7057730971864737E-2</v>
      </c>
      <c r="D154" s="203">
        <f>IF(D166=0,0,D162/D166)</f>
        <v>8.888140716084382E-2</v>
      </c>
      <c r="E154" s="203">
        <f>IF(E166=0,0,E162/E166)</f>
        <v>9.886882854102709E-2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7.7506815640759124E-3</v>
      </c>
      <c r="D155" s="203">
        <f>IF(D166=0,0,D163/D166)</f>
        <v>1.0661903129656805E-2</v>
      </c>
      <c r="E155" s="203">
        <f>IF(E166=0,0,E163/E166)</f>
        <v>6.9154139298345909E-3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1.3223603485263578E-2</v>
      </c>
      <c r="D156" s="203">
        <f>IF(D166=0,0,D164/D166)</f>
        <v>9.5389844873987398E-3</v>
      </c>
      <c r="E156" s="203">
        <f>IF(E166=0,0,E164/E166)</f>
        <v>8.5045415046589527E-3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2.5564714184742488E-4</v>
      </c>
      <c r="D157" s="203">
        <f>IF(D166=0,0,D165/D166)</f>
        <v>6.9817030057973159E-4</v>
      </c>
      <c r="E157" s="203">
        <f>IF(E166=0,0,E165/E166)</f>
        <v>8.466507554869858E-4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125119067</v>
      </c>
      <c r="D160" s="208">
        <f>+D44-D164</f>
        <v>139171976</v>
      </c>
      <c r="E160" s="208">
        <f>+E44-E164</f>
        <v>146156572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138576124</v>
      </c>
      <c r="D161" s="208">
        <f>+D50</f>
        <v>145672141</v>
      </c>
      <c r="E161" s="208">
        <f>+E50</f>
        <v>148147249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19395154</v>
      </c>
      <c r="D162" s="208">
        <f>+D54</f>
        <v>28439441</v>
      </c>
      <c r="E162" s="208">
        <f>+E54</f>
        <v>32883534</v>
      </c>
    </row>
    <row r="163" spans="1:6" ht="20.100000000000001" customHeight="1" x14ac:dyDescent="0.2">
      <c r="A163" s="202">
        <v>11</v>
      </c>
      <c r="B163" s="201" t="s">
        <v>408</v>
      </c>
      <c r="C163" s="207">
        <v>2241735</v>
      </c>
      <c r="D163" s="208">
        <v>3411496</v>
      </c>
      <c r="E163" s="208">
        <v>2300050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3824672</v>
      </c>
      <c r="D164" s="208">
        <f>+D45</f>
        <v>3052195</v>
      </c>
      <c r="E164" s="208">
        <f>+E45</f>
        <v>2828590</v>
      </c>
    </row>
    <row r="165" spans="1:6" ht="20.100000000000001" customHeight="1" x14ac:dyDescent="0.2">
      <c r="A165" s="202">
        <v>13</v>
      </c>
      <c r="B165" s="201" t="s">
        <v>410</v>
      </c>
      <c r="C165" s="209">
        <v>73941</v>
      </c>
      <c r="D165" s="208">
        <v>223394</v>
      </c>
      <c r="E165" s="208">
        <v>281594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289230693</v>
      </c>
      <c r="D166" s="208">
        <f>SUM(D160:D165)</f>
        <v>319970643</v>
      </c>
      <c r="E166" s="208">
        <f>SUM(E160:E165)</f>
        <v>332597589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7538</v>
      </c>
      <c r="D169" s="198">
        <v>8200</v>
      </c>
      <c r="E169" s="198">
        <v>7897</v>
      </c>
    </row>
    <row r="170" spans="1:6" ht="20.100000000000001" customHeight="1" x14ac:dyDescent="0.2">
      <c r="A170" s="202">
        <v>2</v>
      </c>
      <c r="B170" s="201" t="s">
        <v>414</v>
      </c>
      <c r="C170" s="198">
        <v>9522</v>
      </c>
      <c r="D170" s="198">
        <v>9746</v>
      </c>
      <c r="E170" s="198">
        <v>9920</v>
      </c>
    </row>
    <row r="171" spans="1:6" ht="20.100000000000001" customHeight="1" x14ac:dyDescent="0.2">
      <c r="A171" s="202">
        <v>3</v>
      </c>
      <c r="B171" s="201" t="s">
        <v>415</v>
      </c>
      <c r="C171" s="198">
        <v>3087</v>
      </c>
      <c r="D171" s="198">
        <v>3779</v>
      </c>
      <c r="E171" s="198">
        <v>4026</v>
      </c>
    </row>
    <row r="172" spans="1:6" ht="20.100000000000001" customHeight="1" x14ac:dyDescent="0.2">
      <c r="A172" s="202">
        <v>4</v>
      </c>
      <c r="B172" s="201" t="s">
        <v>416</v>
      </c>
      <c r="C172" s="198">
        <v>2656</v>
      </c>
      <c r="D172" s="198">
        <v>3120</v>
      </c>
      <c r="E172" s="198">
        <v>3652</v>
      </c>
    </row>
    <row r="173" spans="1:6" ht="20.100000000000001" customHeight="1" x14ac:dyDescent="0.2">
      <c r="A173" s="202">
        <v>5</v>
      </c>
      <c r="B173" s="201" t="s">
        <v>417</v>
      </c>
      <c r="C173" s="198">
        <v>431</v>
      </c>
      <c r="D173" s="198">
        <v>659</v>
      </c>
      <c r="E173" s="198">
        <v>374</v>
      </c>
    </row>
    <row r="174" spans="1:6" ht="20.100000000000001" customHeight="1" x14ac:dyDescent="0.2">
      <c r="A174" s="202">
        <v>6</v>
      </c>
      <c r="B174" s="201" t="s">
        <v>418</v>
      </c>
      <c r="C174" s="198">
        <v>12</v>
      </c>
      <c r="D174" s="198">
        <v>18</v>
      </c>
      <c r="E174" s="198">
        <v>30</v>
      </c>
    </row>
    <row r="175" spans="1:6" ht="20.100000000000001" customHeight="1" x14ac:dyDescent="0.2">
      <c r="A175" s="202">
        <v>7</v>
      </c>
      <c r="B175" s="201" t="s">
        <v>419</v>
      </c>
      <c r="C175" s="198">
        <v>950</v>
      </c>
      <c r="D175" s="198">
        <v>955</v>
      </c>
      <c r="E175" s="198">
        <v>1024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20159</v>
      </c>
      <c r="D176" s="198">
        <f>+D169+D170+D171+D174</f>
        <v>21743</v>
      </c>
      <c r="E176" s="198">
        <f>+E169+E170+E171+E174</f>
        <v>21873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1.292</v>
      </c>
      <c r="D179" s="210">
        <v>1.1909000000000001</v>
      </c>
      <c r="E179" s="210">
        <v>1.2276</v>
      </c>
    </row>
    <row r="180" spans="1:6" ht="20.100000000000001" customHeight="1" x14ac:dyDescent="0.2">
      <c r="A180" s="202">
        <v>2</v>
      </c>
      <c r="B180" s="201" t="s">
        <v>414</v>
      </c>
      <c r="C180" s="210">
        <v>1.5366</v>
      </c>
      <c r="D180" s="210">
        <v>1.5299</v>
      </c>
      <c r="E180" s="210">
        <v>1.5162</v>
      </c>
    </row>
    <row r="181" spans="1:6" ht="20.100000000000001" customHeight="1" x14ac:dyDescent="0.2">
      <c r="A181" s="202">
        <v>3</v>
      </c>
      <c r="B181" s="201" t="s">
        <v>415</v>
      </c>
      <c r="C181" s="210">
        <v>0.99807800000000002</v>
      </c>
      <c r="D181" s="210">
        <v>0.96343699999999999</v>
      </c>
      <c r="E181" s="210">
        <v>0.961121</v>
      </c>
    </row>
    <row r="182" spans="1:6" ht="20.100000000000001" customHeight="1" x14ac:dyDescent="0.2">
      <c r="A182" s="202">
        <v>4</v>
      </c>
      <c r="B182" s="201" t="s">
        <v>416</v>
      </c>
      <c r="C182" s="210">
        <v>0.96389999999999998</v>
      </c>
      <c r="D182" s="210">
        <v>0.91249999999999998</v>
      </c>
      <c r="E182" s="210">
        <v>0.9274</v>
      </c>
    </row>
    <row r="183" spans="1:6" ht="20.100000000000001" customHeight="1" x14ac:dyDescent="0.2">
      <c r="A183" s="202">
        <v>5</v>
      </c>
      <c r="B183" s="201" t="s">
        <v>417</v>
      </c>
      <c r="C183" s="210">
        <v>1.2087000000000001</v>
      </c>
      <c r="D183" s="210">
        <v>1.2045999999999999</v>
      </c>
      <c r="E183" s="210">
        <v>1.2904</v>
      </c>
    </row>
    <row r="184" spans="1:6" ht="20.100000000000001" customHeight="1" x14ac:dyDescent="0.2">
      <c r="A184" s="202">
        <v>6</v>
      </c>
      <c r="B184" s="201" t="s">
        <v>418</v>
      </c>
      <c r="C184" s="210">
        <v>0.69699999999999995</v>
      </c>
      <c r="D184" s="210">
        <v>1.1109</v>
      </c>
      <c r="E184" s="210">
        <v>0.81040000000000001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1.0992</v>
      </c>
      <c r="D185" s="210">
        <v>1.0987</v>
      </c>
      <c r="E185" s="210">
        <v>1.0674999999999999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1.3621719999999999</v>
      </c>
      <c r="D186" s="210">
        <v>1.3032520000000001</v>
      </c>
      <c r="E186" s="210">
        <v>1.3088660000000001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12721</v>
      </c>
      <c r="D189" s="198">
        <v>10882</v>
      </c>
      <c r="E189" s="198">
        <v>14253</v>
      </c>
    </row>
    <row r="190" spans="1:6" ht="20.100000000000001" customHeight="1" x14ac:dyDescent="0.2">
      <c r="A190" s="202">
        <v>2</v>
      </c>
      <c r="B190" s="201" t="s">
        <v>427</v>
      </c>
      <c r="C190" s="198">
        <v>47919</v>
      </c>
      <c r="D190" s="198">
        <v>50431</v>
      </c>
      <c r="E190" s="198">
        <v>54760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60640</v>
      </c>
      <c r="D191" s="198">
        <f>+D190+D189</f>
        <v>61313</v>
      </c>
      <c r="E191" s="198">
        <f>+E190+E189</f>
        <v>69013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0" orientation="portrait" r:id="rId1"/>
  <headerFooter>
    <oddHeader>&amp;LOFFICE OF HEALTH CARE ACCESS&amp;CTWELVE MONTHS ACTUAL FILING&amp;RSAINT VINCENT`S MEDICAL CENTER</oddHeader>
    <oddFooter>&amp;L&amp;8REPORT 185&amp;C&amp;8PAGE &amp;P of &amp;N&amp;R&amp;D, &amp;T</oddFooter>
  </headerFooter>
  <rowBreaks count="4" manualBreakCount="4">
    <brk id="47" max="4" man="1"/>
    <brk id="78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A2" sqref="A2:F2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429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430580</v>
      </c>
      <c r="D14" s="237">
        <v>964324</v>
      </c>
      <c r="E14" s="237">
        <f t="shared" ref="E14:E24" si="0">D14-C14</f>
        <v>533744</v>
      </c>
      <c r="F14" s="238">
        <f t="shared" ref="F14:F24" si="1">IF(C14=0,0,E14/C14)</f>
        <v>1.2395931069719912</v>
      </c>
    </row>
    <row r="15" spans="1:7" ht="20.25" customHeight="1" x14ac:dyDescent="0.3">
      <c r="A15" s="235">
        <v>2</v>
      </c>
      <c r="B15" s="236" t="s">
        <v>435</v>
      </c>
      <c r="C15" s="237">
        <v>196795</v>
      </c>
      <c r="D15" s="237">
        <v>265456</v>
      </c>
      <c r="E15" s="237">
        <f t="shared" si="0"/>
        <v>68661</v>
      </c>
      <c r="F15" s="238">
        <f t="shared" si="1"/>
        <v>0.34889605935110141</v>
      </c>
    </row>
    <row r="16" spans="1:7" ht="20.25" customHeight="1" x14ac:dyDescent="0.3">
      <c r="A16" s="235">
        <v>3</v>
      </c>
      <c r="B16" s="236" t="s">
        <v>436</v>
      </c>
      <c r="C16" s="237">
        <v>87677</v>
      </c>
      <c r="D16" s="237">
        <v>162501</v>
      </c>
      <c r="E16" s="237">
        <f t="shared" si="0"/>
        <v>74824</v>
      </c>
      <c r="F16" s="238">
        <f t="shared" si="1"/>
        <v>0.85340511194497992</v>
      </c>
    </row>
    <row r="17" spans="1:6" ht="20.25" customHeight="1" x14ac:dyDescent="0.3">
      <c r="A17" s="235">
        <v>4</v>
      </c>
      <c r="B17" s="236" t="s">
        <v>437</v>
      </c>
      <c r="C17" s="237">
        <v>23269</v>
      </c>
      <c r="D17" s="237">
        <v>51157</v>
      </c>
      <c r="E17" s="237">
        <f t="shared" si="0"/>
        <v>27888</v>
      </c>
      <c r="F17" s="238">
        <f t="shared" si="1"/>
        <v>1.1985044479779965</v>
      </c>
    </row>
    <row r="18" spans="1:6" ht="20.25" customHeight="1" x14ac:dyDescent="0.3">
      <c r="A18" s="235">
        <v>5</v>
      </c>
      <c r="B18" s="236" t="s">
        <v>373</v>
      </c>
      <c r="C18" s="239">
        <v>17</v>
      </c>
      <c r="D18" s="239">
        <v>21</v>
      </c>
      <c r="E18" s="239">
        <f t="shared" si="0"/>
        <v>4</v>
      </c>
      <c r="F18" s="238">
        <f t="shared" si="1"/>
        <v>0.23529411764705882</v>
      </c>
    </row>
    <row r="19" spans="1:6" ht="20.25" customHeight="1" x14ac:dyDescent="0.3">
      <c r="A19" s="235">
        <v>6</v>
      </c>
      <c r="B19" s="236" t="s">
        <v>372</v>
      </c>
      <c r="C19" s="239">
        <v>84</v>
      </c>
      <c r="D19" s="239">
        <v>141</v>
      </c>
      <c r="E19" s="239">
        <f t="shared" si="0"/>
        <v>57</v>
      </c>
      <c r="F19" s="238">
        <f t="shared" si="1"/>
        <v>0.6785714285714286</v>
      </c>
    </row>
    <row r="20" spans="1:6" ht="20.25" customHeight="1" x14ac:dyDescent="0.3">
      <c r="A20" s="235">
        <v>7</v>
      </c>
      <c r="B20" s="236" t="s">
        <v>438</v>
      </c>
      <c r="C20" s="239">
        <v>30</v>
      </c>
      <c r="D20" s="239">
        <v>126</v>
      </c>
      <c r="E20" s="239">
        <f t="shared" si="0"/>
        <v>96</v>
      </c>
      <c r="F20" s="238">
        <f t="shared" si="1"/>
        <v>3.2</v>
      </c>
    </row>
    <row r="21" spans="1:6" ht="20.25" customHeight="1" x14ac:dyDescent="0.3">
      <c r="A21" s="235">
        <v>8</v>
      </c>
      <c r="B21" s="236" t="s">
        <v>439</v>
      </c>
      <c r="C21" s="239">
        <v>24</v>
      </c>
      <c r="D21" s="239">
        <v>17</v>
      </c>
      <c r="E21" s="239">
        <f t="shared" si="0"/>
        <v>-7</v>
      </c>
      <c r="F21" s="238">
        <f t="shared" si="1"/>
        <v>-0.29166666666666669</v>
      </c>
    </row>
    <row r="22" spans="1:6" ht="20.25" customHeight="1" x14ac:dyDescent="0.3">
      <c r="A22" s="235">
        <v>9</v>
      </c>
      <c r="B22" s="236" t="s">
        <v>440</v>
      </c>
      <c r="C22" s="239">
        <v>16</v>
      </c>
      <c r="D22" s="239">
        <v>16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518257</v>
      </c>
      <c r="D23" s="243">
        <f>+D14+D16</f>
        <v>1126825</v>
      </c>
      <c r="E23" s="243">
        <f t="shared" si="0"/>
        <v>608568</v>
      </c>
      <c r="F23" s="244">
        <f t="shared" si="1"/>
        <v>1.1742591031090752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220064</v>
      </c>
      <c r="D24" s="243">
        <f>+D15+D17</f>
        <v>316613</v>
      </c>
      <c r="E24" s="243">
        <f t="shared" si="0"/>
        <v>96549</v>
      </c>
      <c r="F24" s="244">
        <f t="shared" si="1"/>
        <v>0.43873145993892687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4076896</v>
      </c>
      <c r="D40" s="237">
        <v>5693878</v>
      </c>
      <c r="E40" s="237">
        <f t="shared" ref="E40:E50" si="4">D40-C40</f>
        <v>1616982</v>
      </c>
      <c r="F40" s="238">
        <f t="shared" ref="F40:F50" si="5">IF(C40=0,0,E40/C40)</f>
        <v>0.39662086057628154</v>
      </c>
    </row>
    <row r="41" spans="1:6" ht="20.25" customHeight="1" x14ac:dyDescent="0.3">
      <c r="A41" s="235">
        <v>2</v>
      </c>
      <c r="B41" s="236" t="s">
        <v>435</v>
      </c>
      <c r="C41" s="237">
        <v>1313627</v>
      </c>
      <c r="D41" s="237">
        <v>1902362</v>
      </c>
      <c r="E41" s="237">
        <f t="shared" si="4"/>
        <v>588735</v>
      </c>
      <c r="F41" s="238">
        <f t="shared" si="5"/>
        <v>0.44817516692333514</v>
      </c>
    </row>
    <row r="42" spans="1:6" ht="20.25" customHeight="1" x14ac:dyDescent="0.3">
      <c r="A42" s="235">
        <v>3</v>
      </c>
      <c r="B42" s="236" t="s">
        <v>436</v>
      </c>
      <c r="C42" s="237">
        <v>1397756</v>
      </c>
      <c r="D42" s="237">
        <v>2024252</v>
      </c>
      <c r="E42" s="237">
        <f t="shared" si="4"/>
        <v>626496</v>
      </c>
      <c r="F42" s="238">
        <f t="shared" si="5"/>
        <v>0.44821556838246446</v>
      </c>
    </row>
    <row r="43" spans="1:6" ht="20.25" customHeight="1" x14ac:dyDescent="0.3">
      <c r="A43" s="235">
        <v>4</v>
      </c>
      <c r="B43" s="236" t="s">
        <v>437</v>
      </c>
      <c r="C43" s="237">
        <v>328774</v>
      </c>
      <c r="D43" s="237">
        <v>572283</v>
      </c>
      <c r="E43" s="237">
        <f t="shared" si="4"/>
        <v>243509</v>
      </c>
      <c r="F43" s="238">
        <f t="shared" si="5"/>
        <v>0.74065771624276855</v>
      </c>
    </row>
    <row r="44" spans="1:6" ht="20.25" customHeight="1" x14ac:dyDescent="0.3">
      <c r="A44" s="235">
        <v>5</v>
      </c>
      <c r="B44" s="236" t="s">
        <v>373</v>
      </c>
      <c r="C44" s="239">
        <v>133</v>
      </c>
      <c r="D44" s="239">
        <v>162</v>
      </c>
      <c r="E44" s="239">
        <f t="shared" si="4"/>
        <v>29</v>
      </c>
      <c r="F44" s="238">
        <f t="shared" si="5"/>
        <v>0.21804511278195488</v>
      </c>
    </row>
    <row r="45" spans="1:6" ht="20.25" customHeight="1" x14ac:dyDescent="0.3">
      <c r="A45" s="235">
        <v>6</v>
      </c>
      <c r="B45" s="236" t="s">
        <v>372</v>
      </c>
      <c r="C45" s="239">
        <v>692</v>
      </c>
      <c r="D45" s="239">
        <v>911</v>
      </c>
      <c r="E45" s="239">
        <f t="shared" si="4"/>
        <v>219</v>
      </c>
      <c r="F45" s="238">
        <f t="shared" si="5"/>
        <v>0.31647398843930635</v>
      </c>
    </row>
    <row r="46" spans="1:6" ht="20.25" customHeight="1" x14ac:dyDescent="0.3">
      <c r="A46" s="235">
        <v>7</v>
      </c>
      <c r="B46" s="236" t="s">
        <v>438</v>
      </c>
      <c r="C46" s="239">
        <v>633</v>
      </c>
      <c r="D46" s="239">
        <v>1108</v>
      </c>
      <c r="E46" s="239">
        <f t="shared" si="4"/>
        <v>475</v>
      </c>
      <c r="F46" s="238">
        <f t="shared" si="5"/>
        <v>0.75039494470774093</v>
      </c>
    </row>
    <row r="47" spans="1:6" ht="20.25" customHeight="1" x14ac:dyDescent="0.3">
      <c r="A47" s="235">
        <v>8</v>
      </c>
      <c r="B47" s="236" t="s">
        <v>439</v>
      </c>
      <c r="C47" s="239">
        <v>67</v>
      </c>
      <c r="D47" s="239">
        <v>82</v>
      </c>
      <c r="E47" s="239">
        <f t="shared" si="4"/>
        <v>15</v>
      </c>
      <c r="F47" s="238">
        <f t="shared" si="5"/>
        <v>0.22388059701492538</v>
      </c>
    </row>
    <row r="48" spans="1:6" ht="20.25" customHeight="1" x14ac:dyDescent="0.3">
      <c r="A48" s="235">
        <v>9</v>
      </c>
      <c r="B48" s="236" t="s">
        <v>440</v>
      </c>
      <c r="C48" s="239">
        <v>86</v>
      </c>
      <c r="D48" s="239">
        <v>127</v>
      </c>
      <c r="E48" s="239">
        <f t="shared" si="4"/>
        <v>41</v>
      </c>
      <c r="F48" s="238">
        <f t="shared" si="5"/>
        <v>0.47674418604651164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5474652</v>
      </c>
      <c r="D49" s="243">
        <f>+D40+D42</f>
        <v>7718130</v>
      </c>
      <c r="E49" s="243">
        <f t="shared" si="4"/>
        <v>2243478</v>
      </c>
      <c r="F49" s="244">
        <f t="shared" si="5"/>
        <v>0.40979371839525142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1642401</v>
      </c>
      <c r="D50" s="243">
        <f>+D41+D43</f>
        <v>2474645</v>
      </c>
      <c r="E50" s="243">
        <f t="shared" si="4"/>
        <v>832244</v>
      </c>
      <c r="F50" s="244">
        <f t="shared" si="5"/>
        <v>0.50672399736726903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82801468</v>
      </c>
      <c r="D53" s="237">
        <v>85023617</v>
      </c>
      <c r="E53" s="237">
        <f t="shared" ref="E53:E63" si="6">D53-C53</f>
        <v>2222149</v>
      </c>
      <c r="F53" s="238">
        <f t="shared" ref="F53:F63" si="7">IF(C53=0,0,E53/C53)</f>
        <v>2.6837072502144527E-2</v>
      </c>
    </row>
    <row r="54" spans="1:6" ht="20.25" customHeight="1" x14ac:dyDescent="0.3">
      <c r="A54" s="235">
        <v>2</v>
      </c>
      <c r="B54" s="236" t="s">
        <v>435</v>
      </c>
      <c r="C54" s="237">
        <v>28948852</v>
      </c>
      <c r="D54" s="237">
        <v>26633498</v>
      </c>
      <c r="E54" s="237">
        <f t="shared" si="6"/>
        <v>-2315354</v>
      </c>
      <c r="F54" s="238">
        <f t="shared" si="7"/>
        <v>-7.9980857271991307E-2</v>
      </c>
    </row>
    <row r="55" spans="1:6" ht="20.25" customHeight="1" x14ac:dyDescent="0.3">
      <c r="A55" s="235">
        <v>3</v>
      </c>
      <c r="B55" s="236" t="s">
        <v>436</v>
      </c>
      <c r="C55" s="237">
        <v>19988916</v>
      </c>
      <c r="D55" s="237">
        <v>21203849</v>
      </c>
      <c r="E55" s="237">
        <f t="shared" si="6"/>
        <v>1214933</v>
      </c>
      <c r="F55" s="238">
        <f t="shared" si="7"/>
        <v>6.0780334461358484E-2</v>
      </c>
    </row>
    <row r="56" spans="1:6" ht="20.25" customHeight="1" x14ac:dyDescent="0.3">
      <c r="A56" s="235">
        <v>4</v>
      </c>
      <c r="B56" s="236" t="s">
        <v>437</v>
      </c>
      <c r="C56" s="237">
        <v>5730397</v>
      </c>
      <c r="D56" s="237">
        <v>6002357</v>
      </c>
      <c r="E56" s="237">
        <f t="shared" si="6"/>
        <v>271960</v>
      </c>
      <c r="F56" s="238">
        <f t="shared" si="7"/>
        <v>4.7459190000273981E-2</v>
      </c>
    </row>
    <row r="57" spans="1:6" ht="20.25" customHeight="1" x14ac:dyDescent="0.3">
      <c r="A57" s="235">
        <v>5</v>
      </c>
      <c r="B57" s="236" t="s">
        <v>373</v>
      </c>
      <c r="C57" s="239">
        <v>2412</v>
      </c>
      <c r="D57" s="239">
        <v>2393</v>
      </c>
      <c r="E57" s="239">
        <f t="shared" si="6"/>
        <v>-19</v>
      </c>
      <c r="F57" s="238">
        <f t="shared" si="7"/>
        <v>-7.8772802653399674E-3</v>
      </c>
    </row>
    <row r="58" spans="1:6" ht="20.25" customHeight="1" x14ac:dyDescent="0.3">
      <c r="A58" s="235">
        <v>6</v>
      </c>
      <c r="B58" s="236" t="s">
        <v>372</v>
      </c>
      <c r="C58" s="239">
        <v>14849</v>
      </c>
      <c r="D58" s="239">
        <v>13591</v>
      </c>
      <c r="E58" s="239">
        <f t="shared" si="6"/>
        <v>-1258</v>
      </c>
      <c r="F58" s="238">
        <f t="shared" si="7"/>
        <v>-8.4719509731295037E-2</v>
      </c>
    </row>
    <row r="59" spans="1:6" ht="20.25" customHeight="1" x14ac:dyDescent="0.3">
      <c r="A59" s="235">
        <v>7</v>
      </c>
      <c r="B59" s="236" t="s">
        <v>438</v>
      </c>
      <c r="C59" s="239">
        <v>8047</v>
      </c>
      <c r="D59" s="239">
        <v>9071</v>
      </c>
      <c r="E59" s="239">
        <f t="shared" si="6"/>
        <v>1024</v>
      </c>
      <c r="F59" s="238">
        <f t="shared" si="7"/>
        <v>0.12725239219584938</v>
      </c>
    </row>
    <row r="60" spans="1:6" ht="20.25" customHeight="1" x14ac:dyDescent="0.3">
      <c r="A60" s="235">
        <v>8</v>
      </c>
      <c r="B60" s="236" t="s">
        <v>439</v>
      </c>
      <c r="C60" s="239">
        <v>1431</v>
      </c>
      <c r="D60" s="239">
        <v>1480</v>
      </c>
      <c r="E60" s="239">
        <f t="shared" si="6"/>
        <v>49</v>
      </c>
      <c r="F60" s="238">
        <f t="shared" si="7"/>
        <v>3.4241788958770093E-2</v>
      </c>
    </row>
    <row r="61" spans="1:6" ht="20.25" customHeight="1" x14ac:dyDescent="0.3">
      <c r="A61" s="235">
        <v>9</v>
      </c>
      <c r="B61" s="236" t="s">
        <v>440</v>
      </c>
      <c r="C61" s="239">
        <v>1681</v>
      </c>
      <c r="D61" s="239">
        <v>1848</v>
      </c>
      <c r="E61" s="239">
        <f t="shared" si="6"/>
        <v>167</v>
      </c>
      <c r="F61" s="238">
        <f t="shared" si="7"/>
        <v>9.9345627602617489E-2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102790384</v>
      </c>
      <c r="D62" s="243">
        <f>+D53+D55</f>
        <v>106227466</v>
      </c>
      <c r="E62" s="243">
        <f t="shared" si="6"/>
        <v>3437082</v>
      </c>
      <c r="F62" s="244">
        <f t="shared" si="7"/>
        <v>3.3437777603788306E-2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34679249</v>
      </c>
      <c r="D63" s="243">
        <f>+D54+D56</f>
        <v>32635855</v>
      </c>
      <c r="E63" s="243">
        <f t="shared" si="6"/>
        <v>-2043394</v>
      </c>
      <c r="F63" s="244">
        <f t="shared" si="7"/>
        <v>-5.8922671595339336E-2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5230147</v>
      </c>
      <c r="D105" s="237">
        <v>5663302</v>
      </c>
      <c r="E105" s="237">
        <f t="shared" ref="E105:E115" si="14">D105-C105</f>
        <v>433155</v>
      </c>
      <c r="F105" s="238">
        <f t="shared" ref="F105:F115" si="15">IF(C105=0,0,E105/C105)</f>
        <v>8.2818895912485826E-2</v>
      </c>
    </row>
    <row r="106" spans="1:6" ht="20.25" customHeight="1" x14ac:dyDescent="0.3">
      <c r="A106" s="235">
        <v>2</v>
      </c>
      <c r="B106" s="236" t="s">
        <v>435</v>
      </c>
      <c r="C106" s="237">
        <v>1611513</v>
      </c>
      <c r="D106" s="237">
        <v>1929870</v>
      </c>
      <c r="E106" s="237">
        <f t="shared" si="14"/>
        <v>318357</v>
      </c>
      <c r="F106" s="238">
        <f t="shared" si="15"/>
        <v>0.19755161764130974</v>
      </c>
    </row>
    <row r="107" spans="1:6" ht="20.25" customHeight="1" x14ac:dyDescent="0.3">
      <c r="A107" s="235">
        <v>3</v>
      </c>
      <c r="B107" s="236" t="s">
        <v>436</v>
      </c>
      <c r="C107" s="237">
        <v>1729666</v>
      </c>
      <c r="D107" s="237">
        <v>1723883</v>
      </c>
      <c r="E107" s="237">
        <f t="shared" si="14"/>
        <v>-5783</v>
      </c>
      <c r="F107" s="238">
        <f t="shared" si="15"/>
        <v>-3.3434200591328038E-3</v>
      </c>
    </row>
    <row r="108" spans="1:6" ht="20.25" customHeight="1" x14ac:dyDescent="0.3">
      <c r="A108" s="235">
        <v>4</v>
      </c>
      <c r="B108" s="236" t="s">
        <v>437</v>
      </c>
      <c r="C108" s="237">
        <v>486710</v>
      </c>
      <c r="D108" s="237">
        <v>424576</v>
      </c>
      <c r="E108" s="237">
        <f t="shared" si="14"/>
        <v>-62134</v>
      </c>
      <c r="F108" s="238">
        <f t="shared" si="15"/>
        <v>-0.12766123564340162</v>
      </c>
    </row>
    <row r="109" spans="1:6" ht="20.25" customHeight="1" x14ac:dyDescent="0.3">
      <c r="A109" s="235">
        <v>5</v>
      </c>
      <c r="B109" s="236" t="s">
        <v>373</v>
      </c>
      <c r="C109" s="239">
        <v>149</v>
      </c>
      <c r="D109" s="239">
        <v>171</v>
      </c>
      <c r="E109" s="239">
        <f t="shared" si="14"/>
        <v>22</v>
      </c>
      <c r="F109" s="238">
        <f t="shared" si="15"/>
        <v>0.1476510067114094</v>
      </c>
    </row>
    <row r="110" spans="1:6" ht="20.25" customHeight="1" x14ac:dyDescent="0.3">
      <c r="A110" s="235">
        <v>6</v>
      </c>
      <c r="B110" s="236" t="s">
        <v>372</v>
      </c>
      <c r="C110" s="239">
        <v>1049</v>
      </c>
      <c r="D110" s="239">
        <v>1075</v>
      </c>
      <c r="E110" s="239">
        <f t="shared" si="14"/>
        <v>26</v>
      </c>
      <c r="F110" s="238">
        <f t="shared" si="15"/>
        <v>2.4785510009532889E-2</v>
      </c>
    </row>
    <row r="111" spans="1:6" ht="20.25" customHeight="1" x14ac:dyDescent="0.3">
      <c r="A111" s="235">
        <v>7</v>
      </c>
      <c r="B111" s="236" t="s">
        <v>438</v>
      </c>
      <c r="C111" s="239">
        <v>713</v>
      </c>
      <c r="D111" s="239">
        <v>756</v>
      </c>
      <c r="E111" s="239">
        <f t="shared" si="14"/>
        <v>43</v>
      </c>
      <c r="F111" s="238">
        <f t="shared" si="15"/>
        <v>6.0308555399719493E-2</v>
      </c>
    </row>
    <row r="112" spans="1:6" ht="20.25" customHeight="1" x14ac:dyDescent="0.3">
      <c r="A112" s="235">
        <v>8</v>
      </c>
      <c r="B112" s="236" t="s">
        <v>439</v>
      </c>
      <c r="C112" s="239">
        <v>283</v>
      </c>
      <c r="D112" s="239">
        <v>229</v>
      </c>
      <c r="E112" s="239">
        <f t="shared" si="14"/>
        <v>-54</v>
      </c>
      <c r="F112" s="238">
        <f t="shared" si="15"/>
        <v>-0.19081272084805653</v>
      </c>
    </row>
    <row r="113" spans="1:6" ht="20.25" customHeight="1" x14ac:dyDescent="0.3">
      <c r="A113" s="235">
        <v>9</v>
      </c>
      <c r="B113" s="236" t="s">
        <v>440</v>
      </c>
      <c r="C113" s="239">
        <v>111</v>
      </c>
      <c r="D113" s="239">
        <v>136</v>
      </c>
      <c r="E113" s="239">
        <f t="shared" si="14"/>
        <v>25</v>
      </c>
      <c r="F113" s="238">
        <f t="shared" si="15"/>
        <v>0.22522522522522523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6959813</v>
      </c>
      <c r="D114" s="243">
        <f>+D105+D107</f>
        <v>7387185</v>
      </c>
      <c r="E114" s="243">
        <f t="shared" si="14"/>
        <v>427372</v>
      </c>
      <c r="F114" s="244">
        <f t="shared" si="15"/>
        <v>6.1405672824830206E-2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2098223</v>
      </c>
      <c r="D115" s="243">
        <f>+D106+D108</f>
        <v>2354446</v>
      </c>
      <c r="E115" s="243">
        <f t="shared" si="14"/>
        <v>256223</v>
      </c>
      <c r="F115" s="244">
        <f t="shared" si="15"/>
        <v>0.12211428432535532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641282</v>
      </c>
      <c r="D118" s="237">
        <v>2584371</v>
      </c>
      <c r="E118" s="237">
        <f t="shared" ref="E118:E128" si="16">D118-C118</f>
        <v>1943089</v>
      </c>
      <c r="F118" s="238">
        <f t="shared" ref="F118:F128" si="17">IF(C118=0,0,E118/C118)</f>
        <v>3.030007079568739</v>
      </c>
    </row>
    <row r="119" spans="1:6" ht="20.25" customHeight="1" x14ac:dyDescent="0.3">
      <c r="A119" s="235">
        <v>2</v>
      </c>
      <c r="B119" s="236" t="s">
        <v>435</v>
      </c>
      <c r="C119" s="237">
        <v>197624</v>
      </c>
      <c r="D119" s="237">
        <v>742133</v>
      </c>
      <c r="E119" s="237">
        <f t="shared" si="16"/>
        <v>544509</v>
      </c>
      <c r="F119" s="238">
        <f t="shared" si="17"/>
        <v>2.7552776990648908</v>
      </c>
    </row>
    <row r="120" spans="1:6" ht="20.25" customHeight="1" x14ac:dyDescent="0.3">
      <c r="A120" s="235">
        <v>3</v>
      </c>
      <c r="B120" s="236" t="s">
        <v>436</v>
      </c>
      <c r="C120" s="237">
        <v>494757</v>
      </c>
      <c r="D120" s="237">
        <v>672084</v>
      </c>
      <c r="E120" s="237">
        <f t="shared" si="16"/>
        <v>177327</v>
      </c>
      <c r="F120" s="238">
        <f t="shared" si="17"/>
        <v>0.35841231149837194</v>
      </c>
    </row>
    <row r="121" spans="1:6" ht="20.25" customHeight="1" x14ac:dyDescent="0.3">
      <c r="A121" s="235">
        <v>4</v>
      </c>
      <c r="B121" s="236" t="s">
        <v>437</v>
      </c>
      <c r="C121" s="237">
        <v>111573</v>
      </c>
      <c r="D121" s="237">
        <v>171798</v>
      </c>
      <c r="E121" s="237">
        <f t="shared" si="16"/>
        <v>60225</v>
      </c>
      <c r="F121" s="238">
        <f t="shared" si="17"/>
        <v>0.53978112984324167</v>
      </c>
    </row>
    <row r="122" spans="1:6" ht="20.25" customHeight="1" x14ac:dyDescent="0.3">
      <c r="A122" s="235">
        <v>5</v>
      </c>
      <c r="B122" s="236" t="s">
        <v>373</v>
      </c>
      <c r="C122" s="239">
        <v>25</v>
      </c>
      <c r="D122" s="239">
        <v>67</v>
      </c>
      <c r="E122" s="239">
        <f t="shared" si="16"/>
        <v>42</v>
      </c>
      <c r="F122" s="238">
        <f t="shared" si="17"/>
        <v>1.68</v>
      </c>
    </row>
    <row r="123" spans="1:6" ht="20.25" customHeight="1" x14ac:dyDescent="0.3">
      <c r="A123" s="235">
        <v>6</v>
      </c>
      <c r="B123" s="236" t="s">
        <v>372</v>
      </c>
      <c r="C123" s="239">
        <v>140</v>
      </c>
      <c r="D123" s="239">
        <v>391</v>
      </c>
      <c r="E123" s="239">
        <f t="shared" si="16"/>
        <v>251</v>
      </c>
      <c r="F123" s="238">
        <f t="shared" si="17"/>
        <v>1.7928571428571429</v>
      </c>
    </row>
    <row r="124" spans="1:6" ht="20.25" customHeight="1" x14ac:dyDescent="0.3">
      <c r="A124" s="235">
        <v>7</v>
      </c>
      <c r="B124" s="236" t="s">
        <v>438</v>
      </c>
      <c r="C124" s="239">
        <v>255</v>
      </c>
      <c r="D124" s="239">
        <v>429</v>
      </c>
      <c r="E124" s="239">
        <f t="shared" si="16"/>
        <v>174</v>
      </c>
      <c r="F124" s="238">
        <f t="shared" si="17"/>
        <v>0.68235294117647061</v>
      </c>
    </row>
    <row r="125" spans="1:6" ht="20.25" customHeight="1" x14ac:dyDescent="0.3">
      <c r="A125" s="235">
        <v>8</v>
      </c>
      <c r="B125" s="236" t="s">
        <v>439</v>
      </c>
      <c r="C125" s="239">
        <v>48</v>
      </c>
      <c r="D125" s="239">
        <v>69</v>
      </c>
      <c r="E125" s="239">
        <f t="shared" si="16"/>
        <v>21</v>
      </c>
      <c r="F125" s="238">
        <f t="shared" si="17"/>
        <v>0.4375</v>
      </c>
    </row>
    <row r="126" spans="1:6" ht="20.25" customHeight="1" x14ac:dyDescent="0.3">
      <c r="A126" s="235">
        <v>9</v>
      </c>
      <c r="B126" s="236" t="s">
        <v>440</v>
      </c>
      <c r="C126" s="239">
        <v>19</v>
      </c>
      <c r="D126" s="239">
        <v>49</v>
      </c>
      <c r="E126" s="239">
        <f t="shared" si="16"/>
        <v>30</v>
      </c>
      <c r="F126" s="238">
        <f t="shared" si="17"/>
        <v>1.5789473684210527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1136039</v>
      </c>
      <c r="D127" s="243">
        <f>+D118+D120</f>
        <v>3256455</v>
      </c>
      <c r="E127" s="243">
        <f t="shared" si="16"/>
        <v>2120416</v>
      </c>
      <c r="F127" s="244">
        <f t="shared" si="17"/>
        <v>1.8664993015204583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309197</v>
      </c>
      <c r="D128" s="243">
        <f>+D119+D121</f>
        <v>913931</v>
      </c>
      <c r="E128" s="243">
        <f t="shared" si="16"/>
        <v>604734</v>
      </c>
      <c r="F128" s="244">
        <f t="shared" si="17"/>
        <v>1.9558210461291667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881276</v>
      </c>
      <c r="D131" s="237">
        <v>1073268</v>
      </c>
      <c r="E131" s="237">
        <f t="shared" ref="E131:E141" si="18">D131-C131</f>
        <v>191992</v>
      </c>
      <c r="F131" s="238">
        <f t="shared" ref="F131:F141" si="19">IF(C131=0,0,E131/C131)</f>
        <v>0.21785683486217711</v>
      </c>
    </row>
    <row r="132" spans="1:6" ht="20.25" customHeight="1" x14ac:dyDescent="0.3">
      <c r="A132" s="235">
        <v>2</v>
      </c>
      <c r="B132" s="236" t="s">
        <v>435</v>
      </c>
      <c r="C132" s="237">
        <v>250608</v>
      </c>
      <c r="D132" s="237">
        <v>441688</v>
      </c>
      <c r="E132" s="237">
        <f t="shared" si="18"/>
        <v>191080</v>
      </c>
      <c r="F132" s="238">
        <f t="shared" si="19"/>
        <v>0.7624656834578305</v>
      </c>
    </row>
    <row r="133" spans="1:6" ht="20.25" customHeight="1" x14ac:dyDescent="0.3">
      <c r="A133" s="235">
        <v>3</v>
      </c>
      <c r="B133" s="236" t="s">
        <v>436</v>
      </c>
      <c r="C133" s="237">
        <v>89234</v>
      </c>
      <c r="D133" s="237">
        <v>198085</v>
      </c>
      <c r="E133" s="237">
        <f t="shared" si="18"/>
        <v>108851</v>
      </c>
      <c r="F133" s="238">
        <f t="shared" si="19"/>
        <v>1.2198377300132237</v>
      </c>
    </row>
    <row r="134" spans="1:6" ht="20.25" customHeight="1" x14ac:dyDescent="0.3">
      <c r="A134" s="235">
        <v>4</v>
      </c>
      <c r="B134" s="236" t="s">
        <v>437</v>
      </c>
      <c r="C134" s="237">
        <v>23782</v>
      </c>
      <c r="D134" s="237">
        <v>78181</v>
      </c>
      <c r="E134" s="237">
        <f t="shared" si="18"/>
        <v>54399</v>
      </c>
      <c r="F134" s="238">
        <f t="shared" si="19"/>
        <v>2.2874022369859559</v>
      </c>
    </row>
    <row r="135" spans="1:6" ht="20.25" customHeight="1" x14ac:dyDescent="0.3">
      <c r="A135" s="235">
        <v>5</v>
      </c>
      <c r="B135" s="236" t="s">
        <v>373</v>
      </c>
      <c r="C135" s="239">
        <v>26</v>
      </c>
      <c r="D135" s="239">
        <v>35</v>
      </c>
      <c r="E135" s="239">
        <f t="shared" si="18"/>
        <v>9</v>
      </c>
      <c r="F135" s="238">
        <f t="shared" si="19"/>
        <v>0.34615384615384615</v>
      </c>
    </row>
    <row r="136" spans="1:6" ht="20.25" customHeight="1" x14ac:dyDescent="0.3">
      <c r="A136" s="235">
        <v>6</v>
      </c>
      <c r="B136" s="236" t="s">
        <v>372</v>
      </c>
      <c r="C136" s="239">
        <v>139</v>
      </c>
      <c r="D136" s="239">
        <v>197</v>
      </c>
      <c r="E136" s="239">
        <f t="shared" si="18"/>
        <v>58</v>
      </c>
      <c r="F136" s="238">
        <f t="shared" si="19"/>
        <v>0.41726618705035973</v>
      </c>
    </row>
    <row r="137" spans="1:6" ht="20.25" customHeight="1" x14ac:dyDescent="0.3">
      <c r="A137" s="235">
        <v>7</v>
      </c>
      <c r="B137" s="236" t="s">
        <v>438</v>
      </c>
      <c r="C137" s="239">
        <v>62</v>
      </c>
      <c r="D137" s="239">
        <v>84</v>
      </c>
      <c r="E137" s="239">
        <f t="shared" si="18"/>
        <v>22</v>
      </c>
      <c r="F137" s="238">
        <f t="shared" si="19"/>
        <v>0.35483870967741937</v>
      </c>
    </row>
    <row r="138" spans="1:6" ht="20.25" customHeight="1" x14ac:dyDescent="0.3">
      <c r="A138" s="235">
        <v>8</v>
      </c>
      <c r="B138" s="236" t="s">
        <v>439</v>
      </c>
      <c r="C138" s="239">
        <v>27</v>
      </c>
      <c r="D138" s="239">
        <v>34</v>
      </c>
      <c r="E138" s="239">
        <f t="shared" si="18"/>
        <v>7</v>
      </c>
      <c r="F138" s="238">
        <f t="shared" si="19"/>
        <v>0.25925925925925924</v>
      </c>
    </row>
    <row r="139" spans="1:6" ht="20.25" customHeight="1" x14ac:dyDescent="0.3">
      <c r="A139" s="235">
        <v>9</v>
      </c>
      <c r="B139" s="236" t="s">
        <v>440</v>
      </c>
      <c r="C139" s="239">
        <v>19</v>
      </c>
      <c r="D139" s="239">
        <v>30</v>
      </c>
      <c r="E139" s="239">
        <f t="shared" si="18"/>
        <v>11</v>
      </c>
      <c r="F139" s="238">
        <f t="shared" si="19"/>
        <v>0.57894736842105265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970510</v>
      </c>
      <c r="D140" s="243">
        <f>+D131+D133</f>
        <v>1271353</v>
      </c>
      <c r="E140" s="243">
        <f t="shared" si="18"/>
        <v>300843</v>
      </c>
      <c r="F140" s="244">
        <f t="shared" si="19"/>
        <v>0.30998444117010643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274390</v>
      </c>
      <c r="D141" s="243">
        <f>+D132+D134</f>
        <v>519869</v>
      </c>
      <c r="E141" s="243">
        <f t="shared" si="18"/>
        <v>245479</v>
      </c>
      <c r="F141" s="244">
        <f t="shared" si="19"/>
        <v>0.89463537300922047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3319747</v>
      </c>
      <c r="D183" s="237">
        <v>2640430</v>
      </c>
      <c r="E183" s="237">
        <f t="shared" ref="E183:E193" si="26">D183-C183</f>
        <v>-679317</v>
      </c>
      <c r="F183" s="238">
        <f t="shared" ref="F183:F193" si="27">IF(C183=0,0,E183/C183)</f>
        <v>-0.20462914794410539</v>
      </c>
    </row>
    <row r="184" spans="1:6" ht="20.25" customHeight="1" x14ac:dyDescent="0.3">
      <c r="A184" s="235">
        <v>2</v>
      </c>
      <c r="B184" s="236" t="s">
        <v>435</v>
      </c>
      <c r="C184" s="237">
        <v>1119847</v>
      </c>
      <c r="D184" s="237">
        <v>1038681</v>
      </c>
      <c r="E184" s="237">
        <f t="shared" si="26"/>
        <v>-81166</v>
      </c>
      <c r="F184" s="238">
        <f t="shared" si="27"/>
        <v>-7.2479544080575289E-2</v>
      </c>
    </row>
    <row r="185" spans="1:6" ht="20.25" customHeight="1" x14ac:dyDescent="0.3">
      <c r="A185" s="235">
        <v>3</v>
      </c>
      <c r="B185" s="236" t="s">
        <v>436</v>
      </c>
      <c r="C185" s="237">
        <v>1168456</v>
      </c>
      <c r="D185" s="237">
        <v>1251688</v>
      </c>
      <c r="E185" s="237">
        <f t="shared" si="26"/>
        <v>83232</v>
      </c>
      <c r="F185" s="238">
        <f t="shared" si="27"/>
        <v>7.1232464038012561E-2</v>
      </c>
    </row>
    <row r="186" spans="1:6" ht="20.25" customHeight="1" x14ac:dyDescent="0.3">
      <c r="A186" s="235">
        <v>4</v>
      </c>
      <c r="B186" s="236" t="s">
        <v>437</v>
      </c>
      <c r="C186" s="237">
        <v>260894</v>
      </c>
      <c r="D186" s="237">
        <v>303818</v>
      </c>
      <c r="E186" s="237">
        <f t="shared" si="26"/>
        <v>42924</v>
      </c>
      <c r="F186" s="238">
        <f t="shared" si="27"/>
        <v>0.16452658934279824</v>
      </c>
    </row>
    <row r="187" spans="1:6" ht="20.25" customHeight="1" x14ac:dyDescent="0.3">
      <c r="A187" s="235">
        <v>5</v>
      </c>
      <c r="B187" s="236" t="s">
        <v>373</v>
      </c>
      <c r="C187" s="239">
        <v>108</v>
      </c>
      <c r="D187" s="239">
        <v>93</v>
      </c>
      <c r="E187" s="239">
        <f t="shared" si="26"/>
        <v>-15</v>
      </c>
      <c r="F187" s="238">
        <f t="shared" si="27"/>
        <v>-0.1388888888888889</v>
      </c>
    </row>
    <row r="188" spans="1:6" ht="20.25" customHeight="1" x14ac:dyDescent="0.3">
      <c r="A188" s="235">
        <v>6</v>
      </c>
      <c r="B188" s="236" t="s">
        <v>372</v>
      </c>
      <c r="C188" s="239">
        <v>606</v>
      </c>
      <c r="D188" s="239">
        <v>485</v>
      </c>
      <c r="E188" s="239">
        <f t="shared" si="26"/>
        <v>-121</v>
      </c>
      <c r="F188" s="238">
        <f t="shared" si="27"/>
        <v>-0.19966996699669967</v>
      </c>
    </row>
    <row r="189" spans="1:6" ht="20.25" customHeight="1" x14ac:dyDescent="0.3">
      <c r="A189" s="235">
        <v>7</v>
      </c>
      <c r="B189" s="236" t="s">
        <v>438</v>
      </c>
      <c r="C189" s="239">
        <v>466</v>
      </c>
      <c r="D189" s="239">
        <v>512</v>
      </c>
      <c r="E189" s="239">
        <f t="shared" si="26"/>
        <v>46</v>
      </c>
      <c r="F189" s="238">
        <f t="shared" si="27"/>
        <v>9.8712446351931327E-2</v>
      </c>
    </row>
    <row r="190" spans="1:6" ht="20.25" customHeight="1" x14ac:dyDescent="0.3">
      <c r="A190" s="235">
        <v>8</v>
      </c>
      <c r="B190" s="236" t="s">
        <v>439</v>
      </c>
      <c r="C190" s="239">
        <v>130</v>
      </c>
      <c r="D190" s="239">
        <v>110</v>
      </c>
      <c r="E190" s="239">
        <f t="shared" si="26"/>
        <v>-20</v>
      </c>
      <c r="F190" s="238">
        <f t="shared" si="27"/>
        <v>-0.15384615384615385</v>
      </c>
    </row>
    <row r="191" spans="1:6" ht="20.25" customHeight="1" x14ac:dyDescent="0.3">
      <c r="A191" s="235">
        <v>9</v>
      </c>
      <c r="B191" s="236" t="s">
        <v>440</v>
      </c>
      <c r="C191" s="239">
        <v>72</v>
      </c>
      <c r="D191" s="239">
        <v>90</v>
      </c>
      <c r="E191" s="239">
        <f t="shared" si="26"/>
        <v>18</v>
      </c>
      <c r="F191" s="238">
        <f t="shared" si="27"/>
        <v>0.25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4488203</v>
      </c>
      <c r="D192" s="243">
        <f>+D183+D185</f>
        <v>3892118</v>
      </c>
      <c r="E192" s="243">
        <f t="shared" si="26"/>
        <v>-596085</v>
      </c>
      <c r="F192" s="244">
        <f t="shared" si="27"/>
        <v>-0.13281150607492576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1380741</v>
      </c>
      <c r="D193" s="243">
        <f>+D184+D186</f>
        <v>1342499</v>
      </c>
      <c r="E193" s="243">
        <f t="shared" si="26"/>
        <v>-38242</v>
      </c>
      <c r="F193" s="244">
        <f t="shared" si="27"/>
        <v>-2.7696722267246357E-2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459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97381396</v>
      </c>
      <c r="D198" s="243">
        <f t="shared" si="28"/>
        <v>103643190</v>
      </c>
      <c r="E198" s="243">
        <f t="shared" ref="E198:E208" si="29">D198-C198</f>
        <v>6261794</v>
      </c>
      <c r="F198" s="251">
        <f t="shared" ref="F198:F208" si="30">IF(C198=0,0,E198/C198)</f>
        <v>6.430174814910232E-2</v>
      </c>
    </row>
    <row r="199" spans="1:9" ht="20.25" customHeight="1" x14ac:dyDescent="0.3">
      <c r="A199" s="249"/>
      <c r="B199" s="250" t="s">
        <v>461</v>
      </c>
      <c r="C199" s="243">
        <f t="shared" si="28"/>
        <v>33638866</v>
      </c>
      <c r="D199" s="243">
        <f t="shared" si="28"/>
        <v>32953688</v>
      </c>
      <c r="E199" s="243">
        <f t="shared" si="29"/>
        <v>-685178</v>
      </c>
      <c r="F199" s="251">
        <f t="shared" si="30"/>
        <v>-2.0368641439934391E-2</v>
      </c>
    </row>
    <row r="200" spans="1:9" ht="20.25" customHeight="1" x14ac:dyDescent="0.3">
      <c r="A200" s="249"/>
      <c r="B200" s="250" t="s">
        <v>462</v>
      </c>
      <c r="C200" s="243">
        <f t="shared" si="28"/>
        <v>24956462</v>
      </c>
      <c r="D200" s="243">
        <f t="shared" si="28"/>
        <v>27236342</v>
      </c>
      <c r="E200" s="243">
        <f t="shared" si="29"/>
        <v>2279880</v>
      </c>
      <c r="F200" s="251">
        <f t="shared" si="30"/>
        <v>9.1354295332407298E-2</v>
      </c>
    </row>
    <row r="201" spans="1:9" ht="20.25" customHeight="1" x14ac:dyDescent="0.3">
      <c r="A201" s="249"/>
      <c r="B201" s="250" t="s">
        <v>463</v>
      </c>
      <c r="C201" s="243">
        <f t="shared" si="28"/>
        <v>6965399</v>
      </c>
      <c r="D201" s="243">
        <f t="shared" si="28"/>
        <v>7604170</v>
      </c>
      <c r="E201" s="243">
        <f t="shared" si="29"/>
        <v>638771</v>
      </c>
      <c r="F201" s="251">
        <f t="shared" si="30"/>
        <v>9.1706304261966909E-2</v>
      </c>
    </row>
    <row r="202" spans="1:9" ht="20.25" customHeight="1" x14ac:dyDescent="0.3">
      <c r="A202" s="249"/>
      <c r="B202" s="250" t="s">
        <v>464</v>
      </c>
      <c r="C202" s="252">
        <f t="shared" si="28"/>
        <v>2870</v>
      </c>
      <c r="D202" s="252">
        <f t="shared" si="28"/>
        <v>2942</v>
      </c>
      <c r="E202" s="252">
        <f t="shared" si="29"/>
        <v>72</v>
      </c>
      <c r="F202" s="251">
        <f t="shared" si="30"/>
        <v>2.5087108013937282E-2</v>
      </c>
    </row>
    <row r="203" spans="1:9" ht="20.25" customHeight="1" x14ac:dyDescent="0.3">
      <c r="A203" s="249"/>
      <c r="B203" s="250" t="s">
        <v>465</v>
      </c>
      <c r="C203" s="252">
        <f t="shared" si="28"/>
        <v>17559</v>
      </c>
      <c r="D203" s="252">
        <f t="shared" si="28"/>
        <v>16791</v>
      </c>
      <c r="E203" s="252">
        <f t="shared" si="29"/>
        <v>-768</v>
      </c>
      <c r="F203" s="251">
        <f t="shared" si="30"/>
        <v>-4.373825388689561E-2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10206</v>
      </c>
      <c r="D204" s="252">
        <f t="shared" si="28"/>
        <v>12086</v>
      </c>
      <c r="E204" s="252">
        <f t="shared" si="29"/>
        <v>1880</v>
      </c>
      <c r="F204" s="251">
        <f t="shared" si="30"/>
        <v>0.18420536939055457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2010</v>
      </c>
      <c r="D205" s="252">
        <f t="shared" si="28"/>
        <v>2021</v>
      </c>
      <c r="E205" s="252">
        <f t="shared" si="29"/>
        <v>11</v>
      </c>
      <c r="F205" s="251">
        <f t="shared" si="30"/>
        <v>5.4726368159203984E-3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2004</v>
      </c>
      <c r="D206" s="252">
        <f t="shared" si="28"/>
        <v>2296</v>
      </c>
      <c r="E206" s="252">
        <f t="shared" si="29"/>
        <v>292</v>
      </c>
      <c r="F206" s="251">
        <f t="shared" si="30"/>
        <v>0.14570858283433133</v>
      </c>
    </row>
    <row r="207" spans="1:9" ht="20.25" customHeight="1" x14ac:dyDescent="0.3">
      <c r="A207" s="249"/>
      <c r="B207" s="242" t="s">
        <v>469</v>
      </c>
      <c r="C207" s="243">
        <f>+C198+C200</f>
        <v>122337858</v>
      </c>
      <c r="D207" s="243">
        <f>+D198+D200</f>
        <v>130879532</v>
      </c>
      <c r="E207" s="243">
        <f t="shared" si="29"/>
        <v>8541674</v>
      </c>
      <c r="F207" s="251">
        <f t="shared" si="30"/>
        <v>6.9820365826578398E-2</v>
      </c>
    </row>
    <row r="208" spans="1:9" ht="20.25" customHeight="1" x14ac:dyDescent="0.3">
      <c r="A208" s="249"/>
      <c r="B208" s="242" t="s">
        <v>470</v>
      </c>
      <c r="C208" s="243">
        <f>+C199+C201</f>
        <v>40604265</v>
      </c>
      <c r="D208" s="243">
        <f>+D199+D201</f>
        <v>40557858</v>
      </c>
      <c r="E208" s="243">
        <f t="shared" si="29"/>
        <v>-46407</v>
      </c>
      <c r="F208" s="251">
        <f t="shared" si="30"/>
        <v>-1.1429094948523265E-3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FILING&amp;RSAINT VINCENT`S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2" zoomScale="70" zoomScaleNormal="70" workbookViewId="0">
      <selection activeCell="A2" sqref="A2:F2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471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1797253</v>
      </c>
      <c r="D14" s="237">
        <v>0</v>
      </c>
      <c r="E14" s="237">
        <f t="shared" ref="E14:E24" si="0">D14-C14</f>
        <v>-1797253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592031</v>
      </c>
      <c r="D15" s="237">
        <v>0</v>
      </c>
      <c r="E15" s="237">
        <f t="shared" si="0"/>
        <v>-592031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2117584</v>
      </c>
      <c r="D16" s="237">
        <v>0</v>
      </c>
      <c r="E16" s="237">
        <f t="shared" si="0"/>
        <v>-2117584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916316</v>
      </c>
      <c r="D17" s="237">
        <v>0</v>
      </c>
      <c r="E17" s="237">
        <f t="shared" si="0"/>
        <v>-916316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149</v>
      </c>
      <c r="D18" s="239">
        <v>0</v>
      </c>
      <c r="E18" s="239">
        <f t="shared" si="0"/>
        <v>-149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431</v>
      </c>
      <c r="D19" s="239">
        <v>0</v>
      </c>
      <c r="E19" s="239">
        <f t="shared" si="0"/>
        <v>-431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1958</v>
      </c>
      <c r="D20" s="239">
        <v>0</v>
      </c>
      <c r="E20" s="239">
        <f t="shared" si="0"/>
        <v>-1958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891</v>
      </c>
      <c r="D21" s="239">
        <v>0</v>
      </c>
      <c r="E21" s="239">
        <f t="shared" si="0"/>
        <v>-891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52</v>
      </c>
      <c r="D22" s="239">
        <v>0</v>
      </c>
      <c r="E22" s="239">
        <f t="shared" si="0"/>
        <v>-52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3914837</v>
      </c>
      <c r="D23" s="243">
        <f>+D14+D16</f>
        <v>0</v>
      </c>
      <c r="E23" s="243">
        <f t="shared" si="0"/>
        <v>-3914837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1508347</v>
      </c>
      <c r="D24" s="243">
        <f>+D15+D17</f>
        <v>0</v>
      </c>
      <c r="E24" s="243">
        <f t="shared" si="0"/>
        <v>-1508347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7315635</v>
      </c>
      <c r="D26" s="237">
        <v>8854379</v>
      </c>
      <c r="E26" s="237">
        <f t="shared" ref="E26:E36" si="2">D26-C26</f>
        <v>1538744</v>
      </c>
      <c r="F26" s="238">
        <f t="shared" ref="F26:F36" si="3">IF(C26=0,0,E26/C26)</f>
        <v>0.21033635494389755</v>
      </c>
    </row>
    <row r="27" spans="1:6" ht="20.25" customHeight="1" x14ac:dyDescent="0.3">
      <c r="A27" s="235">
        <v>2</v>
      </c>
      <c r="B27" s="236" t="s">
        <v>435</v>
      </c>
      <c r="C27" s="237">
        <v>1746994</v>
      </c>
      <c r="D27" s="237">
        <v>2161032</v>
      </c>
      <c r="E27" s="237">
        <f t="shared" si="2"/>
        <v>414038</v>
      </c>
      <c r="F27" s="238">
        <f t="shared" si="3"/>
        <v>0.2370002415577844</v>
      </c>
    </row>
    <row r="28" spans="1:6" ht="20.25" customHeight="1" x14ac:dyDescent="0.3">
      <c r="A28" s="235">
        <v>3</v>
      </c>
      <c r="B28" s="236" t="s">
        <v>436</v>
      </c>
      <c r="C28" s="237">
        <v>9881200</v>
      </c>
      <c r="D28" s="237">
        <v>13255933</v>
      </c>
      <c r="E28" s="237">
        <f t="shared" si="2"/>
        <v>3374733</v>
      </c>
      <c r="F28" s="238">
        <f t="shared" si="3"/>
        <v>0.34153068453224306</v>
      </c>
    </row>
    <row r="29" spans="1:6" ht="20.25" customHeight="1" x14ac:dyDescent="0.3">
      <c r="A29" s="235">
        <v>4</v>
      </c>
      <c r="B29" s="236" t="s">
        <v>437</v>
      </c>
      <c r="C29" s="237">
        <v>3370552</v>
      </c>
      <c r="D29" s="237">
        <v>3438323</v>
      </c>
      <c r="E29" s="237">
        <f t="shared" si="2"/>
        <v>67771</v>
      </c>
      <c r="F29" s="238">
        <f t="shared" si="3"/>
        <v>2.0106795563456667E-2</v>
      </c>
    </row>
    <row r="30" spans="1:6" ht="20.25" customHeight="1" x14ac:dyDescent="0.3">
      <c r="A30" s="235">
        <v>5</v>
      </c>
      <c r="B30" s="236" t="s">
        <v>373</v>
      </c>
      <c r="C30" s="239">
        <v>609</v>
      </c>
      <c r="D30" s="239">
        <v>713</v>
      </c>
      <c r="E30" s="239">
        <f t="shared" si="2"/>
        <v>104</v>
      </c>
      <c r="F30" s="238">
        <f t="shared" si="3"/>
        <v>0.17077175697865354</v>
      </c>
    </row>
    <row r="31" spans="1:6" ht="20.25" customHeight="1" x14ac:dyDescent="0.3">
      <c r="A31" s="235">
        <v>6</v>
      </c>
      <c r="B31" s="236" t="s">
        <v>372</v>
      </c>
      <c r="C31" s="239">
        <v>1830</v>
      </c>
      <c r="D31" s="239">
        <v>1980</v>
      </c>
      <c r="E31" s="239">
        <f t="shared" si="2"/>
        <v>150</v>
      </c>
      <c r="F31" s="238">
        <f t="shared" si="3"/>
        <v>8.1967213114754092E-2</v>
      </c>
    </row>
    <row r="32" spans="1:6" ht="20.25" customHeight="1" x14ac:dyDescent="0.3">
      <c r="A32" s="235">
        <v>7</v>
      </c>
      <c r="B32" s="236" t="s">
        <v>438</v>
      </c>
      <c r="C32" s="239">
        <v>9678</v>
      </c>
      <c r="D32" s="239">
        <v>11794</v>
      </c>
      <c r="E32" s="239">
        <f t="shared" si="2"/>
        <v>2116</v>
      </c>
      <c r="F32" s="238">
        <f t="shared" si="3"/>
        <v>0.21864021492043811</v>
      </c>
    </row>
    <row r="33" spans="1:6" ht="20.25" customHeight="1" x14ac:dyDescent="0.3">
      <c r="A33" s="235">
        <v>8</v>
      </c>
      <c r="B33" s="236" t="s">
        <v>439</v>
      </c>
      <c r="C33" s="239">
        <v>5487</v>
      </c>
      <c r="D33" s="239">
        <v>7291</v>
      </c>
      <c r="E33" s="239">
        <f t="shared" si="2"/>
        <v>1804</v>
      </c>
      <c r="F33" s="238">
        <f t="shared" si="3"/>
        <v>0.3287771095316202</v>
      </c>
    </row>
    <row r="34" spans="1:6" ht="20.25" customHeight="1" x14ac:dyDescent="0.3">
      <c r="A34" s="235">
        <v>9</v>
      </c>
      <c r="B34" s="236" t="s">
        <v>440</v>
      </c>
      <c r="C34" s="239">
        <v>161</v>
      </c>
      <c r="D34" s="239">
        <v>196</v>
      </c>
      <c r="E34" s="239">
        <f t="shared" si="2"/>
        <v>35</v>
      </c>
      <c r="F34" s="238">
        <f t="shared" si="3"/>
        <v>0.21739130434782608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17196835</v>
      </c>
      <c r="D35" s="243">
        <f>+D26+D28</f>
        <v>22110312</v>
      </c>
      <c r="E35" s="243">
        <f t="shared" si="2"/>
        <v>4913477</v>
      </c>
      <c r="F35" s="244">
        <f t="shared" si="3"/>
        <v>0.28571984321533583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5117546</v>
      </c>
      <c r="D36" s="243">
        <f>+D27+D29</f>
        <v>5599355</v>
      </c>
      <c r="E36" s="243">
        <f t="shared" si="2"/>
        <v>481809</v>
      </c>
      <c r="F36" s="244">
        <f t="shared" si="3"/>
        <v>9.4148445368151062E-2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8336</v>
      </c>
      <c r="D40" s="237">
        <v>0</v>
      </c>
      <c r="E40" s="237">
        <f t="shared" si="4"/>
        <v>-8336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437</v>
      </c>
      <c r="C41" s="237">
        <v>8336</v>
      </c>
      <c r="D41" s="237">
        <v>0</v>
      </c>
      <c r="E41" s="237">
        <f t="shared" si="4"/>
        <v>-8336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3</v>
      </c>
      <c r="D44" s="239">
        <v>0</v>
      </c>
      <c r="E44" s="239">
        <f t="shared" si="4"/>
        <v>-3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1</v>
      </c>
      <c r="D45" s="239">
        <v>0</v>
      </c>
      <c r="E45" s="239">
        <f t="shared" si="4"/>
        <v>-1</v>
      </c>
      <c r="F45" s="238">
        <f t="shared" si="5"/>
        <v>-1</v>
      </c>
    </row>
    <row r="46" spans="1:6" ht="20.25" customHeight="1" x14ac:dyDescent="0.3">
      <c r="A46" s="235">
        <v>9</v>
      </c>
      <c r="B46" s="236" t="s">
        <v>440</v>
      </c>
      <c r="C46" s="239">
        <v>1</v>
      </c>
      <c r="D46" s="239">
        <v>0</v>
      </c>
      <c r="E46" s="239">
        <f t="shared" si="4"/>
        <v>-1</v>
      </c>
      <c r="F46" s="238">
        <f t="shared" si="5"/>
        <v>-1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8336</v>
      </c>
      <c r="D47" s="243">
        <f>+D38+D40</f>
        <v>0</v>
      </c>
      <c r="E47" s="243">
        <f t="shared" si="4"/>
        <v>-8336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8336</v>
      </c>
      <c r="D48" s="243">
        <f>+D39+D41</f>
        <v>0</v>
      </c>
      <c r="E48" s="243">
        <f t="shared" si="4"/>
        <v>-8336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18361105</v>
      </c>
      <c r="D50" s="237">
        <v>15493609</v>
      </c>
      <c r="E50" s="237">
        <f t="shared" ref="E50:E60" si="6">D50-C50</f>
        <v>-2867496</v>
      </c>
      <c r="F50" s="238">
        <f t="shared" ref="F50:F60" si="7">IF(C50=0,0,E50/C50)</f>
        <v>-0.15617230008760366</v>
      </c>
    </row>
    <row r="51" spans="1:6" ht="20.25" customHeight="1" x14ac:dyDescent="0.3">
      <c r="A51" s="235">
        <v>2</v>
      </c>
      <c r="B51" s="236" t="s">
        <v>435</v>
      </c>
      <c r="C51" s="237">
        <v>4341623</v>
      </c>
      <c r="D51" s="237">
        <v>4954991</v>
      </c>
      <c r="E51" s="237">
        <f t="shared" si="6"/>
        <v>613368</v>
      </c>
      <c r="F51" s="238">
        <f t="shared" si="7"/>
        <v>0.14127620016754103</v>
      </c>
    </row>
    <row r="52" spans="1:6" ht="20.25" customHeight="1" x14ac:dyDescent="0.3">
      <c r="A52" s="235">
        <v>3</v>
      </c>
      <c r="B52" s="236" t="s">
        <v>436</v>
      </c>
      <c r="C52" s="237">
        <v>1530264</v>
      </c>
      <c r="D52" s="237">
        <v>2057950</v>
      </c>
      <c r="E52" s="237">
        <f t="shared" si="6"/>
        <v>527686</v>
      </c>
      <c r="F52" s="238">
        <f t="shared" si="7"/>
        <v>0.34483330980798083</v>
      </c>
    </row>
    <row r="53" spans="1:6" ht="20.25" customHeight="1" x14ac:dyDescent="0.3">
      <c r="A53" s="235">
        <v>4</v>
      </c>
      <c r="B53" s="236" t="s">
        <v>437</v>
      </c>
      <c r="C53" s="237">
        <v>400936</v>
      </c>
      <c r="D53" s="237">
        <v>451193</v>
      </c>
      <c r="E53" s="237">
        <f t="shared" si="6"/>
        <v>50257</v>
      </c>
      <c r="F53" s="238">
        <f t="shared" si="7"/>
        <v>0.12534918291198596</v>
      </c>
    </row>
    <row r="54" spans="1:6" ht="20.25" customHeight="1" x14ac:dyDescent="0.3">
      <c r="A54" s="235">
        <v>5</v>
      </c>
      <c r="B54" s="236" t="s">
        <v>373</v>
      </c>
      <c r="C54" s="239">
        <v>730</v>
      </c>
      <c r="D54" s="239">
        <v>557</v>
      </c>
      <c r="E54" s="239">
        <f t="shared" si="6"/>
        <v>-173</v>
      </c>
      <c r="F54" s="238">
        <f t="shared" si="7"/>
        <v>-0.23698630136986301</v>
      </c>
    </row>
    <row r="55" spans="1:6" ht="20.25" customHeight="1" x14ac:dyDescent="0.3">
      <c r="A55" s="235">
        <v>6</v>
      </c>
      <c r="B55" s="236" t="s">
        <v>372</v>
      </c>
      <c r="C55" s="239">
        <v>7302</v>
      </c>
      <c r="D55" s="239">
        <v>5643</v>
      </c>
      <c r="E55" s="239">
        <f t="shared" si="6"/>
        <v>-1659</v>
      </c>
      <c r="F55" s="238">
        <f t="shared" si="7"/>
        <v>-0.22719802793755137</v>
      </c>
    </row>
    <row r="56" spans="1:6" ht="20.25" customHeight="1" x14ac:dyDescent="0.3">
      <c r="A56" s="235">
        <v>7</v>
      </c>
      <c r="B56" s="236" t="s">
        <v>438</v>
      </c>
      <c r="C56" s="239">
        <v>622</v>
      </c>
      <c r="D56" s="239">
        <v>3256</v>
      </c>
      <c r="E56" s="239">
        <f t="shared" si="6"/>
        <v>2634</v>
      </c>
      <c r="F56" s="238">
        <f t="shared" si="7"/>
        <v>4.234726688102894</v>
      </c>
    </row>
    <row r="57" spans="1:6" ht="20.25" customHeight="1" x14ac:dyDescent="0.3">
      <c r="A57" s="235">
        <v>8</v>
      </c>
      <c r="B57" s="236" t="s">
        <v>439</v>
      </c>
      <c r="C57" s="239">
        <v>1081</v>
      </c>
      <c r="D57" s="239">
        <v>285</v>
      </c>
      <c r="E57" s="239">
        <f t="shared" si="6"/>
        <v>-796</v>
      </c>
      <c r="F57" s="238">
        <f t="shared" si="7"/>
        <v>-0.73635522664199815</v>
      </c>
    </row>
    <row r="58" spans="1:6" ht="20.25" customHeight="1" x14ac:dyDescent="0.3">
      <c r="A58" s="235">
        <v>9</v>
      </c>
      <c r="B58" s="236" t="s">
        <v>440</v>
      </c>
      <c r="C58" s="239">
        <v>349</v>
      </c>
      <c r="D58" s="239">
        <v>311</v>
      </c>
      <c r="E58" s="239">
        <f t="shared" si="6"/>
        <v>-38</v>
      </c>
      <c r="F58" s="238">
        <f t="shared" si="7"/>
        <v>-0.10888252148997135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19891369</v>
      </c>
      <c r="D59" s="243">
        <f>+D50+D52</f>
        <v>17551559</v>
      </c>
      <c r="E59" s="243">
        <f t="shared" si="6"/>
        <v>-2339810</v>
      </c>
      <c r="F59" s="244">
        <f t="shared" si="7"/>
        <v>-0.11762941002200503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4742559</v>
      </c>
      <c r="D60" s="243">
        <f>+D51+D53</f>
        <v>5406184</v>
      </c>
      <c r="E60" s="243">
        <f t="shared" si="6"/>
        <v>663625</v>
      </c>
      <c r="F60" s="244">
        <f t="shared" si="7"/>
        <v>0.13992972992007058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2754</v>
      </c>
      <c r="D76" s="237">
        <v>0</v>
      </c>
      <c r="E76" s="237">
        <f t="shared" si="10"/>
        <v>-2754</v>
      </c>
      <c r="F76" s="238">
        <f t="shared" si="11"/>
        <v>-1</v>
      </c>
    </row>
    <row r="77" spans="1:6" ht="20.25" customHeight="1" x14ac:dyDescent="0.3">
      <c r="A77" s="235">
        <v>4</v>
      </c>
      <c r="B77" s="236" t="s">
        <v>437</v>
      </c>
      <c r="C77" s="237">
        <v>1634</v>
      </c>
      <c r="D77" s="237">
        <v>0</v>
      </c>
      <c r="E77" s="237">
        <f t="shared" si="10"/>
        <v>-1634</v>
      </c>
      <c r="F77" s="238">
        <f t="shared" si="11"/>
        <v>-1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2</v>
      </c>
      <c r="D81" s="239">
        <v>0</v>
      </c>
      <c r="E81" s="239">
        <f t="shared" si="10"/>
        <v>-2</v>
      </c>
      <c r="F81" s="238">
        <f t="shared" si="11"/>
        <v>-1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2754</v>
      </c>
      <c r="D83" s="243">
        <f>+D74+D76</f>
        <v>0</v>
      </c>
      <c r="E83" s="243">
        <f t="shared" si="10"/>
        <v>-2754</v>
      </c>
      <c r="F83" s="244">
        <f t="shared" si="11"/>
        <v>-1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1634</v>
      </c>
      <c r="D84" s="243">
        <f>+D75+D77</f>
        <v>0</v>
      </c>
      <c r="E84" s="243">
        <f t="shared" si="10"/>
        <v>-1634</v>
      </c>
      <c r="F84" s="244">
        <f t="shared" si="11"/>
        <v>-1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2954816</v>
      </c>
      <c r="E86" s="237">
        <f t="shared" ref="E86:E96" si="12">D86-C86</f>
        <v>2954816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690754</v>
      </c>
      <c r="E87" s="237">
        <f t="shared" si="12"/>
        <v>690754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2626600</v>
      </c>
      <c r="E88" s="237">
        <f t="shared" si="12"/>
        <v>2626600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703940</v>
      </c>
      <c r="E89" s="237">
        <f t="shared" si="12"/>
        <v>703940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182</v>
      </c>
      <c r="E90" s="239">
        <f t="shared" si="12"/>
        <v>182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673</v>
      </c>
      <c r="E91" s="239">
        <f t="shared" si="12"/>
        <v>673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2051</v>
      </c>
      <c r="E92" s="239">
        <f t="shared" si="12"/>
        <v>2051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1393</v>
      </c>
      <c r="E93" s="239">
        <f t="shared" si="12"/>
        <v>1393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45</v>
      </c>
      <c r="E94" s="239">
        <f t="shared" si="12"/>
        <v>45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5581416</v>
      </c>
      <c r="E95" s="243">
        <f t="shared" si="12"/>
        <v>5581416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1394694</v>
      </c>
      <c r="E96" s="243">
        <f t="shared" si="12"/>
        <v>1394694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353837</v>
      </c>
      <c r="D98" s="237">
        <v>3935093</v>
      </c>
      <c r="E98" s="237">
        <f t="shared" ref="E98:E108" si="14">D98-C98</f>
        <v>3581256</v>
      </c>
      <c r="F98" s="238">
        <f t="shared" ref="F98:F108" si="15">IF(C98=0,0,E98/C98)</f>
        <v>10.121202700678561</v>
      </c>
    </row>
    <row r="99" spans="1:7" ht="20.25" customHeight="1" x14ac:dyDescent="0.3">
      <c r="A99" s="235">
        <v>2</v>
      </c>
      <c r="B99" s="236" t="s">
        <v>435</v>
      </c>
      <c r="C99" s="237">
        <v>3483</v>
      </c>
      <c r="D99" s="237">
        <v>1339890</v>
      </c>
      <c r="E99" s="237">
        <f t="shared" si="14"/>
        <v>1336407</v>
      </c>
      <c r="F99" s="238">
        <f t="shared" si="15"/>
        <v>383.69422911283374</v>
      </c>
    </row>
    <row r="100" spans="1:7" ht="20.25" customHeight="1" x14ac:dyDescent="0.3">
      <c r="A100" s="235">
        <v>3</v>
      </c>
      <c r="B100" s="236" t="s">
        <v>436</v>
      </c>
      <c r="C100" s="237">
        <v>326556</v>
      </c>
      <c r="D100" s="237">
        <v>3982351</v>
      </c>
      <c r="E100" s="237">
        <f t="shared" si="14"/>
        <v>3655795</v>
      </c>
      <c r="F100" s="238">
        <f t="shared" si="15"/>
        <v>11.195001776111907</v>
      </c>
    </row>
    <row r="101" spans="1:7" ht="20.25" customHeight="1" x14ac:dyDescent="0.3">
      <c r="A101" s="235">
        <v>4</v>
      </c>
      <c r="B101" s="236" t="s">
        <v>437</v>
      </c>
      <c r="C101" s="237">
        <v>53635</v>
      </c>
      <c r="D101" s="237">
        <v>1063586</v>
      </c>
      <c r="E101" s="237">
        <f t="shared" si="14"/>
        <v>1009951</v>
      </c>
      <c r="F101" s="238">
        <f t="shared" si="15"/>
        <v>18.83007364594015</v>
      </c>
    </row>
    <row r="102" spans="1:7" ht="20.25" customHeight="1" x14ac:dyDescent="0.3">
      <c r="A102" s="235">
        <v>5</v>
      </c>
      <c r="B102" s="236" t="s">
        <v>373</v>
      </c>
      <c r="C102" s="239">
        <v>16</v>
      </c>
      <c r="D102" s="239">
        <v>273</v>
      </c>
      <c r="E102" s="239">
        <f t="shared" si="14"/>
        <v>257</v>
      </c>
      <c r="F102" s="238">
        <f t="shared" si="15"/>
        <v>16.0625</v>
      </c>
    </row>
    <row r="103" spans="1:7" ht="20.25" customHeight="1" x14ac:dyDescent="0.3">
      <c r="A103" s="235">
        <v>6</v>
      </c>
      <c r="B103" s="236" t="s">
        <v>372</v>
      </c>
      <c r="C103" s="239">
        <v>96</v>
      </c>
      <c r="D103" s="239">
        <v>953</v>
      </c>
      <c r="E103" s="239">
        <f t="shared" si="14"/>
        <v>857</v>
      </c>
      <c r="F103" s="238">
        <f t="shared" si="15"/>
        <v>8.9270833333333339</v>
      </c>
    </row>
    <row r="104" spans="1:7" ht="20.25" customHeight="1" x14ac:dyDescent="0.3">
      <c r="A104" s="235">
        <v>7</v>
      </c>
      <c r="B104" s="236" t="s">
        <v>438</v>
      </c>
      <c r="C104" s="239">
        <v>410</v>
      </c>
      <c r="D104" s="239">
        <v>3515</v>
      </c>
      <c r="E104" s="239">
        <f t="shared" si="14"/>
        <v>3105</v>
      </c>
      <c r="F104" s="238">
        <f t="shared" si="15"/>
        <v>7.5731707317073171</v>
      </c>
    </row>
    <row r="105" spans="1:7" ht="20.25" customHeight="1" x14ac:dyDescent="0.3">
      <c r="A105" s="235">
        <v>8</v>
      </c>
      <c r="B105" s="236" t="s">
        <v>439</v>
      </c>
      <c r="C105" s="239">
        <v>146</v>
      </c>
      <c r="D105" s="239">
        <v>1907</v>
      </c>
      <c r="E105" s="239">
        <f t="shared" si="14"/>
        <v>1761</v>
      </c>
      <c r="F105" s="238">
        <f t="shared" si="15"/>
        <v>12.061643835616438</v>
      </c>
    </row>
    <row r="106" spans="1:7" ht="20.25" customHeight="1" x14ac:dyDescent="0.3">
      <c r="A106" s="235">
        <v>9</v>
      </c>
      <c r="B106" s="236" t="s">
        <v>440</v>
      </c>
      <c r="C106" s="239">
        <v>9</v>
      </c>
      <c r="D106" s="239">
        <v>97</v>
      </c>
      <c r="E106" s="239">
        <f t="shared" si="14"/>
        <v>88</v>
      </c>
      <c r="F106" s="238">
        <f t="shared" si="15"/>
        <v>9.7777777777777786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680393</v>
      </c>
      <c r="D107" s="243">
        <f>+D98+D100</f>
        <v>7917444</v>
      </c>
      <c r="E107" s="243">
        <f t="shared" si="14"/>
        <v>7237051</v>
      </c>
      <c r="F107" s="244">
        <f t="shared" si="15"/>
        <v>10.636574744302189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57118</v>
      </c>
      <c r="D108" s="243">
        <f>+D99+D101</f>
        <v>2403476</v>
      </c>
      <c r="E108" s="243">
        <f t="shared" si="14"/>
        <v>2346358</v>
      </c>
      <c r="F108" s="244">
        <f t="shared" si="15"/>
        <v>41.079134423474208</v>
      </c>
    </row>
    <row r="109" spans="1:7" s="240" customFormat="1" ht="20.25" customHeight="1" x14ac:dyDescent="0.3">
      <c r="A109" s="674" t="s">
        <v>44</v>
      </c>
      <c r="B109" s="676" t="s">
        <v>478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27827830</v>
      </c>
      <c r="D112" s="243">
        <f t="shared" si="16"/>
        <v>31237897</v>
      </c>
      <c r="E112" s="243">
        <f t="shared" ref="E112:E122" si="17">D112-C112</f>
        <v>3410067</v>
      </c>
      <c r="F112" s="244">
        <f t="shared" ref="F112:F122" si="18">IF(C112=0,0,E112/C112)</f>
        <v>0.12254160672966595</v>
      </c>
    </row>
    <row r="113" spans="1:6" ht="20.25" customHeight="1" x14ac:dyDescent="0.3">
      <c r="A113" s="249"/>
      <c r="B113" s="250" t="s">
        <v>461</v>
      </c>
      <c r="C113" s="243">
        <f t="shared" si="16"/>
        <v>6684131</v>
      </c>
      <c r="D113" s="243">
        <f t="shared" si="16"/>
        <v>9146667</v>
      </c>
      <c r="E113" s="243">
        <f t="shared" si="17"/>
        <v>2462536</v>
      </c>
      <c r="F113" s="244">
        <f t="shared" si="18"/>
        <v>0.36841528090936576</v>
      </c>
    </row>
    <row r="114" spans="1:6" ht="20.25" customHeight="1" x14ac:dyDescent="0.3">
      <c r="A114" s="249"/>
      <c r="B114" s="250" t="s">
        <v>462</v>
      </c>
      <c r="C114" s="243">
        <f t="shared" si="16"/>
        <v>13866694</v>
      </c>
      <c r="D114" s="243">
        <f t="shared" si="16"/>
        <v>21922834</v>
      </c>
      <c r="E114" s="243">
        <f t="shared" si="17"/>
        <v>8056140</v>
      </c>
      <c r="F114" s="244">
        <f t="shared" si="18"/>
        <v>0.58097048943316987</v>
      </c>
    </row>
    <row r="115" spans="1:6" ht="20.25" customHeight="1" x14ac:dyDescent="0.3">
      <c r="A115" s="249"/>
      <c r="B115" s="250" t="s">
        <v>463</v>
      </c>
      <c r="C115" s="243">
        <f t="shared" si="16"/>
        <v>4751409</v>
      </c>
      <c r="D115" s="243">
        <f t="shared" si="16"/>
        <v>5657042</v>
      </c>
      <c r="E115" s="243">
        <f t="shared" si="17"/>
        <v>905633</v>
      </c>
      <c r="F115" s="244">
        <f t="shared" si="18"/>
        <v>0.19060304006664128</v>
      </c>
    </row>
    <row r="116" spans="1:6" ht="20.25" customHeight="1" x14ac:dyDescent="0.3">
      <c r="A116" s="249"/>
      <c r="B116" s="250" t="s">
        <v>464</v>
      </c>
      <c r="C116" s="252">
        <f t="shared" si="16"/>
        <v>1504</v>
      </c>
      <c r="D116" s="252">
        <f t="shared" si="16"/>
        <v>1725</v>
      </c>
      <c r="E116" s="252">
        <f t="shared" si="17"/>
        <v>221</v>
      </c>
      <c r="F116" s="244">
        <f t="shared" si="18"/>
        <v>0.14694148936170212</v>
      </c>
    </row>
    <row r="117" spans="1:6" ht="20.25" customHeight="1" x14ac:dyDescent="0.3">
      <c r="A117" s="249"/>
      <c r="B117" s="250" t="s">
        <v>465</v>
      </c>
      <c r="C117" s="252">
        <f t="shared" si="16"/>
        <v>9659</v>
      </c>
      <c r="D117" s="252">
        <f t="shared" si="16"/>
        <v>9249</v>
      </c>
      <c r="E117" s="252">
        <f t="shared" si="17"/>
        <v>-410</v>
      </c>
      <c r="F117" s="244">
        <f t="shared" si="18"/>
        <v>-4.2447458329019569E-2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12671</v>
      </c>
      <c r="D118" s="252">
        <f t="shared" si="16"/>
        <v>20616</v>
      </c>
      <c r="E118" s="252">
        <f t="shared" si="17"/>
        <v>7945</v>
      </c>
      <c r="F118" s="244">
        <f t="shared" si="18"/>
        <v>0.62702233446452527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7608</v>
      </c>
      <c r="D119" s="252">
        <f t="shared" si="16"/>
        <v>10876</v>
      </c>
      <c r="E119" s="252">
        <f t="shared" si="17"/>
        <v>3268</v>
      </c>
      <c r="F119" s="244">
        <f t="shared" si="18"/>
        <v>0.42954784437434279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572</v>
      </c>
      <c r="D120" s="252">
        <f t="shared" si="16"/>
        <v>649</v>
      </c>
      <c r="E120" s="252">
        <f t="shared" si="17"/>
        <v>77</v>
      </c>
      <c r="F120" s="244">
        <f t="shared" si="18"/>
        <v>0.13461538461538461</v>
      </c>
    </row>
    <row r="121" spans="1:6" ht="39.950000000000003" customHeight="1" x14ac:dyDescent="0.3">
      <c r="A121" s="249"/>
      <c r="B121" s="242" t="s">
        <v>441</v>
      </c>
      <c r="C121" s="243">
        <f>+C112+C114</f>
        <v>41694524</v>
      </c>
      <c r="D121" s="243">
        <f>+D112+D114</f>
        <v>53160731</v>
      </c>
      <c r="E121" s="243">
        <f t="shared" si="17"/>
        <v>11466207</v>
      </c>
      <c r="F121" s="244">
        <f t="shared" si="18"/>
        <v>0.2750051061861265</v>
      </c>
    </row>
    <row r="122" spans="1:6" ht="39.950000000000003" customHeight="1" x14ac:dyDescent="0.3">
      <c r="A122" s="249"/>
      <c r="B122" s="242" t="s">
        <v>470</v>
      </c>
      <c r="C122" s="243">
        <f>+C113+C115</f>
        <v>11435540</v>
      </c>
      <c r="D122" s="243">
        <f>+D113+D115</f>
        <v>14803709</v>
      </c>
      <c r="E122" s="243">
        <f t="shared" si="17"/>
        <v>3368169</v>
      </c>
      <c r="F122" s="244">
        <f t="shared" si="18"/>
        <v>0.29453519466505296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r:id="rId1"/>
  <headerFooter>
    <oddHeader>&amp;LOFFICE OF HEALTH CARE ACCESS&amp;CTWELVE MONTHS ACTUAL FILING&amp;RSAINT VINCENT`S MEDICAL CENTER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activeCell="A2" sqref="A2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12274000</v>
      </c>
      <c r="D13" s="23">
        <v>7535000</v>
      </c>
      <c r="E13" s="23">
        <f t="shared" ref="E13:E22" si="0">D13-C13</f>
        <v>-4739000</v>
      </c>
      <c r="F13" s="24">
        <f t="shared" ref="F13:F22" si="1">IF(C13=0,0,E13/C13)</f>
        <v>-0.38610070066807889</v>
      </c>
    </row>
    <row r="14" spans="1:8" ht="24" customHeight="1" x14ac:dyDescent="0.2">
      <c r="A14" s="21">
        <v>2</v>
      </c>
      <c r="B14" s="22" t="s">
        <v>17</v>
      </c>
      <c r="C14" s="23">
        <v>11030000</v>
      </c>
      <c r="D14" s="23">
        <v>20955000</v>
      </c>
      <c r="E14" s="23">
        <f t="shared" si="0"/>
        <v>9925000</v>
      </c>
      <c r="F14" s="24">
        <f t="shared" si="1"/>
        <v>0.89981867633726198</v>
      </c>
    </row>
    <row r="15" spans="1:8" ht="35.1" customHeight="1" x14ac:dyDescent="0.2">
      <c r="A15" s="21">
        <v>3</v>
      </c>
      <c r="B15" s="22" t="s">
        <v>18</v>
      </c>
      <c r="C15" s="23">
        <v>41629000</v>
      </c>
      <c r="D15" s="23">
        <v>45741000</v>
      </c>
      <c r="E15" s="23">
        <f t="shared" si="0"/>
        <v>4112000</v>
      </c>
      <c r="F15" s="24">
        <f t="shared" si="1"/>
        <v>9.8777294674385646E-2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4070000</v>
      </c>
      <c r="D19" s="23">
        <v>3849000</v>
      </c>
      <c r="E19" s="23">
        <f t="shared" si="0"/>
        <v>-221000</v>
      </c>
      <c r="F19" s="24">
        <f t="shared" si="1"/>
        <v>-5.4299754299754296E-2</v>
      </c>
    </row>
    <row r="20" spans="1:11" ht="24" customHeight="1" x14ac:dyDescent="0.2">
      <c r="A20" s="21">
        <v>8</v>
      </c>
      <c r="B20" s="22" t="s">
        <v>23</v>
      </c>
      <c r="C20" s="23">
        <v>2747000</v>
      </c>
      <c r="D20" s="23">
        <v>3114000</v>
      </c>
      <c r="E20" s="23">
        <f t="shared" si="0"/>
        <v>367000</v>
      </c>
      <c r="F20" s="24">
        <f t="shared" si="1"/>
        <v>0.13360029122679287</v>
      </c>
    </row>
    <row r="21" spans="1:11" ht="24" customHeight="1" x14ac:dyDescent="0.2">
      <c r="A21" s="21">
        <v>9</v>
      </c>
      <c r="B21" s="22" t="s">
        <v>24</v>
      </c>
      <c r="C21" s="23">
        <v>4382000</v>
      </c>
      <c r="D21" s="23">
        <v>8070000</v>
      </c>
      <c r="E21" s="23">
        <f t="shared" si="0"/>
        <v>3688000</v>
      </c>
      <c r="F21" s="24">
        <f t="shared" si="1"/>
        <v>0.84162482884527612</v>
      </c>
    </row>
    <row r="22" spans="1:11" ht="24" customHeight="1" x14ac:dyDescent="0.25">
      <c r="A22" s="25"/>
      <c r="B22" s="26" t="s">
        <v>25</v>
      </c>
      <c r="C22" s="27">
        <f>SUM(C13:C21)</f>
        <v>76132000</v>
      </c>
      <c r="D22" s="27">
        <f>SUM(D13:D21)</f>
        <v>89264000</v>
      </c>
      <c r="E22" s="27">
        <f t="shared" si="0"/>
        <v>13132000</v>
      </c>
      <c r="F22" s="28">
        <f t="shared" si="1"/>
        <v>0.1724898859874954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234693000</v>
      </c>
      <c r="D28" s="23">
        <v>234848000</v>
      </c>
      <c r="E28" s="23">
        <f>D28-C28</f>
        <v>155000</v>
      </c>
      <c r="F28" s="24">
        <f>IF(C28=0,0,E28/C28)</f>
        <v>6.6043725206972517E-4</v>
      </c>
    </row>
    <row r="29" spans="1:11" ht="35.1" customHeight="1" x14ac:dyDescent="0.25">
      <c r="A29" s="25"/>
      <c r="B29" s="26" t="s">
        <v>32</v>
      </c>
      <c r="C29" s="27">
        <f>SUM(C25:C28)</f>
        <v>234693000</v>
      </c>
      <c r="D29" s="27">
        <f>SUM(D25:D28)</f>
        <v>234848000</v>
      </c>
      <c r="E29" s="27">
        <f>D29-C29</f>
        <v>155000</v>
      </c>
      <c r="F29" s="28">
        <f>IF(C29=0,0,E29/C29)</f>
        <v>6.6043725206972517E-4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55985000</v>
      </c>
      <c r="D32" s="23">
        <v>76973000</v>
      </c>
      <c r="E32" s="23">
        <f>D32-C32</f>
        <v>20988000</v>
      </c>
      <c r="F32" s="24">
        <f>IF(C32=0,0,E32/C32)</f>
        <v>0.37488613021345002</v>
      </c>
    </row>
    <row r="33" spans="1:8" ht="24" customHeight="1" x14ac:dyDescent="0.2">
      <c r="A33" s="21">
        <v>7</v>
      </c>
      <c r="B33" s="22" t="s">
        <v>35</v>
      </c>
      <c r="C33" s="23">
        <v>4744000</v>
      </c>
      <c r="D33" s="23">
        <v>5296000</v>
      </c>
      <c r="E33" s="23">
        <f>D33-C33</f>
        <v>552000</v>
      </c>
      <c r="F33" s="24">
        <f>IF(C33=0,0,E33/C33)</f>
        <v>0.1163575042158516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337907000</v>
      </c>
      <c r="D36" s="23">
        <v>429297000</v>
      </c>
      <c r="E36" s="23">
        <f>D36-C36</f>
        <v>91390000</v>
      </c>
      <c r="F36" s="24">
        <f>IF(C36=0,0,E36/C36)</f>
        <v>0.27045903162704532</v>
      </c>
    </row>
    <row r="37" spans="1:8" ht="24" customHeight="1" x14ac:dyDescent="0.2">
      <c r="A37" s="21">
        <v>2</v>
      </c>
      <c r="B37" s="22" t="s">
        <v>39</v>
      </c>
      <c r="C37" s="23">
        <v>175672000</v>
      </c>
      <c r="D37" s="23">
        <v>198130000</v>
      </c>
      <c r="E37" s="23">
        <f>D37-C37</f>
        <v>22458000</v>
      </c>
      <c r="F37" s="23">
        <f>IF(C37=0,0,E37/C37)</f>
        <v>0.12784052097090032</v>
      </c>
    </row>
    <row r="38" spans="1:8" ht="24" customHeight="1" x14ac:dyDescent="0.25">
      <c r="A38" s="25"/>
      <c r="B38" s="26" t="s">
        <v>40</v>
      </c>
      <c r="C38" s="27">
        <f>C36-C37</f>
        <v>162235000</v>
      </c>
      <c r="D38" s="27">
        <f>D36-D37</f>
        <v>231167000</v>
      </c>
      <c r="E38" s="27">
        <f>D38-C38</f>
        <v>68932000</v>
      </c>
      <c r="F38" s="28">
        <f>IF(C38=0,0,E38/C38)</f>
        <v>0.42488982032237188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68279000</v>
      </c>
      <c r="D40" s="23">
        <v>7882000</v>
      </c>
      <c r="E40" s="23">
        <f>D40-C40</f>
        <v>-60397000</v>
      </c>
      <c r="F40" s="24">
        <f>IF(C40=0,0,E40/C40)</f>
        <v>-0.88456187114632612</v>
      </c>
    </row>
    <row r="41" spans="1:8" ht="24" customHeight="1" x14ac:dyDescent="0.25">
      <c r="A41" s="25"/>
      <c r="B41" s="26" t="s">
        <v>42</v>
      </c>
      <c r="C41" s="27">
        <f>+C38+C40</f>
        <v>230514000</v>
      </c>
      <c r="D41" s="27">
        <f>+D38+D40</f>
        <v>239049000</v>
      </c>
      <c r="E41" s="27">
        <f>D41-C41</f>
        <v>8535000</v>
      </c>
      <c r="F41" s="28">
        <f>IF(C41=0,0,E41/C41)</f>
        <v>3.7025950701475831E-2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602068000</v>
      </c>
      <c r="D43" s="27">
        <f>D22+D29+D31+D32+D33+D41</f>
        <v>645430000</v>
      </c>
      <c r="E43" s="27">
        <f>D43-C43</f>
        <v>43362000</v>
      </c>
      <c r="F43" s="28">
        <f>IF(C43=0,0,E43/C43)</f>
        <v>7.2021764983357356E-2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28032000</v>
      </c>
      <c r="D49" s="23">
        <v>20380000</v>
      </c>
      <c r="E49" s="23">
        <f t="shared" ref="E49:E56" si="2">D49-C49</f>
        <v>-7652000</v>
      </c>
      <c r="F49" s="24">
        <f t="shared" ref="F49:F56" si="3">IF(C49=0,0,E49/C49)</f>
        <v>-0.27297374429223742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19641000</v>
      </c>
      <c r="D50" s="23">
        <v>22512000</v>
      </c>
      <c r="E50" s="23">
        <f t="shared" si="2"/>
        <v>2871000</v>
      </c>
      <c r="F50" s="24">
        <f t="shared" si="3"/>
        <v>0.1461738200702612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9131000</v>
      </c>
      <c r="D51" s="23">
        <v>12291000</v>
      </c>
      <c r="E51" s="23">
        <f t="shared" si="2"/>
        <v>3160000</v>
      </c>
      <c r="F51" s="24">
        <f t="shared" si="3"/>
        <v>0.34607381447815133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1667000</v>
      </c>
      <c r="D53" s="23">
        <v>1502000</v>
      </c>
      <c r="E53" s="23">
        <f t="shared" si="2"/>
        <v>-165000</v>
      </c>
      <c r="F53" s="24">
        <f t="shared" si="3"/>
        <v>-9.898020395920816E-2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2177000</v>
      </c>
      <c r="D55" s="23">
        <v>2473000</v>
      </c>
      <c r="E55" s="23">
        <f t="shared" si="2"/>
        <v>296000</v>
      </c>
      <c r="F55" s="24">
        <f t="shared" si="3"/>
        <v>0.13596692696371154</v>
      </c>
    </row>
    <row r="56" spans="1:6" ht="24" customHeight="1" x14ac:dyDescent="0.25">
      <c r="A56" s="25"/>
      <c r="B56" s="26" t="s">
        <v>54</v>
      </c>
      <c r="C56" s="27">
        <f>SUM(C49:C55)</f>
        <v>60648000</v>
      </c>
      <c r="D56" s="27">
        <f>SUM(D49:D55)</f>
        <v>59158000</v>
      </c>
      <c r="E56" s="27">
        <f t="shared" si="2"/>
        <v>-1490000</v>
      </c>
      <c r="F56" s="28">
        <f t="shared" si="3"/>
        <v>-2.4567998944730246E-2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78872000</v>
      </c>
      <c r="D59" s="23">
        <v>78227000</v>
      </c>
      <c r="E59" s="23">
        <f>D59-C59</f>
        <v>-645000</v>
      </c>
      <c r="F59" s="24">
        <f>IF(C59=0,0,E59/C59)</f>
        <v>-8.1778070798255408E-3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78872000</v>
      </c>
      <c r="D61" s="27">
        <f>SUM(D59:D60)</f>
        <v>78227000</v>
      </c>
      <c r="E61" s="27">
        <f>D61-C61</f>
        <v>-645000</v>
      </c>
      <c r="F61" s="28">
        <f>IF(C61=0,0,E61/C61)</f>
        <v>-8.1778070798255408E-3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40599000</v>
      </c>
      <c r="D63" s="23">
        <v>42153000</v>
      </c>
      <c r="E63" s="23">
        <f>D63-C63</f>
        <v>1554000</v>
      </c>
      <c r="F63" s="24">
        <f>IF(C63=0,0,E63/C63)</f>
        <v>3.8276804847410036E-2</v>
      </c>
    </row>
    <row r="64" spans="1:6" ht="24" customHeight="1" x14ac:dyDescent="0.2">
      <c r="A64" s="21">
        <v>4</v>
      </c>
      <c r="B64" s="22" t="s">
        <v>60</v>
      </c>
      <c r="C64" s="23">
        <v>10664000</v>
      </c>
      <c r="D64" s="23">
        <v>11270000</v>
      </c>
      <c r="E64" s="23">
        <f>D64-C64</f>
        <v>606000</v>
      </c>
      <c r="F64" s="24">
        <f>IF(C64=0,0,E64/C64)</f>
        <v>5.682670667666917E-2</v>
      </c>
    </row>
    <row r="65" spans="1:6" ht="24" customHeight="1" x14ac:dyDescent="0.25">
      <c r="A65" s="25"/>
      <c r="B65" s="26" t="s">
        <v>61</v>
      </c>
      <c r="C65" s="27">
        <f>SUM(C61:C64)</f>
        <v>130135000</v>
      </c>
      <c r="D65" s="27">
        <f>SUM(D61:D64)</f>
        <v>131650000</v>
      </c>
      <c r="E65" s="27">
        <f>D65-C65</f>
        <v>1515000</v>
      </c>
      <c r="F65" s="28">
        <f>IF(C65=0,0,E65/C65)</f>
        <v>1.1641756637338149E-2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364490000</v>
      </c>
      <c r="D70" s="23">
        <v>425240000</v>
      </c>
      <c r="E70" s="23">
        <f>D70-C70</f>
        <v>60750000</v>
      </c>
      <c r="F70" s="24">
        <f>IF(C70=0,0,E70/C70)</f>
        <v>0.16667123926582347</v>
      </c>
    </row>
    <row r="71" spans="1:6" ht="24" customHeight="1" x14ac:dyDescent="0.2">
      <c r="A71" s="21">
        <v>2</v>
      </c>
      <c r="B71" s="22" t="s">
        <v>65</v>
      </c>
      <c r="C71" s="23">
        <v>36582000</v>
      </c>
      <c r="D71" s="23">
        <v>18588000</v>
      </c>
      <c r="E71" s="23">
        <f>D71-C71</f>
        <v>-17994000</v>
      </c>
      <c r="F71" s="24">
        <f>IF(C71=0,0,E71/C71)</f>
        <v>-0.49188125307528291</v>
      </c>
    </row>
    <row r="72" spans="1:6" ht="24" customHeight="1" x14ac:dyDescent="0.2">
      <c r="A72" s="21">
        <v>3</v>
      </c>
      <c r="B72" s="22" t="s">
        <v>66</v>
      </c>
      <c r="C72" s="23">
        <v>10213000</v>
      </c>
      <c r="D72" s="23">
        <v>10794000</v>
      </c>
      <c r="E72" s="23">
        <f>D72-C72</f>
        <v>581000</v>
      </c>
      <c r="F72" s="24">
        <f>IF(C72=0,0,E72/C72)</f>
        <v>5.6888279643591499E-2</v>
      </c>
    </row>
    <row r="73" spans="1:6" ht="24" customHeight="1" x14ac:dyDescent="0.25">
      <c r="A73" s="21"/>
      <c r="B73" s="26" t="s">
        <v>67</v>
      </c>
      <c r="C73" s="27">
        <f>SUM(C70:C72)</f>
        <v>411285000</v>
      </c>
      <c r="D73" s="27">
        <f>SUM(D70:D72)</f>
        <v>454622000</v>
      </c>
      <c r="E73" s="27">
        <f>D73-C73</f>
        <v>43337000</v>
      </c>
      <c r="F73" s="28">
        <f>IF(C73=0,0,E73/C73)</f>
        <v>0.10536975576546677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602068000</v>
      </c>
      <c r="D75" s="27">
        <f>D56+D65+D67+D73</f>
        <v>645430000</v>
      </c>
      <c r="E75" s="27">
        <f>D75-C75</f>
        <v>43362000</v>
      </c>
      <c r="F75" s="28">
        <f>IF(C75=0,0,E75/C75)</f>
        <v>7.2021764983357356E-2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FILING&amp;RST VINCENTS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A2" sqref="A2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862620000</v>
      </c>
      <c r="D12" s="51">
        <v>940977000</v>
      </c>
      <c r="E12" s="51">
        <f t="shared" ref="E12:E19" si="0">D12-C12</f>
        <v>78357000</v>
      </c>
      <c r="F12" s="70">
        <f t="shared" ref="F12:F19" si="1">IF(C12=0,0,E12/C12)</f>
        <v>9.0836057591987207E-2</v>
      </c>
    </row>
    <row r="13" spans="1:8" ht="23.1" customHeight="1" x14ac:dyDescent="0.2">
      <c r="A13" s="25">
        <v>2</v>
      </c>
      <c r="B13" s="48" t="s">
        <v>72</v>
      </c>
      <c r="C13" s="51">
        <v>507026000</v>
      </c>
      <c r="D13" s="51">
        <v>563014000</v>
      </c>
      <c r="E13" s="51">
        <f t="shared" si="0"/>
        <v>55988000</v>
      </c>
      <c r="F13" s="70">
        <f t="shared" si="1"/>
        <v>0.11042431749062179</v>
      </c>
    </row>
    <row r="14" spans="1:8" ht="23.1" customHeight="1" x14ac:dyDescent="0.2">
      <c r="A14" s="25">
        <v>3</v>
      </c>
      <c r="B14" s="48" t="s">
        <v>73</v>
      </c>
      <c r="C14" s="51">
        <v>8900000</v>
      </c>
      <c r="D14" s="51">
        <v>7667000</v>
      </c>
      <c r="E14" s="51">
        <f t="shared" si="0"/>
        <v>-1233000</v>
      </c>
      <c r="F14" s="70">
        <f t="shared" si="1"/>
        <v>-0.13853932584269663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346694000</v>
      </c>
      <c r="D16" s="27">
        <f>D12-D13-D14-D15</f>
        <v>370296000</v>
      </c>
      <c r="E16" s="27">
        <f t="shared" si="0"/>
        <v>23602000</v>
      </c>
      <c r="F16" s="28">
        <f t="shared" si="1"/>
        <v>6.8077324672477749E-2</v>
      </c>
    </row>
    <row r="17" spans="1:7" ht="23.1" customHeight="1" x14ac:dyDescent="0.2">
      <c r="A17" s="25">
        <v>5</v>
      </c>
      <c r="B17" s="48" t="s">
        <v>76</v>
      </c>
      <c r="C17" s="51">
        <v>39313000</v>
      </c>
      <c r="D17" s="51">
        <v>39206000</v>
      </c>
      <c r="E17" s="51">
        <f t="shared" si="0"/>
        <v>-107000</v>
      </c>
      <c r="F17" s="70">
        <f t="shared" si="1"/>
        <v>-2.7217459873324344E-3</v>
      </c>
      <c r="G17" s="64"/>
    </row>
    <row r="18" spans="1:7" ht="33" customHeight="1" x14ac:dyDescent="0.2">
      <c r="A18" s="25">
        <v>6</v>
      </c>
      <c r="B18" s="45" t="s">
        <v>77</v>
      </c>
      <c r="C18" s="51">
        <v>1045000</v>
      </c>
      <c r="D18" s="51">
        <v>1302000</v>
      </c>
      <c r="E18" s="51">
        <f t="shared" si="0"/>
        <v>257000</v>
      </c>
      <c r="F18" s="70">
        <f t="shared" si="1"/>
        <v>0.24593301435406698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387052000</v>
      </c>
      <c r="D19" s="27">
        <f>SUM(D16:D18)</f>
        <v>410804000</v>
      </c>
      <c r="E19" s="27">
        <f t="shared" si="0"/>
        <v>23752000</v>
      </c>
      <c r="F19" s="28">
        <f t="shared" si="1"/>
        <v>6.136643138389674E-2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164670000</v>
      </c>
      <c r="D22" s="51">
        <v>174495000</v>
      </c>
      <c r="E22" s="51">
        <f t="shared" ref="E22:E31" si="2">D22-C22</f>
        <v>9825000</v>
      </c>
      <c r="F22" s="70">
        <f t="shared" ref="F22:F31" si="3">IF(C22=0,0,E22/C22)</f>
        <v>5.966478411368191E-2</v>
      </c>
    </row>
    <row r="23" spans="1:7" ht="23.1" customHeight="1" x14ac:dyDescent="0.2">
      <c r="A23" s="25">
        <v>2</v>
      </c>
      <c r="B23" s="48" t="s">
        <v>81</v>
      </c>
      <c r="C23" s="51">
        <v>38973000</v>
      </c>
      <c r="D23" s="51">
        <v>46145000</v>
      </c>
      <c r="E23" s="51">
        <f t="shared" si="2"/>
        <v>7172000</v>
      </c>
      <c r="F23" s="70">
        <f t="shared" si="3"/>
        <v>0.18402483770815692</v>
      </c>
    </row>
    <row r="24" spans="1:7" ht="23.1" customHeight="1" x14ac:dyDescent="0.2">
      <c r="A24" s="25">
        <v>3</v>
      </c>
      <c r="B24" s="48" t="s">
        <v>82</v>
      </c>
      <c r="C24" s="51">
        <v>2300000</v>
      </c>
      <c r="D24" s="51">
        <v>2421000</v>
      </c>
      <c r="E24" s="51">
        <f t="shared" si="2"/>
        <v>121000</v>
      </c>
      <c r="F24" s="70">
        <f t="shared" si="3"/>
        <v>5.2608695652173916E-2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51518000</v>
      </c>
      <c r="D25" s="51">
        <v>53678000</v>
      </c>
      <c r="E25" s="51">
        <f t="shared" si="2"/>
        <v>2160000</v>
      </c>
      <c r="F25" s="70">
        <f t="shared" si="3"/>
        <v>4.1927093443068442E-2</v>
      </c>
    </row>
    <row r="26" spans="1:7" ht="23.1" customHeight="1" x14ac:dyDescent="0.2">
      <c r="A26" s="25">
        <v>5</v>
      </c>
      <c r="B26" s="48" t="s">
        <v>84</v>
      </c>
      <c r="C26" s="51">
        <v>20021000</v>
      </c>
      <c r="D26" s="51">
        <v>23481000</v>
      </c>
      <c r="E26" s="51">
        <f t="shared" si="2"/>
        <v>3460000</v>
      </c>
      <c r="F26" s="70">
        <f t="shared" si="3"/>
        <v>0.17281854053244095</v>
      </c>
    </row>
    <row r="27" spans="1:7" ht="23.1" customHeight="1" x14ac:dyDescent="0.2">
      <c r="A27" s="25">
        <v>6</v>
      </c>
      <c r="B27" s="48" t="s">
        <v>85</v>
      </c>
      <c r="C27" s="51">
        <v>22118000</v>
      </c>
      <c r="D27" s="51">
        <v>21985000</v>
      </c>
      <c r="E27" s="51">
        <f t="shared" si="2"/>
        <v>-133000</v>
      </c>
      <c r="F27" s="70">
        <f t="shared" si="3"/>
        <v>-6.0132019169906866E-3</v>
      </c>
    </row>
    <row r="28" spans="1:7" ht="23.1" customHeight="1" x14ac:dyDescent="0.2">
      <c r="A28" s="25">
        <v>7</v>
      </c>
      <c r="B28" s="48" t="s">
        <v>86</v>
      </c>
      <c r="C28" s="51">
        <v>924000</v>
      </c>
      <c r="D28" s="51">
        <v>2433000</v>
      </c>
      <c r="E28" s="51">
        <f t="shared" si="2"/>
        <v>1509000</v>
      </c>
      <c r="F28" s="70">
        <f t="shared" si="3"/>
        <v>1.6331168831168832</v>
      </c>
    </row>
    <row r="29" spans="1:7" ht="23.1" customHeight="1" x14ac:dyDescent="0.2">
      <c r="A29" s="25">
        <v>8</v>
      </c>
      <c r="B29" s="48" t="s">
        <v>87</v>
      </c>
      <c r="C29" s="51">
        <v>5093000</v>
      </c>
      <c r="D29" s="51">
        <v>7511000</v>
      </c>
      <c r="E29" s="51">
        <f t="shared" si="2"/>
        <v>2418000</v>
      </c>
      <c r="F29" s="70">
        <f t="shared" si="3"/>
        <v>0.47476929118397798</v>
      </c>
    </row>
    <row r="30" spans="1:7" ht="23.1" customHeight="1" x14ac:dyDescent="0.2">
      <c r="A30" s="25">
        <v>9</v>
      </c>
      <c r="B30" s="48" t="s">
        <v>88</v>
      </c>
      <c r="C30" s="51">
        <v>70011000</v>
      </c>
      <c r="D30" s="51">
        <v>68066000</v>
      </c>
      <c r="E30" s="51">
        <f t="shared" si="2"/>
        <v>-1945000</v>
      </c>
      <c r="F30" s="70">
        <f t="shared" si="3"/>
        <v>-2.7781348645212894E-2</v>
      </c>
    </row>
    <row r="31" spans="1:7" ht="23.1" customHeight="1" x14ac:dyDescent="0.25">
      <c r="A31" s="29"/>
      <c r="B31" s="71" t="s">
        <v>89</v>
      </c>
      <c r="C31" s="27">
        <f>SUM(C22:C30)</f>
        <v>375628000</v>
      </c>
      <c r="D31" s="27">
        <f>SUM(D22:D30)</f>
        <v>400215000</v>
      </c>
      <c r="E31" s="27">
        <f t="shared" si="2"/>
        <v>24587000</v>
      </c>
      <c r="F31" s="28">
        <f t="shared" si="3"/>
        <v>6.5455716826221685E-2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11424000</v>
      </c>
      <c r="D33" s="27">
        <f>+D19-D31</f>
        <v>10589000</v>
      </c>
      <c r="E33" s="27">
        <f>D33-C33</f>
        <v>-835000</v>
      </c>
      <c r="F33" s="28">
        <f>IF(C33=0,0,E33/C33)</f>
        <v>-7.3091736694677875E-2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-5153000</v>
      </c>
      <c r="D36" s="51">
        <v>32144000</v>
      </c>
      <c r="E36" s="51">
        <f>D36-C36</f>
        <v>37297000</v>
      </c>
      <c r="F36" s="70">
        <f>IF(C36=0,0,E36/C36)</f>
        <v>-7.2379196584513874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-1134000</v>
      </c>
      <c r="D38" s="51">
        <v>-1004000</v>
      </c>
      <c r="E38" s="51">
        <f>D38-C38</f>
        <v>130000</v>
      </c>
      <c r="F38" s="70">
        <f>IF(C38=0,0,E38/C38)</f>
        <v>-0.1146384479717813</v>
      </c>
    </row>
    <row r="39" spans="1:6" ht="23.1" customHeight="1" x14ac:dyDescent="0.25">
      <c r="A39" s="20"/>
      <c r="B39" s="71" t="s">
        <v>95</v>
      </c>
      <c r="C39" s="27">
        <f>SUM(C36:C38)</f>
        <v>-6287000</v>
      </c>
      <c r="D39" s="27">
        <f>SUM(D36:D38)</f>
        <v>31140000</v>
      </c>
      <c r="E39" s="27">
        <f>D39-C39</f>
        <v>37427000</v>
      </c>
      <c r="F39" s="28">
        <f>IF(C39=0,0,E39/C39)</f>
        <v>-5.9530777795450929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5137000</v>
      </c>
      <c r="D41" s="27">
        <f>D33+D39</f>
        <v>41729000</v>
      </c>
      <c r="E41" s="27">
        <f>D41-C41</f>
        <v>36592000</v>
      </c>
      <c r="F41" s="28">
        <f>IF(C41=0,0,E41/C41)</f>
        <v>7.1232236714035428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5137000</v>
      </c>
      <c r="D48" s="27">
        <f>D41+D46</f>
        <v>41729000</v>
      </c>
      <c r="E48" s="27">
        <f>D48-C48</f>
        <v>36592000</v>
      </c>
      <c r="F48" s="28">
        <f>IF(C48=0,0,E48/C48)</f>
        <v>7.1232236714035428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FILING&amp;R&amp;8ST VINCENTS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2011-08-08T16:03:29Z</cp:lastPrinted>
  <dcterms:created xsi:type="dcterms:W3CDTF">2006-08-03T13:49:12Z</dcterms:created>
  <dcterms:modified xsi:type="dcterms:W3CDTF">2011-08-08T18:05:24Z</dcterms:modified>
</cp:coreProperties>
</file>