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9" i="14" s="1"/>
  <c r="D230" i="14"/>
  <c r="D229" i="14"/>
  <c r="D227" i="14"/>
  <c r="D226" i="14"/>
  <c r="D223" i="14"/>
  <c r="D204" i="14"/>
  <c r="D269" i="14"/>
  <c r="D203" i="14"/>
  <c r="D283" i="14"/>
  <c r="D198" i="14"/>
  <c r="D290" i="14"/>
  <c r="D191" i="14"/>
  <c r="D264" i="14"/>
  <c r="D189" i="14"/>
  <c r="D278" i="14"/>
  <c r="D188" i="14"/>
  <c r="D214" i="14"/>
  <c r="D180" i="14"/>
  <c r="D179" i="14"/>
  <c r="D181" i="14" s="1"/>
  <c r="D171" i="14"/>
  <c r="D172" i="14" s="1"/>
  <c r="D173" i="14" s="1"/>
  <c r="D170" i="14"/>
  <c r="D165" i="14"/>
  <c r="D164" i="14"/>
  <c r="D158" i="14"/>
  <c r="D159" i="14" s="1"/>
  <c r="D155" i="14"/>
  <c r="D145" i="14"/>
  <c r="D144" i="14"/>
  <c r="D146" i="14" s="1"/>
  <c r="D136" i="14"/>
  <c r="D137" i="14" s="1"/>
  <c r="D135" i="14"/>
  <c r="D130" i="14"/>
  <c r="D129" i="14"/>
  <c r="D123" i="14"/>
  <c r="D120" i="14"/>
  <c r="D110" i="14"/>
  <c r="D109" i="14"/>
  <c r="D101" i="14"/>
  <c r="D102" i="14"/>
  <c r="D103" i="14" s="1"/>
  <c r="D100" i="14"/>
  <c r="D95" i="14"/>
  <c r="D94" i="14"/>
  <c r="D88" i="14"/>
  <c r="D89" i="14" s="1"/>
  <c r="D85" i="14"/>
  <c r="D76" i="14"/>
  <c r="D77" i="14" s="1"/>
  <c r="D67" i="14"/>
  <c r="D66" i="14"/>
  <c r="D68" i="14" s="1"/>
  <c r="D59" i="14"/>
  <c r="D60" i="14" s="1"/>
  <c r="D61" i="14" s="1"/>
  <c r="D58" i="14"/>
  <c r="D53" i="14"/>
  <c r="D52" i="14"/>
  <c r="D47" i="14"/>
  <c r="D48" i="14"/>
  <c r="D44" i="14"/>
  <c r="D36" i="14"/>
  <c r="D35" i="14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D98" i="19" s="1"/>
  <c r="C96" i="19"/>
  <c r="C98" i="19" s="1"/>
  <c r="E92" i="19"/>
  <c r="D92" i="19"/>
  <c r="C92" i="19"/>
  <c r="E91" i="19"/>
  <c r="E93" i="19" s="1"/>
  <c r="D91" i="19"/>
  <c r="D93" i="19"/>
  <c r="C91" i="19"/>
  <c r="C93" i="19"/>
  <c r="E87" i="19"/>
  <c r="D87" i="19"/>
  <c r="C87" i="19"/>
  <c r="E86" i="19"/>
  <c r="E88" i="19" s="1"/>
  <c r="D86" i="19"/>
  <c r="D88" i="19" s="1"/>
  <c r="C86" i="19"/>
  <c r="C88" i="19" s="1"/>
  <c r="E83" i="19"/>
  <c r="D83" i="19"/>
  <c r="C83" i="19"/>
  <c r="E76" i="19"/>
  <c r="D76" i="19"/>
  <c r="C76" i="19"/>
  <c r="E75" i="19"/>
  <c r="E77" i="19"/>
  <c r="D75" i="19"/>
  <c r="D77" i="19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D34" i="19" s="1"/>
  <c r="D33" i="19"/>
  <c r="C12" i="19"/>
  <c r="C34" i="19" s="1"/>
  <c r="C23" i="19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C43" i="17"/>
  <c r="C46" i="17" s="1"/>
  <c r="D36" i="17"/>
  <c r="D40" i="17" s="1"/>
  <c r="C36" i="17"/>
  <c r="C40" i="17" s="1"/>
  <c r="E35" i="17"/>
  <c r="F35" i="17" s="1"/>
  <c r="E34" i="17"/>
  <c r="F34" i="17" s="1"/>
  <c r="E33" i="17"/>
  <c r="E36" i="17"/>
  <c r="F36" i="17" s="1"/>
  <c r="E30" i="17"/>
  <c r="F30" i="17" s="1"/>
  <c r="E29" i="17"/>
  <c r="F29" i="17" s="1"/>
  <c r="E28" i="17"/>
  <c r="F28" i="17" s="1"/>
  <c r="E27" i="17"/>
  <c r="F27" i="17" s="1"/>
  <c r="D25" i="17"/>
  <c r="D39" i="17" s="1"/>
  <c r="C25" i="17"/>
  <c r="E24" i="17"/>
  <c r="F24" i="17" s="1"/>
  <c r="E23" i="17"/>
  <c r="F23" i="17" s="1"/>
  <c r="E22" i="17"/>
  <c r="F22" i="17" s="1"/>
  <c r="D19" i="17"/>
  <c r="E19" i="17" s="1"/>
  <c r="C19" i="17"/>
  <c r="C20" i="17" s="1"/>
  <c r="F18" i="17"/>
  <c r="E18" i="17"/>
  <c r="D16" i="17"/>
  <c r="E16" i="17" s="1"/>
  <c r="C16" i="17"/>
  <c r="F15" i="17"/>
  <c r="E15" i="17"/>
  <c r="F13" i="17"/>
  <c r="E13" i="17"/>
  <c r="F12" i="17"/>
  <c r="E12" i="17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36" i="16"/>
  <c r="C32" i="16"/>
  <c r="C33" i="16" s="1"/>
  <c r="C21" i="16"/>
  <c r="C37" i="16" s="1"/>
  <c r="E328" i="15"/>
  <c r="E325" i="15"/>
  <c r="D324" i="15"/>
  <c r="E324" i="15" s="1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C293" i="15"/>
  <c r="E293" i="15" s="1"/>
  <c r="D292" i="15"/>
  <c r="E292" i="15" s="1"/>
  <c r="C292" i="15"/>
  <c r="D291" i="15"/>
  <c r="E291" i="15" s="1"/>
  <c r="C291" i="15"/>
  <c r="D290" i="15"/>
  <c r="E290" i="15" s="1"/>
  <c r="C290" i="15"/>
  <c r="D288" i="15"/>
  <c r="C288" i="15"/>
  <c r="E288" i="15" s="1"/>
  <c r="D287" i="15"/>
  <c r="E287" i="15"/>
  <c r="C287" i="15"/>
  <c r="D282" i="15"/>
  <c r="C282" i="15"/>
  <c r="D281" i="15"/>
  <c r="E281" i="15" s="1"/>
  <c r="C281" i="15"/>
  <c r="D280" i="15"/>
  <c r="C280" i="15"/>
  <c r="D279" i="15"/>
  <c r="C279" i="15"/>
  <c r="E279" i="15" s="1"/>
  <c r="D278" i="15"/>
  <c r="C278" i="15"/>
  <c r="E278" i="15" s="1"/>
  <c r="D277" i="15"/>
  <c r="E277" i="15"/>
  <c r="C277" i="15"/>
  <c r="D276" i="15"/>
  <c r="E276" i="15" s="1"/>
  <c r="C276" i="15"/>
  <c r="E270" i="15"/>
  <c r="D265" i="15"/>
  <c r="D302" i="15" s="1"/>
  <c r="C265" i="15"/>
  <c r="E265" i="15" s="1"/>
  <c r="D262" i="15"/>
  <c r="C262" i="15"/>
  <c r="E262" i="15" s="1"/>
  <c r="D251" i="15"/>
  <c r="C251" i="15"/>
  <c r="D233" i="15"/>
  <c r="C233" i="15"/>
  <c r="D232" i="15"/>
  <c r="C232" i="15"/>
  <c r="E232" i="15" s="1"/>
  <c r="D231" i="15"/>
  <c r="E231" i="15" s="1"/>
  <c r="C231" i="15"/>
  <c r="D230" i="15"/>
  <c r="E230" i="15" s="1"/>
  <c r="C230" i="15"/>
  <c r="D228" i="15"/>
  <c r="D253" i="15" s="1"/>
  <c r="C228" i="15"/>
  <c r="E228" i="15"/>
  <c r="D227" i="15"/>
  <c r="C227" i="15"/>
  <c r="D221" i="15"/>
  <c r="D245" i="15" s="1"/>
  <c r="C221" i="15"/>
  <c r="C245" i="15" s="1"/>
  <c r="D220" i="15"/>
  <c r="D244" i="15" s="1"/>
  <c r="E244" i="15" s="1"/>
  <c r="C220" i="15"/>
  <c r="C244" i="15" s="1"/>
  <c r="E219" i="15"/>
  <c r="D219" i="15"/>
  <c r="D243" i="15"/>
  <c r="C219" i="15"/>
  <c r="C243" i="15" s="1"/>
  <c r="D218" i="15"/>
  <c r="D242" i="15" s="1"/>
  <c r="C218" i="15"/>
  <c r="C217" i="15"/>
  <c r="D216" i="15"/>
  <c r="D240" i="15" s="1"/>
  <c r="C216" i="15"/>
  <c r="C240" i="15" s="1"/>
  <c r="D215" i="15"/>
  <c r="C215" i="15"/>
  <c r="C239" i="15" s="1"/>
  <c r="E209" i="15"/>
  <c r="E208" i="15"/>
  <c r="E207" i="15"/>
  <c r="E206" i="15"/>
  <c r="D205" i="15"/>
  <c r="D229" i="15" s="1"/>
  <c r="C205" i="15"/>
  <c r="C210" i="15" s="1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D189" i="15" s="1"/>
  <c r="C188" i="15"/>
  <c r="C189" i="15" s="1"/>
  <c r="E186" i="15"/>
  <c r="E185" i="15"/>
  <c r="D179" i="15"/>
  <c r="C179" i="15"/>
  <c r="D178" i="15"/>
  <c r="C178" i="15"/>
  <c r="D177" i="15"/>
  <c r="E177" i="15" s="1"/>
  <c r="C177" i="15"/>
  <c r="D176" i="15"/>
  <c r="C176" i="15"/>
  <c r="D174" i="15"/>
  <c r="C174" i="15"/>
  <c r="D173" i="15"/>
  <c r="C173" i="15"/>
  <c r="D167" i="15"/>
  <c r="C167" i="15"/>
  <c r="D166" i="15"/>
  <c r="C166" i="15"/>
  <c r="D165" i="15"/>
  <c r="E165" i="15"/>
  <c r="C165" i="15"/>
  <c r="D164" i="15"/>
  <c r="C164" i="15"/>
  <c r="E164" i="15"/>
  <c r="D162" i="15"/>
  <c r="E162" i="15"/>
  <c r="C162" i="15"/>
  <c r="D161" i="15"/>
  <c r="E161" i="15" s="1"/>
  <c r="C161" i="15"/>
  <c r="E155" i="15"/>
  <c r="E154" i="15"/>
  <c r="E153" i="15"/>
  <c r="E152" i="15"/>
  <c r="D151" i="15"/>
  <c r="D156" i="15" s="1"/>
  <c r="C151" i="15"/>
  <c r="C156" i="15" s="1"/>
  <c r="C157" i="15" s="1"/>
  <c r="E150" i="15"/>
  <c r="E149" i="15"/>
  <c r="E143" i="15"/>
  <c r="E142" i="15"/>
  <c r="E141" i="15"/>
  <c r="E140" i="15"/>
  <c r="D139" i="15"/>
  <c r="C139" i="15"/>
  <c r="E138" i="15"/>
  <c r="E137" i="15"/>
  <c r="D75" i="15"/>
  <c r="C75" i="15"/>
  <c r="D74" i="15"/>
  <c r="C74" i="15"/>
  <c r="D73" i="15"/>
  <c r="C73" i="15"/>
  <c r="D72" i="15"/>
  <c r="C72" i="15"/>
  <c r="D70" i="15"/>
  <c r="C70" i="15"/>
  <c r="D69" i="15"/>
  <c r="C69" i="15"/>
  <c r="E64" i="15"/>
  <c r="E63" i="15"/>
  <c r="E62" i="15"/>
  <c r="E61" i="15"/>
  <c r="D60" i="15"/>
  <c r="D65" i="15" s="1"/>
  <c r="D66" i="15" s="1"/>
  <c r="C60" i="15"/>
  <c r="E59" i="15"/>
  <c r="E58" i="15"/>
  <c r="D54" i="15"/>
  <c r="D55" i="15" s="1"/>
  <c r="C54" i="15"/>
  <c r="C55" i="15"/>
  <c r="E53" i="15"/>
  <c r="E52" i="15"/>
  <c r="E51" i="15"/>
  <c r="E50" i="15"/>
  <c r="E49" i="15"/>
  <c r="E48" i="15"/>
  <c r="E47" i="15"/>
  <c r="D42" i="15"/>
  <c r="C42" i="15"/>
  <c r="D41" i="15"/>
  <c r="C41" i="15"/>
  <c r="D40" i="15"/>
  <c r="C40" i="15"/>
  <c r="D39" i="15"/>
  <c r="E39" i="15" s="1"/>
  <c r="C39" i="15"/>
  <c r="D38" i="15"/>
  <c r="C38" i="15"/>
  <c r="D37" i="15"/>
  <c r="D43" i="15" s="1"/>
  <c r="D44" i="15" s="1"/>
  <c r="C37" i="15"/>
  <c r="D36" i="15"/>
  <c r="C36" i="15"/>
  <c r="E36" i="15" s="1"/>
  <c r="D32" i="15"/>
  <c r="C32" i="15"/>
  <c r="E31" i="15"/>
  <c r="E30" i="15"/>
  <c r="E29" i="15"/>
  <c r="E28" i="15"/>
  <c r="E27" i="15"/>
  <c r="E26" i="15"/>
  <c r="E25" i="15"/>
  <c r="D21" i="15"/>
  <c r="E21" i="15" s="1"/>
  <c r="C21" i="15"/>
  <c r="C283" i="15"/>
  <c r="E20" i="15"/>
  <c r="E19" i="15"/>
  <c r="E18" i="15"/>
  <c r="E17" i="15"/>
  <c r="E16" i="15"/>
  <c r="E15" i="15"/>
  <c r="E14" i="15"/>
  <c r="F335" i="14"/>
  <c r="E335" i="14"/>
  <c r="F334" i="14"/>
  <c r="E334" i="14"/>
  <c r="F333" i="14"/>
  <c r="E333" i="14"/>
  <c r="F332" i="14"/>
  <c r="E332" i="14"/>
  <c r="F331" i="14"/>
  <c r="E331" i="14"/>
  <c r="F330" i="14"/>
  <c r="E330" i="14"/>
  <c r="F329" i="14"/>
  <c r="E329" i="14"/>
  <c r="F316" i="14"/>
  <c r="E316" i="14"/>
  <c r="C311" i="14"/>
  <c r="E308" i="14"/>
  <c r="F308" i="14"/>
  <c r="C307" i="14"/>
  <c r="E307" i="14" s="1"/>
  <c r="F307" i="14" s="1"/>
  <c r="C299" i="14"/>
  <c r="E299" i="14" s="1"/>
  <c r="C298" i="14"/>
  <c r="F297" i="14"/>
  <c r="C297" i="14"/>
  <c r="E297" i="14" s="1"/>
  <c r="F296" i="14"/>
  <c r="C296" i="14"/>
  <c r="E296" i="14" s="1"/>
  <c r="C295" i="14"/>
  <c r="C294" i="14"/>
  <c r="E250" i="14"/>
  <c r="C250" i="14"/>
  <c r="C306" i="14" s="1"/>
  <c r="F249" i="14"/>
  <c r="E249" i="14"/>
  <c r="F248" i="14"/>
  <c r="E248" i="14"/>
  <c r="F245" i="14"/>
  <c r="E245" i="14"/>
  <c r="F244" i="14"/>
  <c r="E244" i="14"/>
  <c r="F243" i="14"/>
  <c r="E243" i="14"/>
  <c r="E238" i="14"/>
  <c r="C238" i="14"/>
  <c r="C237" i="14"/>
  <c r="E234" i="14"/>
  <c r="F234" i="14" s="1"/>
  <c r="E233" i="14"/>
  <c r="F233" i="14" s="1"/>
  <c r="E230" i="14"/>
  <c r="C230" i="14"/>
  <c r="C229" i="14"/>
  <c r="E228" i="14"/>
  <c r="F228" i="14"/>
  <c r="C226" i="14"/>
  <c r="E225" i="14"/>
  <c r="F225" i="14" s="1"/>
  <c r="E224" i="14"/>
  <c r="F224" i="14" s="1"/>
  <c r="C223" i="14"/>
  <c r="E223" i="14" s="1"/>
  <c r="E222" i="14"/>
  <c r="F222" i="14" s="1"/>
  <c r="E221" i="14"/>
  <c r="F221" i="14" s="1"/>
  <c r="C204" i="14"/>
  <c r="C285" i="14" s="1"/>
  <c r="C203" i="14"/>
  <c r="C198" i="14"/>
  <c r="C274" i="14" s="1"/>
  <c r="C191" i="14"/>
  <c r="C200" i="14" s="1"/>
  <c r="C189" i="14"/>
  <c r="C255" i="14" s="1"/>
  <c r="C188" i="14"/>
  <c r="C277" i="14" s="1"/>
  <c r="E180" i="14"/>
  <c r="C180" i="14"/>
  <c r="C179" i="14"/>
  <c r="C171" i="14"/>
  <c r="C170" i="14"/>
  <c r="E169" i="14"/>
  <c r="F169" i="14" s="1"/>
  <c r="E168" i="14"/>
  <c r="F168" i="14" s="1"/>
  <c r="C165" i="14"/>
  <c r="E165" i="14" s="1"/>
  <c r="C164" i="14"/>
  <c r="E164" i="14" s="1"/>
  <c r="F164" i="14" s="1"/>
  <c r="E163" i="14"/>
  <c r="F163" i="14" s="1"/>
  <c r="C158" i="14"/>
  <c r="E158" i="14" s="1"/>
  <c r="E157" i="14"/>
  <c r="F157" i="14" s="1"/>
  <c r="E156" i="14"/>
  <c r="F156" i="14" s="1"/>
  <c r="C155" i="14"/>
  <c r="E154" i="14"/>
  <c r="F154" i="14"/>
  <c r="E153" i="14"/>
  <c r="F153" i="14"/>
  <c r="C145" i="14"/>
  <c r="E145" i="14"/>
  <c r="F145" i="14" s="1"/>
  <c r="C144" i="14"/>
  <c r="C136" i="14"/>
  <c r="C135" i="14"/>
  <c r="E135" i="14" s="1"/>
  <c r="E134" i="14"/>
  <c r="F134" i="14" s="1"/>
  <c r="E133" i="14"/>
  <c r="F133" i="14" s="1"/>
  <c r="C130" i="14"/>
  <c r="E130" i="14" s="1"/>
  <c r="C129" i="14"/>
  <c r="E129" i="14" s="1"/>
  <c r="F129" i="14" s="1"/>
  <c r="E128" i="14"/>
  <c r="F128" i="14" s="1"/>
  <c r="C123" i="14"/>
  <c r="E123" i="14" s="1"/>
  <c r="F123" i="14" s="1"/>
  <c r="E122" i="14"/>
  <c r="F122" i="14" s="1"/>
  <c r="E121" i="14"/>
  <c r="F121" i="14" s="1"/>
  <c r="C120" i="14"/>
  <c r="E119" i="14"/>
  <c r="F119" i="14" s="1"/>
  <c r="E118" i="14"/>
  <c r="F118" i="14" s="1"/>
  <c r="C110" i="14"/>
  <c r="E110" i="14" s="1"/>
  <c r="F110" i="14" s="1"/>
  <c r="C109" i="14"/>
  <c r="E109" i="14" s="1"/>
  <c r="C101" i="14"/>
  <c r="E101" i="14" s="1"/>
  <c r="F101" i="14" s="1"/>
  <c r="E100" i="14"/>
  <c r="C100" i="14"/>
  <c r="E99" i="14"/>
  <c r="F99" i="14" s="1"/>
  <c r="E98" i="14"/>
  <c r="F98" i="14" s="1"/>
  <c r="C95" i="14"/>
  <c r="C94" i="14"/>
  <c r="E94" i="14" s="1"/>
  <c r="E93" i="14"/>
  <c r="F93" i="14" s="1"/>
  <c r="C88" i="14"/>
  <c r="E88" i="14" s="1"/>
  <c r="F88" i="14" s="1"/>
  <c r="E87" i="14"/>
  <c r="F87" i="14" s="1"/>
  <c r="E86" i="14"/>
  <c r="F86" i="14" s="1"/>
  <c r="C85" i="14"/>
  <c r="E84" i="14"/>
  <c r="F84" i="14"/>
  <c r="E83" i="14"/>
  <c r="F83" i="14"/>
  <c r="C76" i="14"/>
  <c r="E76" i="14"/>
  <c r="E74" i="14"/>
  <c r="F74" i="14"/>
  <c r="E73" i="14"/>
  <c r="F73" i="14"/>
  <c r="C67" i="14"/>
  <c r="E67" i="14" s="1"/>
  <c r="C66" i="14"/>
  <c r="E66" i="14" s="1"/>
  <c r="C59" i="14"/>
  <c r="C60" i="14" s="1"/>
  <c r="E60" i="14" s="1"/>
  <c r="C58" i="14"/>
  <c r="E58" i="14" s="1"/>
  <c r="E57" i="14"/>
  <c r="F57" i="14" s="1"/>
  <c r="E56" i="14"/>
  <c r="F56" i="14" s="1"/>
  <c r="E53" i="14"/>
  <c r="C53" i="14"/>
  <c r="F53" i="14"/>
  <c r="C52" i="14"/>
  <c r="E52" i="14"/>
  <c r="E51" i="14"/>
  <c r="F51" i="14"/>
  <c r="C47" i="14"/>
  <c r="C48" i="14"/>
  <c r="E46" i="14"/>
  <c r="F46" i="14"/>
  <c r="E45" i="14"/>
  <c r="F45" i="14"/>
  <c r="C44" i="14"/>
  <c r="E44" i="14" s="1"/>
  <c r="E43" i="14"/>
  <c r="F43" i="14" s="1"/>
  <c r="E42" i="14"/>
  <c r="F42" i="14" s="1"/>
  <c r="C36" i="14"/>
  <c r="E36" i="14" s="1"/>
  <c r="F36" i="14" s="1"/>
  <c r="C35" i="14"/>
  <c r="E35" i="14" s="1"/>
  <c r="C31" i="14"/>
  <c r="E31" i="14" s="1"/>
  <c r="F31" i="14" s="1"/>
  <c r="C30" i="14"/>
  <c r="E30" i="14" s="1"/>
  <c r="F30" i="14" s="1"/>
  <c r="C29" i="14"/>
  <c r="E29" i="14" s="1"/>
  <c r="E28" i="14"/>
  <c r="F28" i="14" s="1"/>
  <c r="E27" i="14"/>
  <c r="F27" i="14" s="1"/>
  <c r="C24" i="14"/>
  <c r="C23" i="14"/>
  <c r="E23" i="14" s="1"/>
  <c r="F23" i="14" s="1"/>
  <c r="E22" i="14"/>
  <c r="F22" i="14" s="1"/>
  <c r="C20" i="14"/>
  <c r="E19" i="14"/>
  <c r="F19" i="14" s="1"/>
  <c r="E18" i="14"/>
  <c r="F18" i="14" s="1"/>
  <c r="C17" i="14"/>
  <c r="E17" i="14" s="1"/>
  <c r="F17" i="14" s="1"/>
  <c r="E16" i="14"/>
  <c r="F16" i="14" s="1"/>
  <c r="E15" i="14"/>
  <c r="F15" i="14" s="1"/>
  <c r="D21" i="13"/>
  <c r="C21" i="13"/>
  <c r="E20" i="13"/>
  <c r="F20" i="13" s="1"/>
  <c r="D17" i="13"/>
  <c r="C17" i="13"/>
  <c r="E16" i="13"/>
  <c r="F16" i="13" s="1"/>
  <c r="D13" i="13"/>
  <c r="E13" i="13" s="1"/>
  <c r="F13" i="13" s="1"/>
  <c r="C13" i="13"/>
  <c r="F12" i="13"/>
  <c r="E12" i="13"/>
  <c r="D99" i="12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E75" i="12" s="1"/>
  <c r="F75" i="12" s="1"/>
  <c r="D70" i="12"/>
  <c r="C70" i="12"/>
  <c r="E69" i="12"/>
  <c r="F69" i="12" s="1"/>
  <c r="E68" i="12"/>
  <c r="F68" i="12" s="1"/>
  <c r="D65" i="12"/>
  <c r="C65" i="12"/>
  <c r="E64" i="12"/>
  <c r="F64" i="12" s="1"/>
  <c r="E63" i="12"/>
  <c r="F63" i="12" s="1"/>
  <c r="D60" i="12"/>
  <c r="C60" i="12"/>
  <c r="E59" i="12"/>
  <c r="F59" i="12" s="1"/>
  <c r="F58" i="12"/>
  <c r="E58" i="12"/>
  <c r="E60" i="12" s="1"/>
  <c r="F60" i="12" s="1"/>
  <c r="D55" i="12"/>
  <c r="E55" i="12" s="1"/>
  <c r="F55" i="12" s="1"/>
  <c r="C55" i="12"/>
  <c r="F54" i="12"/>
  <c r="E54" i="12"/>
  <c r="F53" i="12"/>
  <c r="E53" i="12"/>
  <c r="D50" i="12"/>
  <c r="E50" i="12" s="1"/>
  <c r="F50" i="12" s="1"/>
  <c r="C50" i="12"/>
  <c r="F49" i="12"/>
  <c r="E49" i="12"/>
  <c r="F48" i="12"/>
  <c r="E48" i="12"/>
  <c r="D45" i="12"/>
  <c r="E45" i="12" s="1"/>
  <c r="F45" i="12" s="1"/>
  <c r="C45" i="12"/>
  <c r="F44" i="12"/>
  <c r="E44" i="12"/>
  <c r="F43" i="12"/>
  <c r="E43" i="12"/>
  <c r="D37" i="12"/>
  <c r="E37" i="12" s="1"/>
  <c r="F37" i="12" s="1"/>
  <c r="C37" i="12"/>
  <c r="F36" i="12"/>
  <c r="E36" i="12"/>
  <c r="F35" i="12"/>
  <c r="E35" i="12"/>
  <c r="F34" i="12"/>
  <c r="E34" i="12"/>
  <c r="F33" i="12"/>
  <c r="E33" i="12"/>
  <c r="D30" i="12"/>
  <c r="E30" i="12" s="1"/>
  <c r="F30" i="12" s="1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F22" i="12"/>
  <c r="E22" i="12"/>
  <c r="F21" i="12"/>
  <c r="E21" i="12"/>
  <c r="F20" i="12"/>
  <c r="E20" i="12"/>
  <c r="F19" i="12"/>
  <c r="E19" i="12"/>
  <c r="D16" i="12"/>
  <c r="E16" i="12" s="1"/>
  <c r="F16" i="12" s="1"/>
  <c r="C16" i="12"/>
  <c r="F15" i="12"/>
  <c r="E15" i="12"/>
  <c r="F14" i="12"/>
  <c r="E14" i="12"/>
  <c r="F13" i="12"/>
  <c r="E13" i="12"/>
  <c r="F12" i="12"/>
  <c r="E12" i="12"/>
  <c r="E40" i="11"/>
  <c r="D40" i="11"/>
  <c r="I37" i="11"/>
  <c r="H37" i="11"/>
  <c r="C33" i="11"/>
  <c r="C36" i="11" s="1"/>
  <c r="C38" i="11" s="1"/>
  <c r="C40" i="11" s="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3" i="11"/>
  <c r="E17" i="11"/>
  <c r="E31" i="11" s="1"/>
  <c r="E33" i="11"/>
  <c r="E36" i="11" s="1"/>
  <c r="E38" i="11" s="1"/>
  <c r="D17" i="11"/>
  <c r="D31" i="11"/>
  <c r="C17" i="11"/>
  <c r="C31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/>
  <c r="E77" i="10" s="1"/>
  <c r="D78" i="10"/>
  <c r="D80" i="10" s="1"/>
  <c r="D77" i="10" s="1"/>
  <c r="C78" i="10"/>
  <c r="C80" i="10" s="1"/>
  <c r="C77" i="10" s="1"/>
  <c r="E73" i="10"/>
  <c r="E75" i="10" s="1"/>
  <c r="D73" i="10"/>
  <c r="D75" i="10"/>
  <c r="C73" i="10"/>
  <c r="C75" i="10" s="1"/>
  <c r="E71" i="10"/>
  <c r="D71" i="10"/>
  <c r="C71" i="10"/>
  <c r="E66" i="10"/>
  <c r="E65" i="10"/>
  <c r="D66" i="10"/>
  <c r="C66" i="10"/>
  <c r="C65" i="10" s="1"/>
  <c r="D65" i="10"/>
  <c r="E60" i="10"/>
  <c r="D60" i="10"/>
  <c r="C60" i="10"/>
  <c r="E58" i="10"/>
  <c r="D58" i="10"/>
  <c r="C58" i="10"/>
  <c r="E55" i="10"/>
  <c r="D55" i="10"/>
  <c r="C55" i="10"/>
  <c r="E54" i="10"/>
  <c r="E50" i="10"/>
  <c r="D54" i="10"/>
  <c r="C54" i="10"/>
  <c r="E46" i="10"/>
  <c r="E59" i="10" s="1"/>
  <c r="D46" i="10"/>
  <c r="C46" i="10"/>
  <c r="C59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C15" i="10"/>
  <c r="E13" i="10"/>
  <c r="E15" i="10" s="1"/>
  <c r="D13" i="10"/>
  <c r="C13" i="10"/>
  <c r="C25" i="10" s="1"/>
  <c r="D46" i="9"/>
  <c r="E46" i="9" s="1"/>
  <c r="F46" i="9" s="1"/>
  <c r="C46" i="9"/>
  <c r="F45" i="9"/>
  <c r="E45" i="9"/>
  <c r="F44" i="9"/>
  <c r="E44" i="9"/>
  <c r="D39" i="9"/>
  <c r="E39" i="9" s="1"/>
  <c r="F39" i="9" s="1"/>
  <c r="C39" i="9"/>
  <c r="E38" i="9"/>
  <c r="F38" i="9" s="1"/>
  <c r="F37" i="9"/>
  <c r="E37" i="9"/>
  <c r="F36" i="9"/>
  <c r="E36" i="9"/>
  <c r="D31" i="9"/>
  <c r="C31" i="9"/>
  <c r="E30" i="9"/>
  <c r="F30" i="9" s="1"/>
  <c r="E29" i="9"/>
  <c r="F29" i="9" s="1"/>
  <c r="E28" i="9"/>
  <c r="F28" i="9" s="1"/>
  <c r="E27" i="9"/>
  <c r="F27" i="9" s="1"/>
  <c r="E26" i="9"/>
  <c r="F26" i="9" s="1"/>
  <c r="E25" i="9"/>
  <c r="F25" i="9" s="1"/>
  <c r="E24" i="9"/>
  <c r="F24" i="9" s="1"/>
  <c r="E23" i="9"/>
  <c r="F23" i="9" s="1"/>
  <c r="E22" i="9"/>
  <c r="F22" i="9" s="1"/>
  <c r="E18" i="9"/>
  <c r="F18" i="9" s="1"/>
  <c r="E17" i="9"/>
  <c r="F17" i="9" s="1"/>
  <c r="D16" i="9"/>
  <c r="E16" i="9" s="1"/>
  <c r="F16" i="9" s="1"/>
  <c r="C16" i="9"/>
  <c r="C19" i="9" s="1"/>
  <c r="C33" i="9" s="1"/>
  <c r="C41" i="9" s="1"/>
  <c r="C48" i="9" s="1"/>
  <c r="F15" i="9"/>
  <c r="E15" i="9"/>
  <c r="F14" i="9"/>
  <c r="E14" i="9"/>
  <c r="F13" i="9"/>
  <c r="E13" i="9"/>
  <c r="F12" i="9"/>
  <c r="E12" i="9"/>
  <c r="D73" i="8"/>
  <c r="E73" i="8" s="1"/>
  <c r="F73" i="8" s="1"/>
  <c r="C73" i="8"/>
  <c r="F72" i="8"/>
  <c r="E72" i="8"/>
  <c r="F71" i="8"/>
  <c r="E71" i="8"/>
  <c r="F70" i="8"/>
  <c r="E70" i="8"/>
  <c r="F67" i="8"/>
  <c r="E67" i="8"/>
  <c r="E64" i="8"/>
  <c r="F64" i="8" s="1"/>
  <c r="E63" i="8"/>
  <c r="F63" i="8" s="1"/>
  <c r="D61" i="8"/>
  <c r="D65" i="8" s="1"/>
  <c r="C61" i="8"/>
  <c r="F60" i="8"/>
  <c r="E60" i="8"/>
  <c r="F59" i="8"/>
  <c r="E59" i="8"/>
  <c r="D56" i="8"/>
  <c r="E56" i="8" s="1"/>
  <c r="F56" i="8" s="1"/>
  <c r="C56" i="8"/>
  <c r="F55" i="8"/>
  <c r="E55" i="8"/>
  <c r="F54" i="8"/>
  <c r="E54" i="8"/>
  <c r="F53" i="8"/>
  <c r="E53" i="8"/>
  <c r="F52" i="8"/>
  <c r="E52" i="8"/>
  <c r="F51" i="8"/>
  <c r="E51" i="8"/>
  <c r="A51" i="8"/>
  <c r="A52" i="8" s="1"/>
  <c r="A53" i="8" s="1"/>
  <c r="A54" i="8" s="1"/>
  <c r="A55" i="8" s="1"/>
  <c r="E50" i="8"/>
  <c r="F50" i="8"/>
  <c r="A50" i="8"/>
  <c r="F49" i="8"/>
  <c r="E49" i="8"/>
  <c r="F40" i="8"/>
  <c r="E40" i="8"/>
  <c r="D38" i="8"/>
  <c r="E38" i="8" s="1"/>
  <c r="F38" i="8" s="1"/>
  <c r="C38" i="8"/>
  <c r="C41" i="8"/>
  <c r="E37" i="8"/>
  <c r="F37" i="8" s="1"/>
  <c r="E36" i="8"/>
  <c r="F36" i="8" s="1"/>
  <c r="E33" i="8"/>
  <c r="F33" i="8" s="1"/>
  <c r="E32" i="8"/>
  <c r="F32" i="8" s="1"/>
  <c r="F31" i="8"/>
  <c r="E31" i="8"/>
  <c r="D29" i="8"/>
  <c r="C29" i="8"/>
  <c r="E28" i="8"/>
  <c r="F28" i="8" s="1"/>
  <c r="E27" i="8"/>
  <c r="F27" i="8" s="1"/>
  <c r="F26" i="8"/>
  <c r="E26" i="8"/>
  <c r="E25" i="8"/>
  <c r="F25" i="8" s="1"/>
  <c r="D22" i="8"/>
  <c r="C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F14" i="8"/>
  <c r="E14" i="8"/>
  <c r="F13" i="8"/>
  <c r="E13" i="8"/>
  <c r="D120" i="7"/>
  <c r="E120" i="7" s="1"/>
  <c r="F120" i="7" s="1"/>
  <c r="C120" i="7"/>
  <c r="D119" i="7"/>
  <c r="C119" i="7"/>
  <c r="D118" i="7"/>
  <c r="E118" i="7"/>
  <c r="F118" i="7" s="1"/>
  <c r="C118" i="7"/>
  <c r="D117" i="7"/>
  <c r="E117" i="7" s="1"/>
  <c r="F117" i="7" s="1"/>
  <c r="C117" i="7"/>
  <c r="D116" i="7"/>
  <c r="E116" i="7" s="1"/>
  <c r="F116" i="7" s="1"/>
  <c r="C116" i="7"/>
  <c r="D115" i="7"/>
  <c r="C115" i="7"/>
  <c r="D114" i="7"/>
  <c r="C114" i="7"/>
  <c r="E114" i="7" s="1"/>
  <c r="F114" i="7" s="1"/>
  <c r="D113" i="7"/>
  <c r="E113" i="7" s="1"/>
  <c r="F113" i="7" s="1"/>
  <c r="C113" i="7"/>
  <c r="C122" i="7"/>
  <c r="D112" i="7"/>
  <c r="C112" i="7"/>
  <c r="D108" i="7"/>
  <c r="C108" i="7"/>
  <c r="D107" i="7"/>
  <c r="E107" i="7"/>
  <c r="F107" i="7" s="1"/>
  <c r="C107" i="7"/>
  <c r="F106" i="7"/>
  <c r="E106" i="7"/>
  <c r="F105" i="7"/>
  <c r="E105" i="7"/>
  <c r="F104" i="7"/>
  <c r="E104" i="7"/>
  <c r="F103" i="7"/>
  <c r="E103" i="7"/>
  <c r="F102" i="7"/>
  <c r="E102" i="7"/>
  <c r="F101" i="7"/>
  <c r="E101" i="7"/>
  <c r="F100" i="7"/>
  <c r="E100" i="7"/>
  <c r="F99" i="7"/>
  <c r="E99" i="7"/>
  <c r="F98" i="7"/>
  <c r="E98" i="7"/>
  <c r="D96" i="7"/>
  <c r="E96" i="7" s="1"/>
  <c r="F96" i="7" s="1"/>
  <c r="C96" i="7"/>
  <c r="D95" i="7"/>
  <c r="E95" i="7" s="1"/>
  <c r="F95" i="7" s="1"/>
  <c r="C95" i="7"/>
  <c r="E94" i="7"/>
  <c r="F94" i="7" s="1"/>
  <c r="E93" i="7"/>
  <c r="F93" i="7" s="1"/>
  <c r="E92" i="7"/>
  <c r="F92" i="7" s="1"/>
  <c r="E91" i="7"/>
  <c r="F91" i="7" s="1"/>
  <c r="E90" i="7"/>
  <c r="F90" i="7" s="1"/>
  <c r="E89" i="7"/>
  <c r="F89" i="7" s="1"/>
  <c r="E88" i="7"/>
  <c r="F88" i="7" s="1"/>
  <c r="E87" i="7"/>
  <c r="F87" i="7" s="1"/>
  <c r="E86" i="7"/>
  <c r="F86" i="7" s="1"/>
  <c r="D84" i="7"/>
  <c r="C84" i="7"/>
  <c r="D83" i="7"/>
  <c r="E83" i="7"/>
  <c r="F83" i="7" s="1"/>
  <c r="C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2" i="7"/>
  <c r="D72" i="7"/>
  <c r="E72" i="7"/>
  <c r="C72" i="7"/>
  <c r="F71" i="7"/>
  <c r="D71" i="7"/>
  <c r="E71" i="7"/>
  <c r="C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 s="1"/>
  <c r="F60" i="7" s="1"/>
  <c r="C60" i="7"/>
  <c r="D59" i="7"/>
  <c r="E59" i="7" s="1"/>
  <c r="F59" i="7" s="1"/>
  <c r="C59" i="7"/>
  <c r="E58" i="7"/>
  <c r="F58" i="7" s="1"/>
  <c r="F57" i="7"/>
  <c r="E57" i="7"/>
  <c r="E56" i="7"/>
  <c r="F56" i="7" s="1"/>
  <c r="E55" i="7"/>
  <c r="F55" i="7" s="1"/>
  <c r="E54" i="7"/>
  <c r="F54" i="7" s="1"/>
  <c r="E53" i="7"/>
  <c r="F53" i="7" s="1"/>
  <c r="E52" i="7"/>
  <c r="F52" i="7" s="1"/>
  <c r="E51" i="7"/>
  <c r="F51" i="7" s="1"/>
  <c r="E50" i="7"/>
  <c r="F50" i="7" s="1"/>
  <c r="D48" i="7"/>
  <c r="C48" i="7"/>
  <c r="D47" i="7"/>
  <c r="E47" i="7"/>
  <c r="F47" i="7" s="1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F36" i="7" s="1"/>
  <c r="C36" i="7"/>
  <c r="D35" i="7"/>
  <c r="E35" i="7" s="1"/>
  <c r="F35" i="7" s="1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E26" i="7"/>
  <c r="F26" i="7" s="1"/>
  <c r="D24" i="7"/>
  <c r="E24" i="7" s="1"/>
  <c r="C24" i="7"/>
  <c r="F24" i="7" s="1"/>
  <c r="D23" i="7"/>
  <c r="E23" i="7" s="1"/>
  <c r="C23" i="7"/>
  <c r="F23" i="7" s="1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C206" i="6"/>
  <c r="E206" i="6" s="1"/>
  <c r="D205" i="6"/>
  <c r="C205" i="6"/>
  <c r="D204" i="6"/>
  <c r="C204" i="6"/>
  <c r="E204" i="6" s="1"/>
  <c r="D203" i="6"/>
  <c r="C203" i="6"/>
  <c r="D202" i="6"/>
  <c r="C202" i="6"/>
  <c r="E202" i="6" s="1"/>
  <c r="D201" i="6"/>
  <c r="C201" i="6"/>
  <c r="D200" i="6"/>
  <c r="C200" i="6"/>
  <c r="E200" i="6" s="1"/>
  <c r="D199" i="6"/>
  <c r="D208" i="6" s="1"/>
  <c r="C199" i="6"/>
  <c r="D198" i="6"/>
  <c r="C198" i="6"/>
  <c r="C207" i="6"/>
  <c r="D193" i="6"/>
  <c r="C193" i="6"/>
  <c r="F193" i="6" s="1"/>
  <c r="D192" i="6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D140" i="6"/>
  <c r="C140" i="6"/>
  <c r="E139" i="6"/>
  <c r="F139" i="6" s="1"/>
  <c r="E138" i="6"/>
  <c r="F138" i="6" s="1"/>
  <c r="E137" i="6"/>
  <c r="F137" i="6" s="1"/>
  <c r="E136" i="6"/>
  <c r="F136" i="6" s="1"/>
  <c r="E135" i="6"/>
  <c r="F135" i="6" s="1"/>
  <c r="E134" i="6"/>
  <c r="F134" i="6" s="1"/>
  <c r="E133" i="6"/>
  <c r="F133" i="6" s="1"/>
  <c r="E132" i="6"/>
  <c r="F132" i="6" s="1"/>
  <c r="E131" i="6"/>
  <c r="F131" i="6" s="1"/>
  <c r="D128" i="6"/>
  <c r="C128" i="6"/>
  <c r="D127" i="6"/>
  <c r="C127" i="6"/>
  <c r="E126" i="6"/>
  <c r="F126" i="6" s="1"/>
  <c r="E125" i="6"/>
  <c r="F125" i="6" s="1"/>
  <c r="E124" i="6"/>
  <c r="F124" i="6" s="1"/>
  <c r="E123" i="6"/>
  <c r="F123" i="6" s="1"/>
  <c r="E122" i="6"/>
  <c r="F122" i="6" s="1"/>
  <c r="E121" i="6"/>
  <c r="F121" i="6" s="1"/>
  <c r="E120" i="6"/>
  <c r="F120" i="6" s="1"/>
  <c r="E119" i="6"/>
  <c r="F119" i="6" s="1"/>
  <c r="E118" i="6"/>
  <c r="F118" i="6" s="1"/>
  <c r="D115" i="6"/>
  <c r="E115" i="6" s="1"/>
  <c r="C115" i="6"/>
  <c r="D114" i="6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D101" i="6"/>
  <c r="C101" i="6"/>
  <c r="E100" i="6"/>
  <c r="F100" i="6" s="1"/>
  <c r="E99" i="6"/>
  <c r="F99" i="6" s="1"/>
  <c r="E98" i="6"/>
  <c r="F98" i="6" s="1"/>
  <c r="E97" i="6"/>
  <c r="F97" i="6" s="1"/>
  <c r="E96" i="6"/>
  <c r="F96" i="6" s="1"/>
  <c r="E95" i="6"/>
  <c r="F95" i="6" s="1"/>
  <c r="E94" i="6"/>
  <c r="F94" i="6" s="1"/>
  <c r="E93" i="6"/>
  <c r="F93" i="6" s="1"/>
  <c r="E92" i="6"/>
  <c r="F92" i="6" s="1"/>
  <c r="D89" i="6"/>
  <c r="E89" i="6" s="1"/>
  <c r="C89" i="6"/>
  <c r="D88" i="6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C76" i="6"/>
  <c r="D75" i="6"/>
  <c r="C75" i="6"/>
  <c r="E74" i="6"/>
  <c r="F74" i="6" s="1"/>
  <c r="E73" i="6"/>
  <c r="F73" i="6" s="1"/>
  <c r="E72" i="6"/>
  <c r="F72" i="6" s="1"/>
  <c r="E71" i="6"/>
  <c r="F71" i="6" s="1"/>
  <c r="E70" i="6"/>
  <c r="F70" i="6" s="1"/>
  <c r="E69" i="6"/>
  <c r="F69" i="6" s="1"/>
  <c r="E68" i="6"/>
  <c r="F68" i="6" s="1"/>
  <c r="E67" i="6"/>
  <c r="F67" i="6" s="1"/>
  <c r="E66" i="6"/>
  <c r="F66" i="6" s="1"/>
  <c r="D63" i="6"/>
  <c r="E63" i="6"/>
  <c r="F63" i="6" s="1"/>
  <c r="C63" i="6"/>
  <c r="D62" i="6"/>
  <c r="E62" i="6" s="1"/>
  <c r="F62" i="6" s="1"/>
  <c r="C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D50" i="6"/>
  <c r="E50" i="6" s="1"/>
  <c r="F50" i="6" s="1"/>
  <c r="C50" i="6"/>
  <c r="D49" i="6"/>
  <c r="C49" i="6"/>
  <c r="E48" i="6"/>
  <c r="F48" i="6" s="1"/>
  <c r="E47" i="6"/>
  <c r="F47" i="6" s="1"/>
  <c r="E46" i="6"/>
  <c r="F46" i="6" s="1"/>
  <c r="E45" i="6"/>
  <c r="F45" i="6" s="1"/>
  <c r="E44" i="6"/>
  <c r="F44" i="6" s="1"/>
  <c r="E43" i="6"/>
  <c r="F43" i="6" s="1"/>
  <c r="E42" i="6"/>
  <c r="F42" i="6" s="1"/>
  <c r="E41" i="6"/>
  <c r="F41" i="6" s="1"/>
  <c r="E40" i="6"/>
  <c r="F40" i="6" s="1"/>
  <c r="D37" i="6"/>
  <c r="E37" i="6" s="1"/>
  <c r="C37" i="6"/>
  <c r="F37" i="6" s="1"/>
  <c r="D36" i="6"/>
  <c r="E36" i="6" s="1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E24" i="6"/>
  <c r="F24" i="6" s="1"/>
  <c r="C24" i="6"/>
  <c r="D23" i="6"/>
  <c r="E23" i="6" s="1"/>
  <c r="F23" i="6" s="1"/>
  <c r="C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E191" i="5"/>
  <c r="D191" i="5"/>
  <c r="C191" i="5"/>
  <c r="E176" i="5"/>
  <c r="D176" i="5"/>
  <c r="C176" i="5"/>
  <c r="E164" i="5"/>
  <c r="D164" i="5"/>
  <c r="D160" i="5" s="1"/>
  <c r="C164" i="5"/>
  <c r="E162" i="5"/>
  <c r="D162" i="5"/>
  <c r="C162" i="5"/>
  <c r="E161" i="5"/>
  <c r="E166" i="5" s="1"/>
  <c r="D161" i="5"/>
  <c r="C161" i="5"/>
  <c r="E160" i="5"/>
  <c r="C160" i="5"/>
  <c r="C166" i="5" s="1"/>
  <c r="E147" i="5"/>
  <c r="E143" i="5" s="1"/>
  <c r="D147" i="5"/>
  <c r="D143" i="5"/>
  <c r="C147" i="5"/>
  <c r="E145" i="5"/>
  <c r="D145" i="5"/>
  <c r="C145" i="5"/>
  <c r="E144" i="5"/>
  <c r="D144" i="5"/>
  <c r="C144" i="5"/>
  <c r="C143" i="5"/>
  <c r="C149" i="5" s="1"/>
  <c r="E126" i="5"/>
  <c r="D126" i="5"/>
  <c r="C126" i="5"/>
  <c r="E119" i="5"/>
  <c r="D119" i="5"/>
  <c r="C119" i="5"/>
  <c r="E108" i="5"/>
  <c r="D108" i="5"/>
  <c r="C108" i="5"/>
  <c r="E107" i="5"/>
  <c r="E109" i="5" s="1"/>
  <c r="E106" i="5" s="1"/>
  <c r="D107" i="5"/>
  <c r="D109" i="5" s="1"/>
  <c r="D106" i="5" s="1"/>
  <c r="C107" i="5"/>
  <c r="C109" i="5" s="1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/>
  <c r="E89" i="5"/>
  <c r="D89" i="5"/>
  <c r="C89" i="5"/>
  <c r="E87" i="5"/>
  <c r="D87" i="5"/>
  <c r="C87" i="5"/>
  <c r="E84" i="5"/>
  <c r="E79" i="5" s="1"/>
  <c r="D84" i="5"/>
  <c r="C84" i="5"/>
  <c r="E83" i="5"/>
  <c r="D83" i="5"/>
  <c r="D79" i="5" s="1"/>
  <c r="C83" i="5"/>
  <c r="E75" i="5"/>
  <c r="E88" i="5" s="1"/>
  <c r="E90" i="5" s="1"/>
  <c r="E86" i="5" s="1"/>
  <c r="D75" i="5"/>
  <c r="C75" i="5"/>
  <c r="C88" i="5" s="1"/>
  <c r="C90" i="5" s="1"/>
  <c r="C86" i="5" s="1"/>
  <c r="E74" i="5"/>
  <c r="D74" i="5"/>
  <c r="C74" i="5"/>
  <c r="E67" i="5"/>
  <c r="D67" i="5"/>
  <c r="C67" i="5"/>
  <c r="E38" i="5"/>
  <c r="D38" i="5"/>
  <c r="D53" i="5" s="1"/>
  <c r="D57" i="5"/>
  <c r="D62" i="5" s="1"/>
  <c r="C38" i="5"/>
  <c r="E33" i="5"/>
  <c r="E34" i="5" s="1"/>
  <c r="D33" i="5"/>
  <c r="D34" i="5" s="1"/>
  <c r="E26" i="5"/>
  <c r="D26" i="5"/>
  <c r="C26" i="5"/>
  <c r="E13" i="5"/>
  <c r="E25" i="5" s="1"/>
  <c r="E27" i="5" s="1"/>
  <c r="E21" i="5" s="1"/>
  <c r="D13" i="5"/>
  <c r="C13" i="5"/>
  <c r="C15" i="5" s="1"/>
  <c r="E174" i="4"/>
  <c r="F174" i="4" s="1"/>
  <c r="D171" i="4"/>
  <c r="C171" i="4"/>
  <c r="E170" i="4"/>
  <c r="F170" i="4" s="1"/>
  <c r="E169" i="4"/>
  <c r="F169" i="4" s="1"/>
  <c r="F168" i="4"/>
  <c r="E168" i="4"/>
  <c r="F167" i="4"/>
  <c r="E167" i="4"/>
  <c r="E166" i="4"/>
  <c r="F166" i="4" s="1"/>
  <c r="F165" i="4"/>
  <c r="E165" i="4"/>
  <c r="F164" i="4"/>
  <c r="E164" i="4"/>
  <c r="E163" i="4"/>
  <c r="F163" i="4" s="1"/>
  <c r="F162" i="4"/>
  <c r="E162" i="4"/>
  <c r="E161" i="4"/>
  <c r="F161" i="4" s="1"/>
  <c r="E160" i="4"/>
  <c r="F160" i="4" s="1"/>
  <c r="E159" i="4"/>
  <c r="F159" i="4" s="1"/>
  <c r="E158" i="4"/>
  <c r="F158" i="4" s="1"/>
  <c r="D155" i="4"/>
  <c r="E155" i="4" s="1"/>
  <c r="C155" i="4"/>
  <c r="E154" i="4"/>
  <c r="F154" i="4" s="1"/>
  <c r="E153" i="4"/>
  <c r="F153" i="4" s="1"/>
  <c r="E152" i="4"/>
  <c r="F152" i="4" s="1"/>
  <c r="E151" i="4"/>
  <c r="F151" i="4" s="1"/>
  <c r="F150" i="4"/>
  <c r="E150" i="4"/>
  <c r="F149" i="4"/>
  <c r="E149" i="4"/>
  <c r="F148" i="4"/>
  <c r="E148" i="4"/>
  <c r="E147" i="4"/>
  <c r="F147" i="4" s="1"/>
  <c r="F146" i="4"/>
  <c r="E146" i="4"/>
  <c r="E145" i="4"/>
  <c r="F145" i="4" s="1"/>
  <c r="E144" i="4"/>
  <c r="F144" i="4" s="1"/>
  <c r="E143" i="4"/>
  <c r="F143" i="4" s="1"/>
  <c r="F142" i="4"/>
  <c r="E142" i="4"/>
  <c r="F141" i="4"/>
  <c r="E141" i="4"/>
  <c r="E140" i="4"/>
  <c r="F140" i="4" s="1"/>
  <c r="E139" i="4"/>
  <c r="F139" i="4" s="1"/>
  <c r="E138" i="4"/>
  <c r="F138" i="4" s="1"/>
  <c r="F137" i="4"/>
  <c r="E137" i="4"/>
  <c r="F136" i="4"/>
  <c r="E136" i="4"/>
  <c r="F135" i="4"/>
  <c r="E135" i="4"/>
  <c r="E134" i="4"/>
  <c r="F134" i="4" s="1"/>
  <c r="E133" i="4"/>
  <c r="F133" i="4" s="1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E126" i="4"/>
  <c r="F126" i="4" s="1"/>
  <c r="E125" i="4"/>
  <c r="F125" i="4"/>
  <c r="E124" i="4"/>
  <c r="F124" i="4" s="1"/>
  <c r="E123" i="4"/>
  <c r="F123" i="4" s="1"/>
  <c r="E122" i="4"/>
  <c r="F122" i="4" s="1"/>
  <c r="E121" i="4"/>
  <c r="F121" i="4"/>
  <c r="D118" i="4"/>
  <c r="E118" i="4"/>
  <c r="C118" i="4"/>
  <c r="F118" i="4"/>
  <c r="E117" i="4"/>
  <c r="F117" i="4" s="1"/>
  <c r="E116" i="4"/>
  <c r="F116" i="4" s="1"/>
  <c r="E115" i="4"/>
  <c r="F115" i="4" s="1"/>
  <c r="E114" i="4"/>
  <c r="F114" i="4" s="1"/>
  <c r="E113" i="4"/>
  <c r="F113" i="4" s="1"/>
  <c r="E112" i="4"/>
  <c r="F112" i="4" s="1"/>
  <c r="D109" i="4"/>
  <c r="C109" i="4"/>
  <c r="E108" i="4"/>
  <c r="F108" i="4" s="1"/>
  <c r="E107" i="4"/>
  <c r="F107" i="4"/>
  <c r="E106" i="4"/>
  <c r="F106" i="4" s="1"/>
  <c r="E105" i="4"/>
  <c r="F105" i="4" s="1"/>
  <c r="E104" i="4"/>
  <c r="F104" i="4" s="1"/>
  <c r="E103" i="4"/>
  <c r="F103" i="4"/>
  <c r="E102" i="4"/>
  <c r="F102" i="4" s="1"/>
  <c r="E101" i="4"/>
  <c r="F101" i="4" s="1"/>
  <c r="E100" i="4"/>
  <c r="F100" i="4" s="1"/>
  <c r="E99" i="4"/>
  <c r="F99" i="4"/>
  <c r="E98" i="4"/>
  <c r="F98" i="4" s="1"/>
  <c r="E97" i="4"/>
  <c r="F97" i="4"/>
  <c r="F96" i="4"/>
  <c r="E96" i="4"/>
  <c r="E95" i="4"/>
  <c r="F95" i="4"/>
  <c r="E94" i="4"/>
  <c r="F94" i="4" s="1"/>
  <c r="E93" i="4"/>
  <c r="F93" i="4"/>
  <c r="E92" i="4"/>
  <c r="F92" i="4" s="1"/>
  <c r="E91" i="4"/>
  <c r="F91" i="4" s="1"/>
  <c r="F81" i="4"/>
  <c r="E81" i="4"/>
  <c r="D78" i="4"/>
  <c r="C78" i="4"/>
  <c r="E77" i="4"/>
  <c r="F77" i="4" s="1"/>
  <c r="E76" i="4"/>
  <c r="F76" i="4" s="1"/>
  <c r="E75" i="4"/>
  <c r="F75" i="4" s="1"/>
  <c r="E74" i="4"/>
  <c r="F74" i="4" s="1"/>
  <c r="E73" i="4"/>
  <c r="F73" i="4" s="1"/>
  <c r="E72" i="4"/>
  <c r="F72" i="4" s="1"/>
  <c r="E71" i="4"/>
  <c r="F71" i="4" s="1"/>
  <c r="E70" i="4"/>
  <c r="F70" i="4" s="1"/>
  <c r="E69" i="4"/>
  <c r="F69" i="4" s="1"/>
  <c r="E68" i="4"/>
  <c r="F68" i="4" s="1"/>
  <c r="E67" i="4"/>
  <c r="F67" i="4" s="1"/>
  <c r="E66" i="4"/>
  <c r="F66" i="4" s="1"/>
  <c r="E65" i="4"/>
  <c r="F65" i="4" s="1"/>
  <c r="E64" i="4"/>
  <c r="F64" i="4" s="1"/>
  <c r="E63" i="4"/>
  <c r="F63" i="4" s="1"/>
  <c r="E62" i="4"/>
  <c r="F62" i="4" s="1"/>
  <c r="D59" i="4"/>
  <c r="C59" i="4"/>
  <c r="E58" i="4"/>
  <c r="F58" i="4" s="1"/>
  <c r="E57" i="4"/>
  <c r="F57" i="4" s="1"/>
  <c r="E56" i="4"/>
  <c r="F56" i="4" s="1"/>
  <c r="E55" i="4"/>
  <c r="F55" i="4" s="1"/>
  <c r="E54" i="4"/>
  <c r="F54" i="4" s="1"/>
  <c r="E53" i="4"/>
  <c r="F53" i="4" s="1"/>
  <c r="E50" i="4"/>
  <c r="F50" i="4" s="1"/>
  <c r="E47" i="4"/>
  <c r="F47" i="4" s="1"/>
  <c r="E44" i="4"/>
  <c r="F44" i="4" s="1"/>
  <c r="D41" i="4"/>
  <c r="C41" i="4"/>
  <c r="F40" i="4"/>
  <c r="E40" i="4"/>
  <c r="E39" i="4"/>
  <c r="F39" i="4" s="1"/>
  <c r="F38" i="4"/>
  <c r="E38" i="4"/>
  <c r="D35" i="4"/>
  <c r="E35" i="4" s="1"/>
  <c r="C35" i="4"/>
  <c r="E34" i="4"/>
  <c r="F34" i="4" s="1"/>
  <c r="E33" i="4"/>
  <c r="F33" i="4" s="1"/>
  <c r="D30" i="4"/>
  <c r="C30" i="4"/>
  <c r="E29" i="4"/>
  <c r="F29" i="4" s="1"/>
  <c r="F28" i="4"/>
  <c r="E28" i="4"/>
  <c r="E27" i="4"/>
  <c r="F27" i="4" s="1"/>
  <c r="D24" i="4"/>
  <c r="C24" i="4"/>
  <c r="E23" i="4"/>
  <c r="F23" i="4" s="1"/>
  <c r="E22" i="4"/>
  <c r="F22" i="4" s="1"/>
  <c r="E21" i="4"/>
  <c r="F21" i="4" s="1"/>
  <c r="D18" i="4"/>
  <c r="E18" i="4" s="1"/>
  <c r="F18" i="4" s="1"/>
  <c r="C18" i="4"/>
  <c r="F17" i="4"/>
  <c r="E17" i="4"/>
  <c r="F16" i="4"/>
  <c r="E16" i="4"/>
  <c r="F15" i="4"/>
  <c r="E15" i="4"/>
  <c r="D179" i="3"/>
  <c r="C179" i="3"/>
  <c r="F178" i="3"/>
  <c r="E178" i="3"/>
  <c r="E177" i="3"/>
  <c r="F177" i="3" s="1"/>
  <c r="E176" i="3"/>
  <c r="F176" i="3" s="1"/>
  <c r="F175" i="3"/>
  <c r="E175" i="3"/>
  <c r="E174" i="3"/>
  <c r="F174" i="3" s="1"/>
  <c r="E173" i="3"/>
  <c r="F173" i="3" s="1"/>
  <c r="F172" i="3"/>
  <c r="E172" i="3"/>
  <c r="E171" i="3"/>
  <c r="F171" i="3" s="1"/>
  <c r="E170" i="3"/>
  <c r="F170" i="3" s="1"/>
  <c r="E169" i="3"/>
  <c r="F169" i="3" s="1"/>
  <c r="F168" i="3"/>
  <c r="E168" i="3"/>
  <c r="D166" i="3"/>
  <c r="E166" i="3" s="1"/>
  <c r="C166" i="3"/>
  <c r="F165" i="3"/>
  <c r="E165" i="3"/>
  <c r="E164" i="3"/>
  <c r="F164" i="3" s="1"/>
  <c r="E163" i="3"/>
  <c r="F163" i="3" s="1"/>
  <c r="F162" i="3"/>
  <c r="E162" i="3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E153" i="3" s="1"/>
  <c r="C153" i="3"/>
  <c r="F152" i="3"/>
  <c r="E152" i="3"/>
  <c r="F151" i="3"/>
  <c r="E151" i="3"/>
  <c r="F150" i="3"/>
  <c r="E150" i="3"/>
  <c r="F149" i="3"/>
  <c r="E149" i="3"/>
  <c r="F148" i="3"/>
  <c r="E148" i="3"/>
  <c r="F147" i="3"/>
  <c r="E147" i="3"/>
  <c r="F146" i="3"/>
  <c r="E146" i="3"/>
  <c r="F145" i="3"/>
  <c r="E145" i="3"/>
  <c r="F144" i="3"/>
  <c r="E144" i="3"/>
  <c r="F143" i="3"/>
  <c r="E143" i="3"/>
  <c r="F142" i="3"/>
  <c r="E142" i="3"/>
  <c r="D137" i="3"/>
  <c r="E137" i="3" s="1"/>
  <c r="F137" i="3" s="1"/>
  <c r="C137" i="3"/>
  <c r="F136" i="3"/>
  <c r="E136" i="3"/>
  <c r="F135" i="3"/>
  <c r="E135" i="3"/>
  <c r="F134" i="3"/>
  <c r="E134" i="3"/>
  <c r="F133" i="3"/>
  <c r="E133" i="3"/>
  <c r="F132" i="3"/>
  <c r="E132" i="3"/>
  <c r="F131" i="3"/>
  <c r="E131" i="3"/>
  <c r="F130" i="3"/>
  <c r="E130" i="3"/>
  <c r="F129" i="3"/>
  <c r="E129" i="3"/>
  <c r="F128" i="3"/>
  <c r="E128" i="3"/>
  <c r="F127" i="3"/>
  <c r="E127" i="3"/>
  <c r="F126" i="3"/>
  <c r="E126" i="3"/>
  <c r="D124" i="3"/>
  <c r="C124" i="3"/>
  <c r="F123" i="3"/>
  <c r="E123" i="3"/>
  <c r="E122" i="3"/>
  <c r="F122" i="3" s="1"/>
  <c r="E121" i="3"/>
  <c r="F121" i="3" s="1"/>
  <c r="F120" i="3"/>
  <c r="E120" i="3"/>
  <c r="E119" i="3"/>
  <c r="F119" i="3" s="1"/>
  <c r="E118" i="3"/>
  <c r="F118" i="3" s="1"/>
  <c r="F117" i="3"/>
  <c r="E117" i="3"/>
  <c r="E116" i="3"/>
  <c r="F116" i="3" s="1"/>
  <c r="E115" i="3"/>
  <c r="F115" i="3" s="1"/>
  <c r="E114" i="3"/>
  <c r="F114" i="3" s="1"/>
  <c r="F113" i="3"/>
  <c r="E113" i="3"/>
  <c r="D111" i="3"/>
  <c r="E111" i="3" s="1"/>
  <c r="C111" i="3"/>
  <c r="F110" i="3"/>
  <c r="E110" i="3"/>
  <c r="F109" i="3"/>
  <c r="E109" i="3"/>
  <c r="E108" i="3"/>
  <c r="F108" i="3" s="1"/>
  <c r="F107" i="3"/>
  <c r="E107" i="3"/>
  <c r="E106" i="3"/>
  <c r="F106" i="3" s="1"/>
  <c r="F105" i="3"/>
  <c r="E105" i="3"/>
  <c r="E104" i="3"/>
  <c r="F104" i="3" s="1"/>
  <c r="E103" i="3"/>
  <c r="F103" i="3" s="1"/>
  <c r="E102" i="3"/>
  <c r="F102" i="3" s="1"/>
  <c r="F101" i="3"/>
  <c r="E101" i="3"/>
  <c r="E100" i="3"/>
  <c r="F100" i="3" s="1"/>
  <c r="D94" i="3"/>
  <c r="C94" i="3"/>
  <c r="F94" i="3" s="1"/>
  <c r="D93" i="3"/>
  <c r="E93" i="3" s="1"/>
  <c r="C93" i="3"/>
  <c r="F93" i="3" s="1"/>
  <c r="D92" i="3"/>
  <c r="C92" i="3"/>
  <c r="D91" i="3"/>
  <c r="E91" i="3" s="1"/>
  <c r="C91" i="3"/>
  <c r="F91" i="3" s="1"/>
  <c r="D90" i="3"/>
  <c r="C90" i="3"/>
  <c r="D89" i="3"/>
  <c r="C89" i="3"/>
  <c r="E89" i="3" s="1"/>
  <c r="F89" i="3" s="1"/>
  <c r="D88" i="3"/>
  <c r="C88" i="3"/>
  <c r="D87" i="3"/>
  <c r="C87" i="3"/>
  <c r="D86" i="3"/>
  <c r="C86" i="3"/>
  <c r="D85" i="3"/>
  <c r="E85" i="3"/>
  <c r="C85" i="3"/>
  <c r="F85" i="3"/>
  <c r="D84" i="3"/>
  <c r="C84" i="3"/>
  <c r="C95" i="3" s="1"/>
  <c r="D81" i="3"/>
  <c r="C81" i="3"/>
  <c r="F80" i="3"/>
  <c r="E80" i="3"/>
  <c r="E79" i="3"/>
  <c r="F79" i="3" s="1"/>
  <c r="E78" i="3"/>
  <c r="F78" i="3" s="1"/>
  <c r="F77" i="3"/>
  <c r="E77" i="3"/>
  <c r="E76" i="3"/>
  <c r="F76" i="3" s="1"/>
  <c r="E75" i="3"/>
  <c r="F75" i="3" s="1"/>
  <c r="E74" i="3"/>
  <c r="F74" i="3" s="1"/>
  <c r="E73" i="3"/>
  <c r="F73" i="3" s="1"/>
  <c r="E72" i="3"/>
  <c r="F72" i="3" s="1"/>
  <c r="E71" i="3"/>
  <c r="F71" i="3" s="1"/>
  <c r="E70" i="3"/>
  <c r="F70" i="3" s="1"/>
  <c r="D68" i="3"/>
  <c r="C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D51" i="3"/>
  <c r="E51" i="3"/>
  <c r="C51" i="3"/>
  <c r="F51" i="3" s="1"/>
  <c r="D50" i="3"/>
  <c r="C50" i="3"/>
  <c r="D49" i="3"/>
  <c r="E49" i="3" s="1"/>
  <c r="C49" i="3"/>
  <c r="D48" i="3"/>
  <c r="C48" i="3"/>
  <c r="F48" i="3"/>
  <c r="D47" i="3"/>
  <c r="C47" i="3"/>
  <c r="D46" i="3"/>
  <c r="C46" i="3"/>
  <c r="D45" i="3"/>
  <c r="E45" i="3"/>
  <c r="C45" i="3"/>
  <c r="F45" i="3"/>
  <c r="D44" i="3"/>
  <c r="C44" i="3"/>
  <c r="D43" i="3"/>
  <c r="C43" i="3"/>
  <c r="D42" i="3"/>
  <c r="C42" i="3"/>
  <c r="E42" i="3" s="1"/>
  <c r="D41" i="3"/>
  <c r="D52" i="3" s="1"/>
  <c r="C41" i="3"/>
  <c r="D38" i="3"/>
  <c r="C38" i="3"/>
  <c r="F37" i="3"/>
  <c r="E37" i="3"/>
  <c r="E36" i="3"/>
  <c r="F36" i="3"/>
  <c r="E35" i="3"/>
  <c r="F35" i="3"/>
  <c r="F34" i="3"/>
  <c r="E34" i="3"/>
  <c r="E33" i="3"/>
  <c r="F33" i="3"/>
  <c r="E32" i="3"/>
  <c r="F32" i="3"/>
  <c r="E31" i="3"/>
  <c r="F31" i="3"/>
  <c r="E30" i="3"/>
  <c r="F30" i="3"/>
  <c r="E29" i="3"/>
  <c r="F29" i="3"/>
  <c r="E28" i="3"/>
  <c r="F28" i="3"/>
  <c r="E27" i="3"/>
  <c r="F27" i="3"/>
  <c r="D25" i="3"/>
  <c r="C25" i="3"/>
  <c r="F24" i="3"/>
  <c r="E24" i="3"/>
  <c r="E23" i="3"/>
  <c r="F23" i="3"/>
  <c r="E22" i="3"/>
  <c r="F22" i="3"/>
  <c r="F21" i="3"/>
  <c r="E21" i="3"/>
  <c r="E20" i="3"/>
  <c r="F20" i="3"/>
  <c r="E19" i="3"/>
  <c r="F19" i="3"/>
  <c r="E18" i="3"/>
  <c r="F18" i="3"/>
  <c r="E17" i="3"/>
  <c r="F17" i="3"/>
  <c r="E16" i="3"/>
  <c r="F16" i="3"/>
  <c r="E15" i="3"/>
  <c r="F15" i="3"/>
  <c r="E14" i="3"/>
  <c r="F14" i="3"/>
  <c r="E49" i="2"/>
  <c r="F49" i="2"/>
  <c r="D46" i="2"/>
  <c r="C46" i="2"/>
  <c r="F45" i="2"/>
  <c r="E45" i="2"/>
  <c r="E44" i="2"/>
  <c r="F44" i="2" s="1"/>
  <c r="D39" i="2"/>
  <c r="E39" i="2" s="1"/>
  <c r="F39" i="2" s="1"/>
  <c r="C39" i="2"/>
  <c r="E38" i="2"/>
  <c r="F38" i="2" s="1"/>
  <c r="F37" i="2"/>
  <c r="E37" i="2"/>
  <c r="F36" i="2"/>
  <c r="E36" i="2"/>
  <c r="D31" i="2"/>
  <c r="C31" i="2"/>
  <c r="E30" i="2"/>
  <c r="F30" i="2" s="1"/>
  <c r="E29" i="2"/>
  <c r="F29" i="2"/>
  <c r="E28" i="2"/>
  <c r="F28" i="2"/>
  <c r="E27" i="2"/>
  <c r="F27" i="2"/>
  <c r="E26" i="2"/>
  <c r="F26" i="2"/>
  <c r="E25" i="2"/>
  <c r="F25" i="2"/>
  <c r="E24" i="2"/>
  <c r="F24" i="2"/>
  <c r="E23" i="2"/>
  <c r="F23" i="2"/>
  <c r="E22" i="2"/>
  <c r="F22" i="2"/>
  <c r="E18" i="2"/>
  <c r="F18" i="2"/>
  <c r="E17" i="2"/>
  <c r="F17" i="2"/>
  <c r="D16" i="2"/>
  <c r="C16" i="2"/>
  <c r="F15" i="2"/>
  <c r="E15" i="2"/>
  <c r="E14" i="2"/>
  <c r="F14" i="2" s="1"/>
  <c r="E13" i="2"/>
  <c r="F13" i="2" s="1"/>
  <c r="E12" i="2"/>
  <c r="F12" i="2" s="1"/>
  <c r="D73" i="1"/>
  <c r="C73" i="1"/>
  <c r="E72" i="1"/>
  <c r="F72" i="1" s="1"/>
  <c r="E71" i="1"/>
  <c r="F71" i="1" s="1"/>
  <c r="E70" i="1"/>
  <c r="F70" i="1"/>
  <c r="F67" i="1"/>
  <c r="E67" i="1"/>
  <c r="E64" i="1"/>
  <c r="F64" i="1"/>
  <c r="E63" i="1"/>
  <c r="F63" i="1"/>
  <c r="D61" i="1"/>
  <c r="E61" i="1" s="1"/>
  <c r="C61" i="1"/>
  <c r="F61" i="1" s="1"/>
  <c r="E60" i="1"/>
  <c r="F60" i="1" s="1"/>
  <c r="F59" i="1"/>
  <c r="E59" i="1"/>
  <c r="D56" i="1"/>
  <c r="C56" i="1"/>
  <c r="E56" i="1" s="1"/>
  <c r="E55" i="1"/>
  <c r="F55" i="1" s="1"/>
  <c r="F54" i="1"/>
  <c r="E54" i="1"/>
  <c r="E53" i="1"/>
  <c r="F53" i="1" s="1"/>
  <c r="F52" i="1"/>
  <c r="E52" i="1"/>
  <c r="E51" i="1"/>
  <c r="F51" i="1" s="1"/>
  <c r="F50" i="1"/>
  <c r="E50" i="1"/>
  <c r="A50" i="1"/>
  <c r="A51" i="1" s="1"/>
  <c r="A52" i="1" s="1"/>
  <c r="A53" i="1" s="1"/>
  <c r="A54" i="1" s="1"/>
  <c r="A55" i="1" s="1"/>
  <c r="E49" i="1"/>
  <c r="F49" i="1" s="1"/>
  <c r="E40" i="1"/>
  <c r="F40" i="1" s="1"/>
  <c r="D38" i="1"/>
  <c r="D41" i="1" s="1"/>
  <c r="C38" i="1"/>
  <c r="C41" i="1" s="1"/>
  <c r="E37" i="1"/>
  <c r="F37" i="1" s="1"/>
  <c r="E36" i="1"/>
  <c r="F36" i="1" s="1"/>
  <c r="E33" i="1"/>
  <c r="F33" i="1" s="1"/>
  <c r="E32" i="1"/>
  <c r="F32" i="1" s="1"/>
  <c r="F31" i="1"/>
  <c r="E31" i="1"/>
  <c r="D29" i="1"/>
  <c r="E29" i="1" s="1"/>
  <c r="F29" i="1" s="1"/>
  <c r="C29" i="1"/>
  <c r="E28" i="1"/>
  <c r="F28" i="1" s="1"/>
  <c r="E27" i="1"/>
  <c r="F27" i="1" s="1"/>
  <c r="F26" i="1"/>
  <c r="E26" i="1"/>
  <c r="E25" i="1"/>
  <c r="F25" i="1" s="1"/>
  <c r="D22" i="1"/>
  <c r="E22" i="1" s="1"/>
  <c r="F22" i="1" s="1"/>
  <c r="C22" i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D192" i="14"/>
  <c r="F44" i="14"/>
  <c r="F67" i="14"/>
  <c r="D111" i="14"/>
  <c r="C139" i="5"/>
  <c r="C135" i="5"/>
  <c r="C137" i="5"/>
  <c r="C140" i="5"/>
  <c r="C138" i="5"/>
  <c r="C136" i="5"/>
  <c r="C156" i="5"/>
  <c r="C152" i="5"/>
  <c r="C154" i="5"/>
  <c r="C155" i="5"/>
  <c r="C153" i="5"/>
  <c r="C157" i="5"/>
  <c r="C24" i="5"/>
  <c r="C17" i="5"/>
  <c r="D88" i="5"/>
  <c r="D90" i="5"/>
  <c r="D86" i="5" s="1"/>
  <c r="D77" i="5"/>
  <c r="D71" i="5" s="1"/>
  <c r="C24" i="10"/>
  <c r="C17" i="10"/>
  <c r="C28" i="10" s="1"/>
  <c r="D59" i="10"/>
  <c r="D61" i="10" s="1"/>
  <c r="D57" i="10" s="1"/>
  <c r="D48" i="10"/>
  <c r="D42" i="10"/>
  <c r="F36" i="11"/>
  <c r="F38" i="11"/>
  <c r="F40" i="11" s="1"/>
  <c r="H33" i="11"/>
  <c r="H36" i="11" s="1"/>
  <c r="H38" i="11" s="1"/>
  <c r="H40" i="11" s="1"/>
  <c r="E38" i="1"/>
  <c r="C43" i="1"/>
  <c r="C65" i="1"/>
  <c r="C19" i="2"/>
  <c r="E31" i="2"/>
  <c r="F31" i="2" s="1"/>
  <c r="E38" i="3"/>
  <c r="F38" i="3" s="1"/>
  <c r="E41" i="3"/>
  <c r="F41" i="3" s="1"/>
  <c r="E43" i="3"/>
  <c r="F43" i="3" s="1"/>
  <c r="E44" i="3"/>
  <c r="F44" i="3" s="1"/>
  <c r="E48" i="3"/>
  <c r="E86" i="3"/>
  <c r="F86" i="3" s="1"/>
  <c r="E90" i="3"/>
  <c r="F90" i="3" s="1"/>
  <c r="E94" i="3"/>
  <c r="E179" i="3"/>
  <c r="F179" i="3" s="1"/>
  <c r="E78" i="4"/>
  <c r="F78" i="4" s="1"/>
  <c r="E109" i="4"/>
  <c r="F109" i="4" s="1"/>
  <c r="C79" i="5"/>
  <c r="D166" i="5"/>
  <c r="D121" i="7"/>
  <c r="D19" i="9"/>
  <c r="C50" i="10"/>
  <c r="E43" i="5"/>
  <c r="E53" i="5"/>
  <c r="E154" i="5"/>
  <c r="E156" i="5"/>
  <c r="E152" i="5"/>
  <c r="D176" i="4"/>
  <c r="E49" i="5"/>
  <c r="D41" i="8"/>
  <c r="E41" i="8" s="1"/>
  <c r="F41" i="8" s="1"/>
  <c r="D75" i="8"/>
  <c r="D25" i="5"/>
  <c r="D27" i="5"/>
  <c r="D15" i="5"/>
  <c r="D15" i="10"/>
  <c r="D25" i="10"/>
  <c r="D27" i="10"/>
  <c r="E48" i="14"/>
  <c r="F48" i="14" s="1"/>
  <c r="C52" i="3"/>
  <c r="D95" i="3"/>
  <c r="E95" i="3" s="1"/>
  <c r="F95" i="3" s="1"/>
  <c r="F38" i="1"/>
  <c r="F42" i="3"/>
  <c r="E46" i="3"/>
  <c r="F46" i="3" s="1"/>
  <c r="E50" i="3"/>
  <c r="F50" i="3" s="1"/>
  <c r="E84" i="3"/>
  <c r="F84" i="3" s="1"/>
  <c r="E88" i="3"/>
  <c r="F88" i="3" s="1"/>
  <c r="E92" i="3"/>
  <c r="F92" i="3" s="1"/>
  <c r="E124" i="3"/>
  <c r="F124" i="3" s="1"/>
  <c r="E41" i="4"/>
  <c r="F41" i="4" s="1"/>
  <c r="E57" i="5"/>
  <c r="E62" i="5" s="1"/>
  <c r="E155" i="5"/>
  <c r="D122" i="7"/>
  <c r="E122" i="7" s="1"/>
  <c r="F122" i="7" s="1"/>
  <c r="C53" i="5"/>
  <c r="C43" i="5"/>
  <c r="E24" i="10"/>
  <c r="E17" i="10"/>
  <c r="E28" i="10" s="1"/>
  <c r="C176" i="4"/>
  <c r="C49" i="5"/>
  <c r="C57" i="5"/>
  <c r="C62" i="5" s="1"/>
  <c r="D207" i="6"/>
  <c r="E207" i="6" s="1"/>
  <c r="F207" i="6" s="1"/>
  <c r="D43" i="8"/>
  <c r="C181" i="14"/>
  <c r="E179" i="14"/>
  <c r="F179" i="14" s="1"/>
  <c r="C283" i="14"/>
  <c r="C287" i="14" s="1"/>
  <c r="C205" i="14"/>
  <c r="E298" i="14"/>
  <c r="F298" i="14"/>
  <c r="E311" i="14"/>
  <c r="F311" i="14"/>
  <c r="D294" i="15"/>
  <c r="E32" i="15"/>
  <c r="D100" i="15"/>
  <c r="D96" i="15"/>
  <c r="D89" i="15"/>
  <c r="D85" i="15"/>
  <c r="D258" i="15"/>
  <c r="D101" i="15"/>
  <c r="D97" i="15"/>
  <c r="D86" i="15"/>
  <c r="C71" i="15"/>
  <c r="C65" i="15"/>
  <c r="C66" i="15" s="1"/>
  <c r="C289" i="15"/>
  <c r="E70" i="15"/>
  <c r="D163" i="15"/>
  <c r="D144" i="15"/>
  <c r="D175" i="15"/>
  <c r="E139" i="15"/>
  <c r="E156" i="15"/>
  <c r="D157" i="15"/>
  <c r="E157" i="15" s="1"/>
  <c r="D207" i="14"/>
  <c r="D138" i="14"/>
  <c r="D33" i="11"/>
  <c r="D36" i="11" s="1"/>
  <c r="D38" i="11" s="1"/>
  <c r="F29" i="14"/>
  <c r="F35" i="14"/>
  <c r="C37" i="14"/>
  <c r="F58" i="14"/>
  <c r="C159" i="14"/>
  <c r="C160" i="14" s="1"/>
  <c r="C267" i="14"/>
  <c r="D83" i="15"/>
  <c r="C278" i="14"/>
  <c r="C215" i="14"/>
  <c r="E294" i="14"/>
  <c r="F294" i="14"/>
  <c r="C33" i="15"/>
  <c r="C144" i="15"/>
  <c r="C175" i="15"/>
  <c r="C163" i="15"/>
  <c r="D320" i="15"/>
  <c r="E320" i="15"/>
  <c r="E316" i="15"/>
  <c r="D41" i="17"/>
  <c r="C46" i="19"/>
  <c r="C40" i="19"/>
  <c r="C36" i="19"/>
  <c r="C30" i="19"/>
  <c r="C111" i="19"/>
  <c r="C54" i="19"/>
  <c r="E109" i="19"/>
  <c r="E108" i="19"/>
  <c r="D254" i="14"/>
  <c r="E283" i="14"/>
  <c r="F31" i="11"/>
  <c r="H31" i="11" s="1"/>
  <c r="C21" i="14"/>
  <c r="C32" i="14"/>
  <c r="E47" i="14"/>
  <c r="F47" i="14" s="1"/>
  <c r="C61" i="14"/>
  <c r="C77" i="14"/>
  <c r="E77" i="14" s="1"/>
  <c r="C89" i="14"/>
  <c r="C90" i="14" s="1"/>
  <c r="F94" i="14"/>
  <c r="F135" i="14"/>
  <c r="F158" i="14"/>
  <c r="F165" i="14"/>
  <c r="C193" i="14"/>
  <c r="F223" i="14"/>
  <c r="F238" i="14"/>
  <c r="E42" i="15"/>
  <c r="E54" i="15"/>
  <c r="E65" i="15"/>
  <c r="C76" i="15"/>
  <c r="C77" i="15"/>
  <c r="D88" i="15"/>
  <c r="D99" i="15"/>
  <c r="E189" i="15"/>
  <c r="C234" i="15"/>
  <c r="C253" i="15"/>
  <c r="E253" i="15" s="1"/>
  <c r="E245" i="15"/>
  <c r="C214" i="14"/>
  <c r="C190" i="14"/>
  <c r="C261" i="14"/>
  <c r="C254" i="14"/>
  <c r="E188" i="14"/>
  <c r="F188" i="14" s="1"/>
  <c r="C239" i="14"/>
  <c r="E237" i="14"/>
  <c r="F237" i="14" s="1"/>
  <c r="C43" i="15"/>
  <c r="C259" i="15" s="1"/>
  <c r="E37" i="15"/>
  <c r="E243" i="15"/>
  <c r="D252" i="15"/>
  <c r="D109" i="19"/>
  <c r="D108" i="19"/>
  <c r="D90" i="14"/>
  <c r="D160" i="14"/>
  <c r="D139" i="14"/>
  <c r="D104" i="14"/>
  <c r="D174" i="14"/>
  <c r="H17" i="11"/>
  <c r="C304" i="14"/>
  <c r="F52" i="14"/>
  <c r="F60" i="14"/>
  <c r="F66" i="14"/>
  <c r="C68" i="14"/>
  <c r="F76" i="14"/>
  <c r="F109" i="14"/>
  <c r="C111" i="14"/>
  <c r="C137" i="14"/>
  <c r="C192" i="14"/>
  <c r="C206" i="14"/>
  <c r="D87" i="15"/>
  <c r="D98" i="15"/>
  <c r="C241" i="15"/>
  <c r="E111" i="14"/>
  <c r="F250" i="14"/>
  <c r="D22" i="15"/>
  <c r="D283" i="15"/>
  <c r="E283" i="15"/>
  <c r="D289" i="15"/>
  <c r="E289" i="15"/>
  <c r="E60" i="15"/>
  <c r="D303" i="15"/>
  <c r="D175" i="14"/>
  <c r="D140" i="14"/>
  <c r="D62" i="14"/>
  <c r="D105" i="14"/>
  <c r="E20" i="14"/>
  <c r="F20" i="14"/>
  <c r="C102" i="14"/>
  <c r="E136" i="14"/>
  <c r="F136" i="14" s="1"/>
  <c r="E170" i="14"/>
  <c r="F170" i="14" s="1"/>
  <c r="F180" i="14"/>
  <c r="E203" i="14"/>
  <c r="F203" i="14" s="1"/>
  <c r="E295" i="14"/>
  <c r="F295" i="14" s="1"/>
  <c r="F299" i="14"/>
  <c r="D33" i="15"/>
  <c r="E38" i="15"/>
  <c r="E43" i="15"/>
  <c r="D71" i="15"/>
  <c r="E71" i="15" s="1"/>
  <c r="E74" i="15"/>
  <c r="D84" i="15"/>
  <c r="D95" i="15"/>
  <c r="D254" i="15"/>
  <c r="E40" i="17"/>
  <c r="F40" i="17" s="1"/>
  <c r="C199" i="14"/>
  <c r="C22" i="15"/>
  <c r="C284" i="15"/>
  <c r="E188" i="15"/>
  <c r="D217" i="15"/>
  <c r="E218" i="15"/>
  <c r="E233" i="15"/>
  <c r="D239" i="15"/>
  <c r="E239" i="15"/>
  <c r="C242" i="15"/>
  <c r="E242" i="15"/>
  <c r="E251" i="15"/>
  <c r="D261" i="15"/>
  <c r="C22" i="16"/>
  <c r="C39" i="17"/>
  <c r="E22" i="19"/>
  <c r="C33" i="19"/>
  <c r="C101" i="19"/>
  <c r="D102" i="19"/>
  <c r="C109" i="19"/>
  <c r="D193" i="14"/>
  <c r="D267" i="14"/>
  <c r="D277" i="14"/>
  <c r="D285" i="14"/>
  <c r="E285" i="14" s="1"/>
  <c r="F285" i="14" s="1"/>
  <c r="D306" i="14"/>
  <c r="E306" i="14" s="1"/>
  <c r="E151" i="15"/>
  <c r="D222" i="15"/>
  <c r="C261" i="15"/>
  <c r="C302" i="15"/>
  <c r="C303" i="15" s="1"/>
  <c r="E314" i="15"/>
  <c r="C49" i="16"/>
  <c r="F33" i="17"/>
  <c r="E23" i="19"/>
  <c r="D124" i="14"/>
  <c r="D200" i="14"/>
  <c r="E200" i="14" s="1"/>
  <c r="F200" i="14" s="1"/>
  <c r="D206" i="14"/>
  <c r="E206" i="14" s="1"/>
  <c r="F206" i="14" s="1"/>
  <c r="D262" i="14"/>
  <c r="D266" i="14"/>
  <c r="D265" i="14" s="1"/>
  <c r="D274" i="14"/>
  <c r="E274" i="14" s="1"/>
  <c r="F274" i="14" s="1"/>
  <c r="D280" i="14"/>
  <c r="C211" i="15"/>
  <c r="C235" i="15" s="1"/>
  <c r="E33" i="19"/>
  <c r="E101" i="19"/>
  <c r="D199" i="14"/>
  <c r="E199" i="14" s="1"/>
  <c r="F199" i="14" s="1"/>
  <c r="D205" i="14"/>
  <c r="E205" i="14" s="1"/>
  <c r="F205" i="14" s="1"/>
  <c r="D215" i="14"/>
  <c r="D216" i="14" s="1"/>
  <c r="E216" i="14" s="1"/>
  <c r="F216" i="14" s="1"/>
  <c r="D261" i="14"/>
  <c r="E221" i="15"/>
  <c r="D21" i="14"/>
  <c r="D190" i="14"/>
  <c r="E190" i="14" s="1"/>
  <c r="F190" i="14" s="1"/>
  <c r="C41" i="17"/>
  <c r="E217" i="15"/>
  <c r="D241" i="15"/>
  <c r="E241" i="15" s="1"/>
  <c r="D90" i="15"/>
  <c r="D63" i="14"/>
  <c r="C216" i="14"/>
  <c r="E214" i="14"/>
  <c r="F214" i="14" s="1"/>
  <c r="C126" i="15"/>
  <c r="C122" i="15"/>
  <c r="C115" i="15"/>
  <c r="C111" i="15"/>
  <c r="C127" i="15"/>
  <c r="C123" i="15"/>
  <c r="C112" i="15"/>
  <c r="C121" i="15"/>
  <c r="C110" i="15"/>
  <c r="C124" i="15"/>
  <c r="C113" i="15"/>
  <c r="C125" i="15"/>
  <c r="C114" i="15"/>
  <c r="C109" i="15"/>
  <c r="C194" i="14"/>
  <c r="E61" i="14"/>
  <c r="F61" i="14" s="1"/>
  <c r="E254" i="14"/>
  <c r="F254" i="14" s="1"/>
  <c r="C288" i="14"/>
  <c r="E278" i="14"/>
  <c r="F278" i="14" s="1"/>
  <c r="D91" i="15"/>
  <c r="D208" i="14"/>
  <c r="D17" i="10"/>
  <c r="D28" i="10" s="1"/>
  <c r="D24" i="10"/>
  <c r="D157" i="5"/>
  <c r="D153" i="5"/>
  <c r="D155" i="5"/>
  <c r="D152" i="5"/>
  <c r="D156" i="5"/>
  <c r="D154" i="5"/>
  <c r="C33" i="2"/>
  <c r="E302" i="15"/>
  <c r="D125" i="14"/>
  <c r="C44" i="15"/>
  <c r="E192" i="14"/>
  <c r="F192" i="14" s="1"/>
  <c r="E175" i="15"/>
  <c r="D76" i="15"/>
  <c r="C284" i="14"/>
  <c r="E176" i="4"/>
  <c r="D268" i="14"/>
  <c r="E261" i="14"/>
  <c r="D271" i="14"/>
  <c r="D263" i="14"/>
  <c r="D272" i="14"/>
  <c r="D194" i="14"/>
  <c r="E193" i="14"/>
  <c r="F193" i="14" s="1"/>
  <c r="E110" i="19"/>
  <c r="E53" i="19"/>
  <c r="E45" i="19"/>
  <c r="E39" i="19"/>
  <c r="E35" i="19"/>
  <c r="E29" i="19"/>
  <c r="D306" i="15"/>
  <c r="D284" i="15"/>
  <c r="E284" i="15"/>
  <c r="E22" i="15"/>
  <c r="C161" i="14"/>
  <c r="C196" i="14"/>
  <c r="C91" i="14"/>
  <c r="C49" i="14"/>
  <c r="D20" i="10"/>
  <c r="D21" i="10"/>
  <c r="F111" i="14"/>
  <c r="C266" i="14"/>
  <c r="E266" i="14" s="1"/>
  <c r="F266" i="14" s="1"/>
  <c r="D288" i="14"/>
  <c r="E288" i="14" s="1"/>
  <c r="F288" i="14" s="1"/>
  <c r="F176" i="4"/>
  <c r="E52" i="3"/>
  <c r="F52" i="3" s="1"/>
  <c r="C141" i="5"/>
  <c r="D270" i="14"/>
  <c r="E267" i="14"/>
  <c r="F267" i="14" s="1"/>
  <c r="E102" i="14"/>
  <c r="F102" i="14" s="1"/>
  <c r="C103" i="14"/>
  <c r="C104" i="14" s="1"/>
  <c r="E104" i="14" s="1"/>
  <c r="F104" i="14" s="1"/>
  <c r="D106" i="14"/>
  <c r="D176" i="14"/>
  <c r="C138" i="14"/>
  <c r="E138" i="14" s="1"/>
  <c r="F138" i="14" s="1"/>
  <c r="E137" i="14"/>
  <c r="F137" i="14" s="1"/>
  <c r="E68" i="14"/>
  <c r="F68" i="14" s="1"/>
  <c r="E239" i="14"/>
  <c r="F239" i="14" s="1"/>
  <c r="E89" i="14"/>
  <c r="F89" i="14" s="1"/>
  <c r="C140" i="14"/>
  <c r="C62" i="14"/>
  <c r="E62" i="14" s="1"/>
  <c r="F62" i="14" s="1"/>
  <c r="E32" i="14"/>
  <c r="F32" i="14" s="1"/>
  <c r="E159" i="14"/>
  <c r="F159" i="14" s="1"/>
  <c r="D102" i="15"/>
  <c r="C286" i="14"/>
  <c r="F283" i="14"/>
  <c r="D21" i="5"/>
  <c r="E261" i="15"/>
  <c r="D286" i="14"/>
  <c r="E286" i="14" s="1"/>
  <c r="F286" i="14" s="1"/>
  <c r="E163" i="15"/>
  <c r="C279" i="14"/>
  <c r="D126" i="14"/>
  <c r="D91" i="14"/>
  <c r="D49" i="14"/>
  <c r="D196" i="14"/>
  <c r="D161" i="14"/>
  <c r="E21" i="14"/>
  <c r="F21" i="14"/>
  <c r="E54" i="19"/>
  <c r="E46" i="19"/>
  <c r="E40" i="19"/>
  <c r="E36" i="19"/>
  <c r="E30" i="19"/>
  <c r="E111" i="19"/>
  <c r="E215" i="14"/>
  <c r="F215" i="14"/>
  <c r="D255" i="14"/>
  <c r="E255" i="14"/>
  <c r="F255" i="14" s="1"/>
  <c r="D246" i="15"/>
  <c r="D287" i="14"/>
  <c r="D279" i="14"/>
  <c r="D284" i="14"/>
  <c r="E284" i="14" s="1"/>
  <c r="F284" i="14" s="1"/>
  <c r="E277" i="14"/>
  <c r="F277" i="14" s="1"/>
  <c r="D295" i="15"/>
  <c r="E33" i="15"/>
  <c r="D141" i="14"/>
  <c r="E140" i="14"/>
  <c r="C268" i="14"/>
  <c r="C271" i="14"/>
  <c r="F261" i="14"/>
  <c r="C56" i="19"/>
  <c r="C48" i="19"/>
  <c r="C38" i="19"/>
  <c r="C113" i="19"/>
  <c r="C180" i="15"/>
  <c r="C168" i="15"/>
  <c r="C145" i="15"/>
  <c r="D145" i="15"/>
  <c r="E144" i="15"/>
  <c r="D168" i="15"/>
  <c r="E168" i="15" s="1"/>
  <c r="E181" i="14"/>
  <c r="F181" i="14" s="1"/>
  <c r="D17" i="5"/>
  <c r="D24" i="5"/>
  <c r="D20" i="5" s="1"/>
  <c r="E19" i="9"/>
  <c r="F19" i="9" s="1"/>
  <c r="D33" i="9"/>
  <c r="C28" i="5"/>
  <c r="C112" i="5"/>
  <c r="C111" i="5" s="1"/>
  <c r="D223" i="15"/>
  <c r="D300" i="14"/>
  <c r="E39" i="17"/>
  <c r="E41" i="17" s="1"/>
  <c r="F41" i="17" s="1"/>
  <c r="D282" i="14"/>
  <c r="E282" i="14" s="1"/>
  <c r="F282" i="14" s="1"/>
  <c r="C282" i="14"/>
  <c r="C75" i="1"/>
  <c r="C158" i="5"/>
  <c r="C181" i="15"/>
  <c r="C169" i="15"/>
  <c r="D127" i="14"/>
  <c r="E76" i="15"/>
  <c r="D259" i="15"/>
  <c r="D77" i="15"/>
  <c r="C99" i="15"/>
  <c r="E99" i="15" s="1"/>
  <c r="C95" i="15"/>
  <c r="C88" i="15"/>
  <c r="E88" i="15" s="1"/>
  <c r="C84" i="15"/>
  <c r="C258" i="15"/>
  <c r="C100" i="15"/>
  <c r="E100" i="15" s="1"/>
  <c r="C96" i="15"/>
  <c r="C89" i="15"/>
  <c r="E89" i="15" s="1"/>
  <c r="C85" i="15"/>
  <c r="E85" i="15" s="1"/>
  <c r="C98" i="15"/>
  <c r="E98" i="15" s="1"/>
  <c r="C87" i="15"/>
  <c r="E87" i="15" s="1"/>
  <c r="C101" i="15"/>
  <c r="E101" i="15" s="1"/>
  <c r="C83" i="15"/>
  <c r="C97" i="15"/>
  <c r="E97" i="15" s="1"/>
  <c r="C86" i="15"/>
  <c r="E86" i="15" s="1"/>
  <c r="E44" i="15"/>
  <c r="C41" i="2"/>
  <c r="D209" i="14"/>
  <c r="D210" i="14"/>
  <c r="D322" i="14"/>
  <c r="D162" i="14"/>
  <c r="E161" i="14"/>
  <c r="D247" i="15"/>
  <c r="E145" i="15"/>
  <c r="D169" i="15"/>
  <c r="E169" i="15" s="1"/>
  <c r="D92" i="14"/>
  <c r="E91" i="14"/>
  <c r="F91" i="14"/>
  <c r="F140" i="14"/>
  <c r="C141" i="14"/>
  <c r="E141" i="14" s="1"/>
  <c r="F141" i="14" s="1"/>
  <c r="C92" i="14"/>
  <c r="F161" i="14"/>
  <c r="C162" i="14"/>
  <c r="D310" i="15"/>
  <c r="C105" i="14"/>
  <c r="E268" i="14"/>
  <c r="D158" i="5"/>
  <c r="C116" i="15"/>
  <c r="C117" i="15" s="1"/>
  <c r="D50" i="14"/>
  <c r="E49" i="14"/>
  <c r="F49" i="14"/>
  <c r="C50" i="14"/>
  <c r="E47" i="19"/>
  <c r="E37" i="19"/>
  <c r="E112" i="19"/>
  <c r="E55" i="19"/>
  <c r="C128" i="15"/>
  <c r="C129" i="15" s="1"/>
  <c r="E33" i="9"/>
  <c r="F33" i="9"/>
  <c r="D41" i="9"/>
  <c r="D291" i="14"/>
  <c r="D289" i="14"/>
  <c r="E48" i="19"/>
  <c r="E38" i="19"/>
  <c r="E113" i="19"/>
  <c r="E56" i="19"/>
  <c r="E103" i="14"/>
  <c r="F103" i="14" s="1"/>
  <c r="C99" i="5"/>
  <c r="C101" i="5" s="1"/>
  <c r="C98" i="5" s="1"/>
  <c r="D112" i="5"/>
  <c r="D111" i="5" s="1"/>
  <c r="D28" i="5"/>
  <c r="D197" i="14"/>
  <c r="E196" i="14"/>
  <c r="F196" i="14" s="1"/>
  <c r="C63" i="14"/>
  <c r="E194" i="14"/>
  <c r="F194" i="14" s="1"/>
  <c r="D195" i="14"/>
  <c r="D304" i="14"/>
  <c r="D273" i="14"/>
  <c r="E271" i="14"/>
  <c r="F271" i="14" s="1"/>
  <c r="C195" i="14"/>
  <c r="F268" i="14"/>
  <c r="D281" i="14"/>
  <c r="E279" i="14"/>
  <c r="F279" i="14"/>
  <c r="D103" i="15"/>
  <c r="F39" i="17"/>
  <c r="E304" i="14"/>
  <c r="F304" i="14" s="1"/>
  <c r="D305" i="14"/>
  <c r="C322" i="14"/>
  <c r="C48" i="2"/>
  <c r="E95" i="15"/>
  <c r="D324" i="14"/>
  <c r="D113" i="14"/>
  <c r="E92" i="14"/>
  <c r="C102" i="15"/>
  <c r="E102" i="15" s="1"/>
  <c r="E96" i="15"/>
  <c r="F92" i="14"/>
  <c r="D183" i="14"/>
  <c r="D323" i="14"/>
  <c r="E162" i="14"/>
  <c r="F162" i="14" s="1"/>
  <c r="C90" i="15"/>
  <c r="E90" i="15" s="1"/>
  <c r="E84" i="15"/>
  <c r="D127" i="15"/>
  <c r="E127" i="15" s="1"/>
  <c r="D123" i="15"/>
  <c r="E123" i="15" s="1"/>
  <c r="D112" i="15"/>
  <c r="E112" i="15" s="1"/>
  <c r="E77" i="15"/>
  <c r="D124" i="15"/>
  <c r="E124" i="15" s="1"/>
  <c r="D113" i="15"/>
  <c r="E113" i="15" s="1"/>
  <c r="D109" i="15"/>
  <c r="D126" i="15"/>
  <c r="E126" i="15" s="1"/>
  <c r="D115" i="15"/>
  <c r="E115" i="15" s="1"/>
  <c r="D121" i="15"/>
  <c r="D110" i="15"/>
  <c r="D122" i="15"/>
  <c r="D111" i="15"/>
  <c r="E111" i="15" s="1"/>
  <c r="D125" i="15"/>
  <c r="E125" i="15" s="1"/>
  <c r="D114" i="15"/>
  <c r="E114" i="15" s="1"/>
  <c r="D148" i="14"/>
  <c r="D99" i="5"/>
  <c r="D101" i="5" s="1"/>
  <c r="D98" i="5" s="1"/>
  <c r="D22" i="5"/>
  <c r="E41" i="9"/>
  <c r="F41" i="9" s="1"/>
  <c r="D48" i="9"/>
  <c r="E48" i="9" s="1"/>
  <c r="F48" i="9" s="1"/>
  <c r="C70" i="14"/>
  <c r="D70" i="14"/>
  <c r="E70" i="14" s="1"/>
  <c r="F70" i="14" s="1"/>
  <c r="E50" i="14"/>
  <c r="F50" i="14" s="1"/>
  <c r="C106" i="14"/>
  <c r="E106" i="14" s="1"/>
  <c r="F106" i="14" s="1"/>
  <c r="E105" i="14"/>
  <c r="F105" i="14"/>
  <c r="D211" i="14"/>
  <c r="C91" i="15"/>
  <c r="E83" i="15"/>
  <c r="E258" i="15"/>
  <c r="E63" i="14"/>
  <c r="F63" i="14" s="1"/>
  <c r="E195" i="14"/>
  <c r="F195" i="14" s="1"/>
  <c r="D105" i="15"/>
  <c r="E91" i="15"/>
  <c r="C324" i="14"/>
  <c r="E324" i="14" s="1"/>
  <c r="F324" i="14" s="1"/>
  <c r="E121" i="15"/>
  <c r="D325" i="14"/>
  <c r="C113" i="14"/>
  <c r="D116" i="15"/>
  <c r="E116" i="15"/>
  <c r="E110" i="15"/>
  <c r="E109" i="15"/>
  <c r="D117" i="15"/>
  <c r="E113" i="14"/>
  <c r="C103" i="15"/>
  <c r="E103" i="15"/>
  <c r="D128" i="15"/>
  <c r="E128" i="15" s="1"/>
  <c r="E122" i="15"/>
  <c r="D309" i="14"/>
  <c r="E322" i="14"/>
  <c r="F322" i="14" s="1"/>
  <c r="C105" i="15"/>
  <c r="E105" i="15" s="1"/>
  <c r="F113" i="14"/>
  <c r="D70" i="10" l="1"/>
  <c r="D72" i="10" s="1"/>
  <c r="D69" i="10" s="1"/>
  <c r="D22" i="10"/>
  <c r="E160" i="14"/>
  <c r="F160" i="14"/>
  <c r="C131" i="15"/>
  <c r="E117" i="15"/>
  <c r="E90" i="14"/>
  <c r="F90" i="14"/>
  <c r="C291" i="14"/>
  <c r="E287" i="14"/>
  <c r="F287" i="14" s="1"/>
  <c r="C289" i="14"/>
  <c r="D129" i="15"/>
  <c r="D131" i="15" s="1"/>
  <c r="E131" i="15" s="1"/>
  <c r="C139" i="14"/>
  <c r="E139" i="14" s="1"/>
  <c r="F139" i="14" s="1"/>
  <c r="E46" i="2"/>
  <c r="F46" i="2" s="1"/>
  <c r="E25" i="3"/>
  <c r="F25" i="3" s="1"/>
  <c r="E24" i="4"/>
  <c r="F24" i="4" s="1"/>
  <c r="E30" i="4"/>
  <c r="D49" i="5"/>
  <c r="C77" i="5"/>
  <c r="C71" i="5" s="1"/>
  <c r="E192" i="6"/>
  <c r="E193" i="6"/>
  <c r="E31" i="9"/>
  <c r="F31" i="9" s="1"/>
  <c r="C27" i="10"/>
  <c r="C21" i="10" s="1"/>
  <c r="E25" i="10"/>
  <c r="E27" i="10" s="1"/>
  <c r="E21" i="10" s="1"/>
  <c r="C61" i="10"/>
  <c r="C57" i="10" s="1"/>
  <c r="E61" i="10"/>
  <c r="E57" i="10" s="1"/>
  <c r="D50" i="10"/>
  <c r="E65" i="12"/>
  <c r="F65" i="12" s="1"/>
  <c r="F73" i="12"/>
  <c r="E84" i="12"/>
  <c r="F84" i="12" s="1"/>
  <c r="E92" i="12"/>
  <c r="F92" i="12" s="1"/>
  <c r="E24" i="14"/>
  <c r="F24" i="14"/>
  <c r="E68" i="3"/>
  <c r="F68" i="3" s="1"/>
  <c r="E81" i="3"/>
  <c r="F81" i="3" s="1"/>
  <c r="F166" i="3"/>
  <c r="F30" i="4"/>
  <c r="D83" i="4"/>
  <c r="F155" i="4"/>
  <c r="E77" i="5"/>
  <c r="E71" i="5" s="1"/>
  <c r="D149" i="5"/>
  <c r="E149" i="5"/>
  <c r="E49" i="6"/>
  <c r="F49" i="6" s="1"/>
  <c r="E75" i="6"/>
  <c r="F75" i="6" s="1"/>
  <c r="E76" i="6"/>
  <c r="E102" i="6"/>
  <c r="E128" i="6"/>
  <c r="E198" i="6"/>
  <c r="F198" i="6" s="1"/>
  <c r="E201" i="6"/>
  <c r="F201" i="6" s="1"/>
  <c r="E203" i="6"/>
  <c r="F203" i="6" s="1"/>
  <c r="E205" i="6"/>
  <c r="F205" i="6" s="1"/>
  <c r="E48" i="7"/>
  <c r="F48" i="7" s="1"/>
  <c r="E84" i="7"/>
  <c r="F84" i="7" s="1"/>
  <c r="E108" i="7"/>
  <c r="F108" i="7" s="1"/>
  <c r="E112" i="7"/>
  <c r="F112" i="7" s="1"/>
  <c r="E115" i="7"/>
  <c r="F115" i="7" s="1"/>
  <c r="E119" i="7"/>
  <c r="F119" i="7" s="1"/>
  <c r="E22" i="8"/>
  <c r="E29" i="8"/>
  <c r="F29" i="8" s="1"/>
  <c r="E99" i="12"/>
  <c r="F99" i="12" s="1"/>
  <c r="E55" i="15"/>
  <c r="C38" i="16"/>
  <c r="C127" i="16" s="1"/>
  <c r="C129" i="16" s="1"/>
  <c r="C133" i="16" s="1"/>
  <c r="E43" i="17"/>
  <c r="D101" i="19"/>
  <c r="D103" i="19" s="1"/>
  <c r="E17" i="13"/>
  <c r="F17" i="13" s="1"/>
  <c r="E21" i="13"/>
  <c r="F21" i="13" s="1"/>
  <c r="F100" i="14"/>
  <c r="C124" i="14"/>
  <c r="C172" i="14"/>
  <c r="E171" i="14"/>
  <c r="F171" i="14" s="1"/>
  <c r="E189" i="14"/>
  <c r="F189" i="14" s="1"/>
  <c r="C227" i="14"/>
  <c r="E226" i="14"/>
  <c r="F226" i="14" s="1"/>
  <c r="F230" i="14"/>
  <c r="E40" i="15"/>
  <c r="E41" i="15"/>
  <c r="E69" i="15"/>
  <c r="E72" i="15"/>
  <c r="E73" i="15"/>
  <c r="E75" i="15"/>
  <c r="E166" i="15"/>
  <c r="E167" i="15"/>
  <c r="E173" i="15"/>
  <c r="E174" i="15"/>
  <c r="E176" i="15"/>
  <c r="E178" i="15"/>
  <c r="E179" i="15"/>
  <c r="E195" i="15"/>
  <c r="E227" i="15"/>
  <c r="E280" i="15"/>
  <c r="E282" i="15"/>
  <c r="E301" i="15"/>
  <c r="C64" i="16"/>
  <c r="C65" i="16" s="1"/>
  <c r="C114" i="16" s="1"/>
  <c r="C116" i="16" s="1"/>
  <c r="C119" i="16" s="1"/>
  <c r="C123" i="16" s="1"/>
  <c r="D46" i="17"/>
  <c r="C102" i="19"/>
  <c r="C103" i="19" s="1"/>
  <c r="E102" i="19"/>
  <c r="E103" i="19" s="1"/>
  <c r="D37" i="14"/>
  <c r="E37" i="14" s="1"/>
  <c r="F37" i="14" s="1"/>
  <c r="C306" i="15"/>
  <c r="E303" i="15"/>
  <c r="E22" i="10"/>
  <c r="E70" i="10"/>
  <c r="E72" i="10" s="1"/>
  <c r="E69" i="10" s="1"/>
  <c r="C70" i="10"/>
  <c r="C72" i="10" s="1"/>
  <c r="C69" i="10" s="1"/>
  <c r="C22" i="10"/>
  <c r="E41" i="1"/>
  <c r="F41" i="1" s="1"/>
  <c r="D43" i="1"/>
  <c r="E43" i="1" s="1"/>
  <c r="F43" i="1" s="1"/>
  <c r="C263" i="15"/>
  <c r="C264" i="15" s="1"/>
  <c r="C266" i="15" s="1"/>
  <c r="C267" i="15" s="1"/>
  <c r="E259" i="15"/>
  <c r="E66" i="15"/>
  <c r="C295" i="15"/>
  <c r="E295" i="15" s="1"/>
  <c r="C294" i="15"/>
  <c r="E294" i="15" s="1"/>
  <c r="F56" i="1"/>
  <c r="D65" i="1"/>
  <c r="E16" i="2"/>
  <c r="F16" i="2" s="1"/>
  <c r="D19" i="2"/>
  <c r="F49" i="3"/>
  <c r="F111" i="3"/>
  <c r="F153" i="3"/>
  <c r="F35" i="4"/>
  <c r="E153" i="5"/>
  <c r="E157" i="5"/>
  <c r="E129" i="15"/>
  <c r="D310" i="14"/>
  <c r="E73" i="1"/>
  <c r="F73" i="1" s="1"/>
  <c r="F47" i="3"/>
  <c r="D135" i="5"/>
  <c r="D137" i="5"/>
  <c r="E47" i="3"/>
  <c r="E87" i="3"/>
  <c r="F87" i="3" s="1"/>
  <c r="E59" i="4"/>
  <c r="F59" i="4" s="1"/>
  <c r="E171" i="4"/>
  <c r="F171" i="4" s="1"/>
  <c r="E15" i="5"/>
  <c r="C25" i="5"/>
  <c r="C27" i="5" s="1"/>
  <c r="C83" i="4"/>
  <c r="D43" i="5"/>
  <c r="F76" i="6"/>
  <c r="E88" i="6"/>
  <c r="F88" i="6" s="1"/>
  <c r="F89" i="6"/>
  <c r="E101" i="6"/>
  <c r="F101" i="6" s="1"/>
  <c r="F102" i="6"/>
  <c r="E114" i="6"/>
  <c r="F114" i="6" s="1"/>
  <c r="F115" i="6"/>
  <c r="E127" i="6"/>
  <c r="F127" i="6" s="1"/>
  <c r="F128" i="6"/>
  <c r="E140" i="6"/>
  <c r="F140" i="6" s="1"/>
  <c r="F141" i="6"/>
  <c r="G36" i="11"/>
  <c r="G38" i="11" s="1"/>
  <c r="G40" i="11" s="1"/>
  <c r="I33" i="11"/>
  <c r="I36" i="11" s="1"/>
  <c r="I38" i="11" s="1"/>
  <c r="I40" i="11" s="1"/>
  <c r="C208" i="6"/>
  <c r="E199" i="6"/>
  <c r="F199" i="6" s="1"/>
  <c r="F200" i="6"/>
  <c r="F202" i="6"/>
  <c r="F204" i="6"/>
  <c r="F206" i="6"/>
  <c r="C121" i="7"/>
  <c r="C43" i="8"/>
  <c r="F22" i="8"/>
  <c r="C65" i="8"/>
  <c r="E61" i="8"/>
  <c r="F61" i="8" s="1"/>
  <c r="C48" i="10"/>
  <c r="C42" i="10" s="1"/>
  <c r="E48" i="10"/>
  <c r="E42" i="10" s="1"/>
  <c r="I17" i="11"/>
  <c r="G31" i="11"/>
  <c r="I31" i="11" s="1"/>
  <c r="E70" i="12"/>
  <c r="F70" i="12" s="1"/>
  <c r="F144" i="14"/>
  <c r="E85" i="14"/>
  <c r="F85" i="14" s="1"/>
  <c r="E95" i="14"/>
  <c r="F95" i="14" s="1"/>
  <c r="E120" i="14"/>
  <c r="F120" i="14" s="1"/>
  <c r="F130" i="14"/>
  <c r="E144" i="14"/>
  <c r="C146" i="14"/>
  <c r="E155" i="14"/>
  <c r="F155" i="14" s="1"/>
  <c r="E198" i="14"/>
  <c r="E229" i="14"/>
  <c r="F229" i="14" s="1"/>
  <c r="C262" i="14"/>
  <c r="C264" i="14"/>
  <c r="C280" i="14"/>
  <c r="E59" i="14"/>
  <c r="F59" i="14" s="1"/>
  <c r="E191" i="14"/>
  <c r="F191" i="14" s="1"/>
  <c r="C290" i="14"/>
  <c r="F198" i="14"/>
  <c r="C269" i="14"/>
  <c r="E204" i="14"/>
  <c r="F204" i="14" s="1"/>
  <c r="E240" i="15"/>
  <c r="C252" i="15"/>
  <c r="F16" i="17"/>
  <c r="F44" i="17"/>
  <c r="F45" i="17"/>
  <c r="D260" i="15"/>
  <c r="D210" i="15"/>
  <c r="E205" i="15"/>
  <c r="E216" i="15"/>
  <c r="C222" i="15"/>
  <c r="E220" i="15"/>
  <c r="C229" i="15"/>
  <c r="E229" i="15" s="1"/>
  <c r="F19" i="17"/>
  <c r="C22" i="19"/>
  <c r="D22" i="19"/>
  <c r="D23" i="19"/>
  <c r="E215" i="15"/>
  <c r="D326" i="15"/>
  <c r="D20" i="17"/>
  <c r="E20" i="17" s="1"/>
  <c r="F20" i="17" s="1"/>
  <c r="E25" i="17"/>
  <c r="F25" i="17" s="1"/>
  <c r="E172" i="14" l="1"/>
  <c r="F172" i="14" s="1"/>
  <c r="C207" i="14"/>
  <c r="C173" i="14"/>
  <c r="E46" i="17"/>
  <c r="F46" i="17" s="1"/>
  <c r="F43" i="17"/>
  <c r="E137" i="5"/>
  <c r="E135" i="5"/>
  <c r="E138" i="5"/>
  <c r="E139" i="5"/>
  <c r="E140" i="5"/>
  <c r="E136" i="5"/>
  <c r="C20" i="10"/>
  <c r="E289" i="14"/>
  <c r="F289" i="14"/>
  <c r="E291" i="14"/>
  <c r="C305" i="14"/>
  <c r="F291" i="14"/>
  <c r="E227" i="14"/>
  <c r="F227" i="14" s="1"/>
  <c r="E124" i="14"/>
  <c r="F124" i="14" s="1"/>
  <c r="C125" i="14"/>
  <c r="C126" i="14"/>
  <c r="D136" i="5"/>
  <c r="D139" i="5"/>
  <c r="D140" i="5"/>
  <c r="D138" i="5"/>
  <c r="E20" i="10"/>
  <c r="D330" i="15"/>
  <c r="E330" i="15" s="1"/>
  <c r="E326" i="15"/>
  <c r="D46" i="19"/>
  <c r="D54" i="19"/>
  <c r="D111" i="19"/>
  <c r="D36" i="19"/>
  <c r="D40" i="19"/>
  <c r="D30" i="19"/>
  <c r="C45" i="19"/>
  <c r="C29" i="19"/>
  <c r="C53" i="19"/>
  <c r="C110" i="19"/>
  <c r="C35" i="19"/>
  <c r="C39" i="19"/>
  <c r="E222" i="15"/>
  <c r="C246" i="15"/>
  <c r="E246" i="15" s="1"/>
  <c r="C223" i="15"/>
  <c r="E210" i="15"/>
  <c r="D234" i="15"/>
  <c r="E234" i="15" s="1"/>
  <c r="D211" i="15"/>
  <c r="D180" i="15"/>
  <c r="E180" i="15" s="1"/>
  <c r="E280" i="14"/>
  <c r="F280" i="14"/>
  <c r="C281" i="14"/>
  <c r="C272" i="14"/>
  <c r="E262" i="14"/>
  <c r="C263" i="14"/>
  <c r="F262" i="14"/>
  <c r="E121" i="7"/>
  <c r="F121" i="7" s="1"/>
  <c r="E208" i="6"/>
  <c r="F208" i="6" s="1"/>
  <c r="E24" i="5"/>
  <c r="E20" i="5" s="1"/>
  <c r="E17" i="5"/>
  <c r="D141" i="5"/>
  <c r="E83" i="4"/>
  <c r="F83" i="4" s="1"/>
  <c r="E158" i="5"/>
  <c r="E306" i="15"/>
  <c r="C310" i="15"/>
  <c r="E310" i="15" s="1"/>
  <c r="D53" i="19"/>
  <c r="D110" i="19"/>
  <c r="D35" i="19"/>
  <c r="D45" i="19"/>
  <c r="D29" i="19"/>
  <c r="D39" i="19"/>
  <c r="D263" i="15"/>
  <c r="E260" i="15"/>
  <c r="E252" i="15"/>
  <c r="C254" i="15"/>
  <c r="E254" i="15" s="1"/>
  <c r="E269" i="14"/>
  <c r="F269" i="14" s="1"/>
  <c r="C270" i="14"/>
  <c r="E290" i="14"/>
  <c r="F290" i="14" s="1"/>
  <c r="C300" i="14"/>
  <c r="E264" i="14"/>
  <c r="F264" i="14" s="1"/>
  <c r="C265" i="14"/>
  <c r="E146" i="14"/>
  <c r="F146" i="14" s="1"/>
  <c r="C75" i="8"/>
  <c r="E65" i="8"/>
  <c r="F65" i="8" s="1"/>
  <c r="E43" i="8"/>
  <c r="F43" i="8" s="1"/>
  <c r="C21" i="5"/>
  <c r="C20" i="5"/>
  <c r="C22" i="5"/>
  <c r="D312" i="14"/>
  <c r="E19" i="2"/>
  <c r="F19" i="2" s="1"/>
  <c r="D33" i="2"/>
  <c r="E65" i="1"/>
  <c r="F65" i="1" s="1"/>
  <c r="D75" i="1"/>
  <c r="E75" i="1" s="1"/>
  <c r="F75" i="1" s="1"/>
  <c r="C269" i="15"/>
  <c r="C268" i="15"/>
  <c r="E125" i="14" l="1"/>
  <c r="F125" i="14" s="1"/>
  <c r="E141" i="5"/>
  <c r="E173" i="14"/>
  <c r="F173" i="14" s="1"/>
  <c r="C174" i="14"/>
  <c r="C175" i="14"/>
  <c r="C271" i="15"/>
  <c r="E126" i="14"/>
  <c r="F126" i="14"/>
  <c r="C127" i="14"/>
  <c r="C309" i="14"/>
  <c r="E305" i="14"/>
  <c r="F305" i="14"/>
  <c r="C208" i="14"/>
  <c r="E207" i="14"/>
  <c r="F207" i="14" s="1"/>
  <c r="D313" i="14"/>
  <c r="E265" i="14"/>
  <c r="F265" i="14" s="1"/>
  <c r="E300" i="14"/>
  <c r="F300" i="14" s="1"/>
  <c r="E270" i="14"/>
  <c r="F270" i="14" s="1"/>
  <c r="E281" i="14"/>
  <c r="F281" i="14" s="1"/>
  <c r="D235" i="15"/>
  <c r="E235" i="15" s="1"/>
  <c r="E211" i="15"/>
  <c r="D181" i="15"/>
  <c r="E181" i="15" s="1"/>
  <c r="C112" i="19"/>
  <c r="C47" i="19"/>
  <c r="C55" i="19"/>
  <c r="C37" i="19"/>
  <c r="D56" i="19"/>
  <c r="D38" i="19"/>
  <c r="D113" i="19"/>
  <c r="D48" i="19"/>
  <c r="E33" i="2"/>
  <c r="F33" i="2" s="1"/>
  <c r="D41" i="2"/>
  <c r="E75" i="8"/>
  <c r="F75" i="8" s="1"/>
  <c r="D264" i="15"/>
  <c r="E263" i="15"/>
  <c r="D47" i="19"/>
  <c r="D112" i="19"/>
  <c r="D37" i="19"/>
  <c r="D55" i="19"/>
  <c r="E112" i="5"/>
  <c r="E111" i="5" s="1"/>
  <c r="E28" i="5"/>
  <c r="E263" i="14"/>
  <c r="F263" i="14" s="1"/>
  <c r="C273" i="14"/>
  <c r="E272" i="14"/>
  <c r="F272" i="14" s="1"/>
  <c r="E223" i="15"/>
  <c r="C247" i="15"/>
  <c r="E247" i="15" s="1"/>
  <c r="C210" i="14" l="1"/>
  <c r="E210" i="14" s="1"/>
  <c r="F210" i="14" s="1"/>
  <c r="E208" i="14"/>
  <c r="F208" i="14" s="1"/>
  <c r="C209" i="14"/>
  <c r="C197" i="14"/>
  <c r="C148" i="14"/>
  <c r="E127" i="14"/>
  <c r="F127" i="14" s="1"/>
  <c r="C176" i="14"/>
  <c r="E175" i="14"/>
  <c r="F175" i="14" s="1"/>
  <c r="C310" i="14"/>
  <c r="E309" i="14"/>
  <c r="F309" i="14" s="1"/>
  <c r="E174" i="14"/>
  <c r="F174" i="14"/>
  <c r="E273" i="14"/>
  <c r="F273" i="14" s="1"/>
  <c r="E22" i="5"/>
  <c r="E99" i="5"/>
  <c r="E101" i="5" s="1"/>
  <c r="E98" i="5" s="1"/>
  <c r="D48" i="2"/>
  <c r="E48" i="2" s="1"/>
  <c r="F48" i="2" s="1"/>
  <c r="E41" i="2"/>
  <c r="F41" i="2" s="1"/>
  <c r="D314" i="14"/>
  <c r="D251" i="14"/>
  <c r="D256" i="14"/>
  <c r="D315" i="14"/>
  <c r="D266" i="15"/>
  <c r="E264" i="15"/>
  <c r="E209" i="14" l="1"/>
  <c r="F209" i="14"/>
  <c r="C312" i="14"/>
  <c r="E310" i="14"/>
  <c r="F310" i="14" s="1"/>
  <c r="C183" i="14"/>
  <c r="E183" i="14" s="1"/>
  <c r="F183" i="14" s="1"/>
  <c r="E176" i="14"/>
  <c r="F176" i="14" s="1"/>
  <c r="C323" i="14"/>
  <c r="C211" i="14"/>
  <c r="E148" i="14"/>
  <c r="F148" i="14"/>
  <c r="E197" i="14"/>
  <c r="F197" i="14" s="1"/>
  <c r="D257" i="14"/>
  <c r="D267" i="15"/>
  <c r="E266" i="15"/>
  <c r="D318" i="14"/>
  <c r="C325" i="14" l="1"/>
  <c r="E323" i="14"/>
  <c r="F323" i="14" s="1"/>
  <c r="E211" i="14"/>
  <c r="F211" i="14" s="1"/>
  <c r="C313" i="14"/>
  <c r="E312" i="14"/>
  <c r="F312" i="14" s="1"/>
  <c r="E267" i="15"/>
  <c r="D269" i="15"/>
  <c r="E269" i="15" s="1"/>
  <c r="D268" i="15"/>
  <c r="C315" i="14" l="1"/>
  <c r="E315" i="14" s="1"/>
  <c r="F315" i="14" s="1"/>
  <c r="C314" i="14"/>
  <c r="C251" i="14"/>
  <c r="E251" i="14" s="1"/>
  <c r="F251" i="14" s="1"/>
  <c r="C256" i="14"/>
  <c r="E313" i="14"/>
  <c r="F313" i="14" s="1"/>
  <c r="E325" i="14"/>
  <c r="F325" i="14" s="1"/>
  <c r="D271" i="15"/>
  <c r="E271" i="15" s="1"/>
  <c r="E268" i="15"/>
  <c r="C257" i="14" l="1"/>
  <c r="E257" i="14" s="1"/>
  <c r="F257" i="14" s="1"/>
  <c r="E256" i="14"/>
  <c r="F256" i="14" s="1"/>
  <c r="C318" i="14"/>
  <c r="E318" i="14" s="1"/>
  <c r="F318" i="14" s="1"/>
  <c r="E314" i="14"/>
  <c r="F314" i="14" s="1"/>
</calcChain>
</file>

<file path=xl/sharedStrings.xml><?xml version="1.0" encoding="utf-8"?>
<sst xmlns="http://schemas.openxmlformats.org/spreadsheetml/2006/main" count="2307" uniqueCount="983">
  <si>
    <t>HOSPITAL OF SAINT RAPHAEL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</si>
  <si>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</si>
  <si>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</si>
  <si>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</si>
  <si>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</si>
  <si>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</si>
  <si>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</si>
  <si>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</si>
  <si>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</si>
  <si>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</si>
  <si>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</si>
  <si>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</si>
  <si>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</si>
  <si>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</si>
  <si>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</si>
  <si>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</si>
  <si>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</si>
  <si>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</si>
  <si>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</si>
  <si>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</si>
  <si>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</si>
  <si>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</si>
  <si>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</si>
  <si>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</si>
  <si>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</si>
  <si>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</si>
  <si>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</si>
  <si>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</si>
  <si>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</si>
  <si>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</si>
  <si>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</si>
  <si>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</si>
  <si>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</si>
  <si>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</si>
  <si>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</si>
  <si>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</si>
  <si>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</si>
  <si>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</si>
  <si>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</si>
  <si>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</si>
  <si>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</si>
  <si>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</si>
  <si>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</si>
  <si>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</si>
  <si>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</si>
  <si>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</si>
  <si>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</si>
  <si>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</si>
  <si>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</si>
  <si>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</si>
  <si>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</si>
  <si>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</si>
  <si>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</si>
  <si>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</si>
  <si>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</si>
  <si>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</si>
  <si>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</si>
  <si>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</si>
  <si>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</si>
  <si>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</si>
  <si>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</si>
  <si>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</si>
  <si>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</si>
  <si>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</si>
  <si>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</si>
  <si>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</si>
  <si>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</si>
  <si>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</si>
  <si>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</si>
  <si>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</si>
  <si>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</si>
  <si>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</si>
  <si>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</si>
  <si>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</si>
  <si>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</si>
  <si>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</si>
  <si>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</si>
  <si>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</si>
  <si>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</si>
  <si>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</si>
  <si>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</si>
  <si>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</si>
  <si>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</si>
  <si>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</si>
  <si>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</si>
  <si>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</si>
  <si>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</si>
  <si>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</si>
  <si>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</si>
  <si>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</si>
  <si>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</si>
  <si>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</si>
  <si>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</si>
  <si>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</si>
  <si>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</si>
  <si>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</si>
  <si>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</si>
  <si>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</si>
  <si>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</si>
  <si>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</si>
  <si>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</si>
  <si>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</si>
  <si>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</si>
  <si>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</si>
  <si>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</si>
  <si>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</si>
  <si>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</si>
  <si>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</si>
  <si>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</si>
  <si>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</si>
  <si>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</si>
  <si>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</si>
  <si>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</si>
  <si>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</si>
  <si>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</si>
  <si>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</si>
  <si>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</si>
  <si>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</si>
  <si>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</si>
  <si>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</si>
  <si>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</si>
  <si>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</si>
  <si>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</si>
  <si>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</si>
  <si>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</si>
  <si>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</si>
  <si>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</si>
  <si>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</si>
  <si>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</si>
  <si>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</si>
  <si>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</si>
  <si>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</si>
  <si>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</si>
  <si>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</si>
  <si>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</si>
  <si>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</si>
  <si>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</si>
  <si>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</si>
  <si>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</si>
  <si>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</si>
  <si>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</si>
  <si>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</si>
  <si>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</si>
  <si>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</si>
  <si>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</si>
  <si>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</si>
  <si>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</si>
  <si>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</si>
  <si>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</si>
  <si>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</si>
  <si>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</si>
  <si>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</si>
  <si>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</si>
  <si>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</si>
  <si>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</si>
  <si>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</si>
  <si>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</si>
  <si>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</si>
  <si>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</si>
  <si>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</si>
  <si>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</si>
  <si>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</si>
  <si>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</si>
  <si>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</si>
  <si>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</si>
  <si>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</si>
  <si>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</si>
  <si>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</si>
  <si>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</si>
  <si>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</si>
  <si>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</si>
  <si>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</si>
  <si>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</si>
  <si>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</si>
  <si>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</si>
  <si>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</si>
  <si>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</si>
  <si>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</si>
  <si>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</si>
  <si>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</si>
  <si>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</si>
  <si>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</si>
  <si>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</si>
  <si>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</si>
  <si>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</si>
  <si>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</si>
  <si>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</si>
  <si>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</si>
  <si>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</si>
  <si>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</si>
  <si>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</si>
  <si>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</si>
  <si>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</si>
  <si>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</si>
  <si>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</si>
  <si>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</si>
  <si>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</si>
  <si>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</si>
  <si>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</si>
  <si>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</si>
  <si>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</si>
  <si>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</si>
  <si>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</si>
  <si>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</si>
  <si>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</si>
  <si>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</si>
  <si>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</si>
  <si>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</si>
  <si>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</si>
  <si>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</si>
  <si>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</si>
  <si>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</si>
  <si>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</si>
  <si>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</si>
  <si>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</si>
  <si>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</si>
  <si>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</si>
  <si>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</si>
  <si>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</si>
  <si>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</si>
  <si>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</si>
  <si>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</si>
  <si>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</si>
  <si>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</si>
  <si>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</si>
  <si>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</si>
  <si>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</si>
  <si>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</si>
  <si>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</si>
  <si>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</si>
  <si>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</si>
  <si>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</si>
  <si>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</si>
  <si>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</si>
  <si>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</si>
  <si>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</si>
  <si>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</si>
  <si>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</si>
  <si>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</si>
  <si>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</si>
  <si>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</si>
  <si>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</si>
  <si>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</si>
  <si>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</si>
  <si>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</si>
  <si>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</si>
  <si>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</si>
  <si>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</si>
  <si>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</si>
  <si>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</si>
  <si>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</si>
  <si>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</si>
  <si>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</si>
  <si>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</si>
  <si>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</si>
  <si>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</si>
  <si>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</si>
  <si>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</si>
  <si>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</si>
  <si>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</si>
  <si>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</si>
  <si>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</si>
  <si>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</si>
  <si>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</si>
  <si>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</si>
  <si>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</si>
  <si>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</si>
  <si>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</si>
  <si>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</si>
  <si>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</si>
  <si>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</si>
  <si>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</si>
  <si>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</si>
  <si>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</si>
  <si>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</si>
  <si>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</si>
  <si>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</si>
  <si>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</si>
  <si>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</si>
  <si>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</si>
  <si>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</si>
  <si>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</si>
  <si>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</si>
  <si>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</si>
  <si>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</si>
  <si>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</si>
  <si>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</si>
  <si>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</si>
  <si>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</si>
  <si>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</si>
  <si>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</si>
  <si>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</si>
  <si>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</si>
  <si>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</si>
  <si>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</si>
  <si>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</si>
  <si>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</si>
  <si>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</si>
  <si>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</si>
  <si>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</si>
  <si>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</si>
  <si>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</si>
  <si>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</si>
  <si>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</si>
  <si>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</si>
  <si>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</si>
  <si>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</si>
  <si>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</si>
  <si>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</si>
  <si>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</si>
  <si>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</si>
  <si>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</si>
  <si>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</si>
  <si>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</si>
  <si>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</si>
  <si>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</si>
  <si>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</si>
  <si>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</si>
  <si>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</si>
  <si>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</si>
  <si>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</si>
  <si>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</si>
  <si>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</si>
  <si>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</si>
  <si>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</si>
  <si>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</si>
  <si>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</si>
  <si>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</si>
  <si>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</si>
  <si>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</si>
  <si>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</si>
  <si>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</si>
  <si>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</si>
  <si>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</si>
  <si>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</si>
  <si>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</si>
  <si>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</si>
  <si>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</si>
  <si>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</si>
  <si>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</si>
  <si>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</si>
  <si>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</si>
  <si>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</si>
  <si>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</si>
  <si>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</si>
  <si>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</si>
  <si>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</si>
  <si>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</si>
  <si>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</si>
  <si>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</si>
  <si>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</si>
  <si>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</si>
  <si>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</si>
  <si>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</si>
  <si>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</si>
  <si>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</si>
  <si>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</si>
  <si>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</si>
  <si>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</si>
  <si>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</si>
  <si>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</si>
  <si>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</si>
  <si>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</si>
  <si>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</si>
  <si>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</si>
  <si>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</si>
  <si>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</si>
  <si>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</si>
  <si>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</si>
  <si>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</si>
  <si>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</si>
  <si>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</si>
  <si>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</si>
  <si>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</si>
  <si>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</si>
  <si>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</si>
  <si>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</si>
  <si>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</si>
  <si>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</si>
  <si>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</si>
  <si>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</si>
  <si>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</si>
  <si>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</si>
  <si>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</si>
  <si>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</si>
  <si>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</si>
  <si>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</si>
  <si>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</si>
  <si>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</si>
  <si>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</si>
  <si>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</si>
  <si>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</si>
  <si>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</si>
  <si>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</si>
  <si>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</si>
  <si>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</si>
  <si>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</si>
  <si>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</si>
  <si>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</si>
  <si>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</si>
  <si>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</si>
  <si>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</si>
  <si>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</si>
  <si>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</si>
  <si>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</si>
  <si>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</si>
  <si>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</si>
  <si>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</si>
  <si>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</si>
  <si>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</si>
  <si>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</si>
  <si>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</si>
  <si>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</si>
  <si>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</si>
  <si>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</si>
  <si>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</si>
  <si>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</si>
  <si>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</si>
  <si>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</si>
  <si>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</si>
  <si>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</si>
  <si>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</si>
  <si>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</si>
  <si>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</si>
  <si>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</si>
  <si>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</si>
  <si>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</si>
  <si>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</si>
  <si>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</si>
  <si>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</si>
  <si>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</si>
  <si>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</si>
  <si>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</si>
  <si>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</si>
  <si>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</si>
  <si>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</si>
  <si>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</si>
  <si>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</si>
  <si>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</si>
  <si>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</si>
  <si>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</si>
  <si>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</si>
  <si>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</si>
  <si>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</si>
  <si>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</si>
  <si>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</si>
  <si>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</si>
  <si>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</si>
  <si>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</si>
  <si>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</si>
  <si>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</si>
  <si>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</si>
  <si>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</si>
  <si>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</si>
  <si>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</si>
  <si>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</si>
  <si>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</si>
  <si>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</si>
  <si>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</si>
  <si>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</si>
  <si>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</si>
  <si>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</si>
  <si>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</si>
  <si>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</si>
  <si>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</si>
  <si>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</si>
  <si>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</si>
  <si>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</si>
  <si>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</si>
  <si>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</si>
  <si>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</si>
  <si>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</si>
  <si>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</si>
  <si>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</si>
  <si>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</si>
  <si>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</si>
  <si>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</si>
  <si>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</si>
  <si>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</si>
  <si>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RAPHAEL HEALTHCARE SYSTEM, INC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</si>
  <si>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</si>
  <si>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</si>
  <si>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</si>
  <si>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</si>
  <si>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</si>
  <si>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</si>
  <si>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</si>
  <si>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</si>
  <si>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</si>
  <si>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</si>
  <si>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</si>
  <si>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</si>
  <si>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</si>
  <si>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</si>
  <si>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</si>
  <si>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</si>
  <si>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</si>
  <si>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</si>
  <si>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</si>
  <si>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</si>
  <si>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</si>
  <si>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</si>
  <si>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</si>
  <si>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</si>
  <si>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</si>
  <si>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</si>
  <si>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</si>
  <si>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</si>
  <si>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</si>
  <si>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</si>
  <si>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</si>
  <si>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</si>
  <si>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</si>
  <si>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</si>
  <si>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</si>
  <si>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</si>
  <si>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</si>
  <si>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</si>
  <si>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</si>
  <si>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</si>
  <si>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</si>
  <si>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</si>
  <si>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</si>
  <si>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</si>
  <si>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</si>
  <si>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</si>
  <si>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</si>
  <si>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</si>
  <si>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</si>
  <si>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</si>
  <si>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</si>
  <si>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</si>
  <si>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</si>
  <si>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</si>
  <si>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</si>
  <si>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</si>
  <si>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</si>
  <si>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</si>
  <si>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</si>
  <si>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</si>
  <si>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</si>
  <si>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</si>
  <si>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</si>
  <si>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</si>
  <si>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</si>
  <si>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</si>
  <si>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</si>
  <si>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</si>
  <si>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</si>
  <si>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</si>
  <si>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</si>
  <si>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</si>
  <si>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</si>
  <si>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</si>
  <si>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</si>
  <si>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</si>
  <si>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</si>
  <si>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</si>
  <si>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</si>
  <si>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</si>
  <si>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</si>
  <si>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</si>
  <si>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</si>
  <si>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</si>
  <si>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</si>
  <si>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</si>
  <si>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</si>
  <si>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</si>
  <si>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</si>
  <si>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</si>
  <si>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</si>
  <si>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</si>
  <si>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</si>
  <si>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</si>
  <si>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</si>
  <si>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</si>
  <si>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</si>
  <si>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</si>
  <si>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</si>
  <si>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</si>
  <si>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</si>
  <si>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</si>
  <si>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</si>
  <si>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</si>
  <si>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</si>
  <si>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</si>
  <si>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</si>
  <si>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</si>
  <si>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 of Saint Raphael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</si>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</sst>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  <family val="2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12376408</v>
      </c>
      <c r="D13" s="23">
        <v>26693195</v>
      </c>
      <c r="E13" s="23">
        <f t="shared" ref="E13:E22" si="0">D13-C13</f>
        <v>14316787</v>
      </c>
      <c r="F13" s="24">
        <f t="shared" ref="F13:F22" si="1">IF(C13=0,0,E13/C13)</f>
        <v>1.156780464897408</v>
      </c>
    </row>
    <row r="14" spans="1:8" ht="24" customHeight="1" x14ac:dyDescent="0.2">
      <c r="A14" s="21">
        <v>2</v>
      </c>
      <c r="B14" s="22" t="s">
        <v>17</v>
      </c>
      <c r="C14" s="23">
        <v>2314446</v>
      </c>
      <c r="D14" s="23">
        <v>1156970</v>
      </c>
      <c r="E14" s="23">
        <f t="shared" si="0"/>
        <v>-1157476</v>
      </c>
      <c r="F14" s="24">
        <f t="shared" si="1"/>
        <v>-0.50010931341668807</v>
      </c>
    </row>
    <row r="15" spans="1:8" ht="31.5" customHeight="1" x14ac:dyDescent="0.2">
      <c r="A15" s="21">
        <v>3</v>
      </c>
      <c r="B15" s="22" t="s">
        <v>18</v>
      </c>
      <c r="C15" s="23">
        <v>46474066</v>
      </c>
      <c r="D15" s="23">
        <v>42792326</v>
      </c>
      <c r="E15" s="23">
        <f t="shared" si="0"/>
        <v>-3681740</v>
      </c>
      <c r="F15" s="24">
        <f t="shared" si="1"/>
        <v>-7.9221387687490055E-2</v>
      </c>
    </row>
    <row r="16" spans="1:8" ht="24" customHeight="1" x14ac:dyDescent="0.2">
      <c r="A16" s="21">
        <v>4</v>
      </c>
      <c r="B16" s="22" t="s">
        <v>19</v>
      </c>
      <c r="C16" s="23">
        <v>1194793</v>
      </c>
      <c r="D16" s="23">
        <v>1203954</v>
      </c>
      <c r="E16" s="23">
        <f t="shared" si="0"/>
        <v>9161</v>
      </c>
      <c r="F16" s="24">
        <f t="shared" si="1"/>
        <v>7.6674369535141233E-3</v>
      </c>
    </row>
    <row r="17" spans="1:11" ht="24" customHeight="1" x14ac:dyDescent="0.2">
      <c r="A17" s="21">
        <v>5</v>
      </c>
      <c r="B17" s="22" t="s">
        <v>20</v>
      </c>
      <c r="C17" s="23">
        <v>13312504</v>
      </c>
      <c r="D17" s="23">
        <v>0</v>
      </c>
      <c r="E17" s="23">
        <f t="shared" si="0"/>
        <v>-13312504</v>
      </c>
      <c r="F17" s="24">
        <f t="shared" si="1"/>
        <v>-1</v>
      </c>
    </row>
    <row r="18" spans="1:11" ht="24" customHeight="1" x14ac:dyDescent="0.2">
      <c r="A18" s="21">
        <v>6</v>
      </c>
      <c r="B18" s="22" t="s">
        <v>21</v>
      </c>
      <c r="C18" s="23">
        <v>9564963</v>
      </c>
      <c r="D18" s="23">
        <v>6664563</v>
      </c>
      <c r="E18" s="23">
        <f t="shared" si="0"/>
        <v>-2900400</v>
      </c>
      <c r="F18" s="24">
        <f t="shared" si="1"/>
        <v>-0.30323170094855567</v>
      </c>
    </row>
    <row r="19" spans="1:11" ht="24" customHeight="1" x14ac:dyDescent="0.2">
      <c r="A19" s="21">
        <v>7</v>
      </c>
      <c r="B19" s="22" t="s">
        <v>22</v>
      </c>
      <c r="C19" s="23">
        <v>7913605</v>
      </c>
      <c r="D19" s="23">
        <v>7423719</v>
      </c>
      <c r="E19" s="23">
        <f t="shared" si="0"/>
        <v>-489886</v>
      </c>
      <c r="F19" s="24">
        <f t="shared" si="1"/>
        <v>-6.1904277506901091E-2</v>
      </c>
    </row>
    <row r="20" spans="1:11" ht="24" customHeight="1" x14ac:dyDescent="0.2">
      <c r="A20" s="21">
        <v>8</v>
      </c>
      <c r="B20" s="22" t="s">
        <v>23</v>
      </c>
      <c r="C20" s="23">
        <v>420781</v>
      </c>
      <c r="D20" s="23">
        <v>230018</v>
      </c>
      <c r="E20" s="23">
        <f t="shared" si="0"/>
        <v>-190763</v>
      </c>
      <c r="F20" s="24">
        <f t="shared" si="1"/>
        <v>-0.45335459538334666</v>
      </c>
    </row>
    <row r="21" spans="1:11" ht="24" customHeight="1" x14ac:dyDescent="0.2">
      <c r="A21" s="21">
        <v>9</v>
      </c>
      <c r="B21" s="22" t="s">
        <v>24</v>
      </c>
      <c r="C21" s="23">
        <v>2691365</v>
      </c>
      <c r="D21" s="23">
        <v>2257116</v>
      </c>
      <c r="E21" s="23">
        <f t="shared" si="0"/>
        <v>-434249</v>
      </c>
      <c r="F21" s="24">
        <f t="shared" si="1"/>
        <v>-0.16134898090745775</v>
      </c>
    </row>
    <row r="22" spans="1:11" ht="24" customHeight="1" x14ac:dyDescent="0.25">
      <c r="A22" s="25"/>
      <c r="B22" s="26" t="s">
        <v>25</v>
      </c>
      <c r="C22" s="27">
        <f>SUM(C13:C21)</f>
        <v>96262931</v>
      </c>
      <c r="D22" s="27">
        <f>SUM(D13:D21)</f>
        <v>88421861</v>
      </c>
      <c r="E22" s="27">
        <f t="shared" si="0"/>
        <v>-7841070</v>
      </c>
      <c r="F22" s="28">
        <f t="shared" si="1"/>
        <v>-8.1454719054835339E-2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7412957</v>
      </c>
      <c r="D25" s="23">
        <v>7503642</v>
      </c>
      <c r="E25" s="23">
        <f>D25-C25</f>
        <v>90685</v>
      </c>
      <c r="F25" s="24">
        <f>IF(C25=0,0,E25/C25)</f>
        <v>1.2233309865415379E-2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7470384</v>
      </c>
      <c r="D27" s="23">
        <v>7477058</v>
      </c>
      <c r="E27" s="23">
        <f>D27-C27</f>
        <v>6674</v>
      </c>
      <c r="F27" s="24">
        <f>IF(C27=0,0,E27/C27)</f>
        <v>8.9339450287963783E-4</v>
      </c>
    </row>
    <row r="28" spans="1:11" ht="24" customHeight="1" x14ac:dyDescent="0.2">
      <c r="A28" s="21">
        <v>4</v>
      </c>
      <c r="B28" s="22" t="s">
        <v>31</v>
      </c>
      <c r="C28" s="23">
        <v>40898877</v>
      </c>
      <c r="D28" s="23">
        <v>41209569</v>
      </c>
      <c r="E28" s="23">
        <f>D28-C28</f>
        <v>310692</v>
      </c>
      <c r="F28" s="24">
        <f>IF(C28=0,0,E28/C28)</f>
        <v>7.5965899992804205E-3</v>
      </c>
    </row>
    <row r="29" spans="1:11" ht="24" customHeight="1" x14ac:dyDescent="0.25">
      <c r="A29" s="25"/>
      <c r="B29" s="26" t="s">
        <v>32</v>
      </c>
      <c r="C29" s="27">
        <f>SUM(C25:C28)</f>
        <v>55782218</v>
      </c>
      <c r="D29" s="27">
        <f>SUM(D25:D28)</f>
        <v>56190269</v>
      </c>
      <c r="E29" s="27">
        <f>D29-C29</f>
        <v>408051</v>
      </c>
      <c r="F29" s="28">
        <f>IF(C29=0,0,E29/C29)</f>
        <v>7.3150730578694454E-3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2188026</v>
      </c>
      <c r="D32" s="23">
        <v>2204090</v>
      </c>
      <c r="E32" s="23">
        <f>D32-C32</f>
        <v>16064</v>
      </c>
      <c r="F32" s="24">
        <f>IF(C32=0,0,E32/C32)</f>
        <v>7.3417774743078923E-3</v>
      </c>
    </row>
    <row r="33" spans="1:8" ht="24" customHeight="1" x14ac:dyDescent="0.2">
      <c r="A33" s="21">
        <v>7</v>
      </c>
      <c r="B33" s="22" t="s">
        <v>35</v>
      </c>
      <c r="C33" s="23">
        <v>4000792</v>
      </c>
      <c r="D33" s="23">
        <v>7460913</v>
      </c>
      <c r="E33" s="23">
        <f>D33-C33</f>
        <v>3460121</v>
      </c>
      <c r="F33" s="24">
        <f>IF(C33=0,0,E33/C33)</f>
        <v>0.86485900791643255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434248290</v>
      </c>
      <c r="D36" s="23">
        <v>441468335</v>
      </c>
      <c r="E36" s="23">
        <f>D36-C36</f>
        <v>7220045</v>
      </c>
      <c r="F36" s="24">
        <f>IF(C36=0,0,E36/C36)</f>
        <v>1.6626536399256747E-2</v>
      </c>
    </row>
    <row r="37" spans="1:8" ht="24" customHeight="1" x14ac:dyDescent="0.2">
      <c r="A37" s="21">
        <v>2</v>
      </c>
      <c r="B37" s="22" t="s">
        <v>39</v>
      </c>
      <c r="C37" s="23">
        <v>340443184</v>
      </c>
      <c r="D37" s="23">
        <v>352115592</v>
      </c>
      <c r="E37" s="23">
        <f>D37-C37</f>
        <v>11672408</v>
      </c>
      <c r="F37" s="24">
        <f>IF(C37=0,0,E37/C37)</f>
        <v>3.4285920672155384E-2</v>
      </c>
    </row>
    <row r="38" spans="1:8" ht="24" customHeight="1" x14ac:dyDescent="0.25">
      <c r="A38" s="25"/>
      <c r="B38" s="26" t="s">
        <v>40</v>
      </c>
      <c r="C38" s="27">
        <f>C36-C37</f>
        <v>93805106</v>
      </c>
      <c r="D38" s="27">
        <f>D36-D37</f>
        <v>89352743</v>
      </c>
      <c r="E38" s="27">
        <f>D38-C38</f>
        <v>-4452363</v>
      </c>
      <c r="F38" s="28">
        <f>IF(C38=0,0,E38/C38)</f>
        <v>-4.7463972803356784E-2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396986</v>
      </c>
      <c r="D40" s="23">
        <v>2002337</v>
      </c>
      <c r="E40" s="23">
        <f>D40-C40</f>
        <v>1605351</v>
      </c>
      <c r="F40" s="24">
        <f>IF(C40=0,0,E40/C40)</f>
        <v>4.0438478938803888</v>
      </c>
    </row>
    <row r="41" spans="1:8" ht="24" customHeight="1" x14ac:dyDescent="0.25">
      <c r="A41" s="25"/>
      <c r="B41" s="26" t="s">
        <v>42</v>
      </c>
      <c r="C41" s="27">
        <f>+C38+C40</f>
        <v>94202092</v>
      </c>
      <c r="D41" s="27">
        <f>+D38+D40</f>
        <v>91355080</v>
      </c>
      <c r="E41" s="27">
        <f>D41-C41</f>
        <v>-2847012</v>
      </c>
      <c r="F41" s="28">
        <f>IF(C41=0,0,E41/C41)</f>
        <v>-3.0222386144035954E-2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252436059</v>
      </c>
      <c r="D43" s="27">
        <f>D22+D29+D31+D32+D33+D41</f>
        <v>245632213</v>
      </c>
      <c r="E43" s="27">
        <f>D43-C43</f>
        <v>-6803846</v>
      </c>
      <c r="F43" s="28">
        <f>IF(C43=0,0,E43/C43)</f>
        <v>-2.6952750042734584E-2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45715161</v>
      </c>
      <c r="D49" s="23">
        <v>47848864</v>
      </c>
      <c r="E49" s="23">
        <f t="shared" ref="E49:E56" si="2">D49-C49</f>
        <v>2133703</v>
      </c>
      <c r="F49" s="24">
        <f t="shared" ref="F49:F56" si="3">IF(C49=0,0,E49/C49)</f>
        <v>4.6673859466447025E-2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7433161</v>
      </c>
      <c r="D50" s="23">
        <v>8773515</v>
      </c>
      <c r="E50" s="23">
        <f t="shared" si="2"/>
        <v>1340354</v>
      </c>
      <c r="F50" s="24">
        <f t="shared" si="3"/>
        <v>0.18032086214734216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2995971</v>
      </c>
      <c r="D51" s="23">
        <v>4863613</v>
      </c>
      <c r="E51" s="23">
        <f t="shared" si="2"/>
        <v>1867642</v>
      </c>
      <c r="F51" s="24">
        <f t="shared" si="3"/>
        <v>0.62338453876889999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70804456</v>
      </c>
      <c r="D53" s="23">
        <v>67058020</v>
      </c>
      <c r="E53" s="23">
        <f t="shared" si="2"/>
        <v>-3746436</v>
      </c>
      <c r="F53" s="24">
        <f t="shared" si="3"/>
        <v>-5.2912432516959103E-2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6572878</v>
      </c>
      <c r="D55" s="23">
        <v>1998983</v>
      </c>
      <c r="E55" s="23">
        <f t="shared" si="2"/>
        <v>-4573895</v>
      </c>
      <c r="F55" s="24">
        <f t="shared" si="3"/>
        <v>-0.69587401439673757</v>
      </c>
    </row>
    <row r="56" spans="1:6" ht="24" customHeight="1" x14ac:dyDescent="0.25">
      <c r="A56" s="25"/>
      <c r="B56" s="26" t="s">
        <v>54</v>
      </c>
      <c r="C56" s="27">
        <f>SUM(C49:C55)</f>
        <v>133521627</v>
      </c>
      <c r="D56" s="27">
        <f>SUM(D49:D55)</f>
        <v>130542995</v>
      </c>
      <c r="E56" s="27">
        <f t="shared" si="2"/>
        <v>-2978632</v>
      </c>
      <c r="F56" s="28">
        <f t="shared" si="3"/>
        <v>-2.2308236252992934E-2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1946643</v>
      </c>
      <c r="D60" s="23">
        <v>660619</v>
      </c>
      <c r="E60" s="23">
        <f>D60-C60</f>
        <v>-1286024</v>
      </c>
      <c r="F60" s="24">
        <f>IF(C60=0,0,E60/C60)</f>
        <v>-0.66063679883779414</v>
      </c>
    </row>
    <row r="61" spans="1:6" ht="24" customHeight="1" x14ac:dyDescent="0.25">
      <c r="A61" s="25"/>
      <c r="B61" s="26" t="s">
        <v>58</v>
      </c>
      <c r="C61" s="27">
        <f>SUM(C59:C60)</f>
        <v>1946643</v>
      </c>
      <c r="D61" s="27">
        <f>SUM(D59:D60)</f>
        <v>660619</v>
      </c>
      <c r="E61" s="27">
        <f>D61-C61</f>
        <v>-1286024</v>
      </c>
      <c r="F61" s="28">
        <f>IF(C61=0,0,E61/C61)</f>
        <v>-0.66063679883779414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108025533</v>
      </c>
      <c r="D63" s="23">
        <v>140965489</v>
      </c>
      <c r="E63" s="23">
        <f>D63-C63</f>
        <v>32939956</v>
      </c>
      <c r="F63" s="24">
        <f>IF(C63=0,0,E63/C63)</f>
        <v>0.30492750264884139</v>
      </c>
    </row>
    <row r="64" spans="1:6" ht="24" customHeight="1" x14ac:dyDescent="0.2">
      <c r="A64" s="21">
        <v>4</v>
      </c>
      <c r="B64" s="22" t="s">
        <v>60</v>
      </c>
      <c r="C64" s="23">
        <v>19112508</v>
      </c>
      <c r="D64" s="23">
        <v>21867399</v>
      </c>
      <c r="E64" s="23">
        <f>D64-C64</f>
        <v>2754891</v>
      </c>
      <c r="F64" s="24">
        <f>IF(C64=0,0,E64/C64)</f>
        <v>0.14414073757353038</v>
      </c>
    </row>
    <row r="65" spans="1:6" ht="24" customHeight="1" x14ac:dyDescent="0.25">
      <c r="A65" s="25"/>
      <c r="B65" s="26" t="s">
        <v>61</v>
      </c>
      <c r="C65" s="27">
        <f>SUM(C61:C64)</f>
        <v>129084684</v>
      </c>
      <c r="D65" s="27">
        <f>SUM(D61:D64)</f>
        <v>163493507</v>
      </c>
      <c r="E65" s="27">
        <f>D65-C65</f>
        <v>34408823</v>
      </c>
      <c r="F65" s="28">
        <f>IF(C65=0,0,E65/C65)</f>
        <v>0.26656007462511971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-40859335</v>
      </c>
      <c r="D70" s="23">
        <v>-79185572</v>
      </c>
      <c r="E70" s="23">
        <f>D70-C70</f>
        <v>-38326237</v>
      </c>
      <c r="F70" s="24">
        <f>IF(C70=0,0,E70/C70)</f>
        <v>0.93800442420318397</v>
      </c>
    </row>
    <row r="71" spans="1:6" ht="24" customHeight="1" x14ac:dyDescent="0.2">
      <c r="A71" s="21">
        <v>2</v>
      </c>
      <c r="B71" s="22" t="s">
        <v>65</v>
      </c>
      <c r="C71" s="23">
        <v>17619760</v>
      </c>
      <c r="D71" s="23">
        <v>19690864</v>
      </c>
      <c r="E71" s="23">
        <f>D71-C71</f>
        <v>2071104</v>
      </c>
      <c r="F71" s="24">
        <f>IF(C71=0,0,E71/C71)</f>
        <v>0.1175443933402044</v>
      </c>
    </row>
    <row r="72" spans="1:6" ht="24" customHeight="1" x14ac:dyDescent="0.2">
      <c r="A72" s="21">
        <v>3</v>
      </c>
      <c r="B72" s="22" t="s">
        <v>66</v>
      </c>
      <c r="C72" s="23">
        <v>13069323</v>
      </c>
      <c r="D72" s="23">
        <v>11090419</v>
      </c>
      <c r="E72" s="23">
        <f>D72-C72</f>
        <v>-1978904</v>
      </c>
      <c r="F72" s="24">
        <f>IF(C72=0,0,E72/C72)</f>
        <v>-0.15141595322114237</v>
      </c>
    </row>
    <row r="73" spans="1:6" ht="24" customHeight="1" x14ac:dyDescent="0.25">
      <c r="A73" s="21"/>
      <c r="B73" s="26" t="s">
        <v>67</v>
      </c>
      <c r="C73" s="27">
        <f>SUM(C70:C72)</f>
        <v>-10170252</v>
      </c>
      <c r="D73" s="27">
        <f>SUM(D70:D72)</f>
        <v>-48404289</v>
      </c>
      <c r="E73" s="27">
        <f>D73-C73</f>
        <v>-38234037</v>
      </c>
      <c r="F73" s="28">
        <f>IF(C73=0,0,E73/C73)</f>
        <v>3.7593991771295343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252436059</v>
      </c>
      <c r="D75" s="27">
        <f>D56+D65+D67+D73</f>
        <v>245632213</v>
      </c>
      <c r="E75" s="27">
        <f>D75-C75</f>
        <v>-6803846</v>
      </c>
      <c r="F75" s="28">
        <f>IF(C75=0,0,E75/C75)</f>
        <v>-2.6952750042734584E-2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FILING&amp;RHOSPITAL OF SAINT RAPHAEL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476727094</v>
      </c>
      <c r="D11" s="51">
        <v>485870569</v>
      </c>
      <c r="E11" s="51">
        <v>492336722</v>
      </c>
      <c r="F11" s="28"/>
    </row>
    <row r="12" spans="1:6" ht="24" customHeight="1" x14ac:dyDescent="0.25">
      <c r="A12" s="44">
        <v>2</v>
      </c>
      <c r="B12" s="48" t="s">
        <v>76</v>
      </c>
      <c r="C12" s="49">
        <v>19384126</v>
      </c>
      <c r="D12" s="49">
        <v>26678063</v>
      </c>
      <c r="E12" s="49">
        <v>26664602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496111220</v>
      </c>
      <c r="D13" s="51">
        <f>+D11+D12</f>
        <v>512548632</v>
      </c>
      <c r="E13" s="51">
        <f>+E11+E12</f>
        <v>519001324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514932531</v>
      </c>
      <c r="D14" s="49">
        <v>515702230</v>
      </c>
      <c r="E14" s="49">
        <v>518886729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-18821311</v>
      </c>
      <c r="D15" s="51">
        <f>+D13-D14</f>
        <v>-3153598</v>
      </c>
      <c r="E15" s="51">
        <f>+E13-E14</f>
        <v>114595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1333580</v>
      </c>
      <c r="D16" s="49">
        <v>3888443</v>
      </c>
      <c r="E16" s="49">
        <v>802444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-17487731</v>
      </c>
      <c r="D17" s="51">
        <f>D15+D16</f>
        <v>734845</v>
      </c>
      <c r="E17" s="51">
        <f>E15+E16</f>
        <v>917039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-3.783597898701524E-2</v>
      </c>
      <c r="D20" s="169">
        <f>IF(+D27=0,0,+D24/+D27)</f>
        <v>-6.1064515943205664E-3</v>
      </c>
      <c r="E20" s="169">
        <f>IF(+E27=0,0,+E24/+E27)</f>
        <v>2.2045819413913907E-4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2.6808602683151979E-3</v>
      </c>
      <c r="D21" s="169">
        <f>IF(+D27=0,0,+D26/+D27)</f>
        <v>7.5293645406848452E-3</v>
      </c>
      <c r="E21" s="169">
        <f>IF(+E27=0,0,+E26/+E27)</f>
        <v>1.5437440999850544E-3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-3.5155118718700043E-2</v>
      </c>
      <c r="D22" s="169">
        <f>IF(+D27=0,0,+D28/+D27)</f>
        <v>1.4229129463642787E-3</v>
      </c>
      <c r="E22" s="169">
        <f>IF(+E27=0,0,+E28/+E27)</f>
        <v>1.7642022941241934E-3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-18821311</v>
      </c>
      <c r="D24" s="51">
        <f>+D15</f>
        <v>-3153598</v>
      </c>
      <c r="E24" s="51">
        <f>+E15</f>
        <v>114595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496111220</v>
      </c>
      <c r="D25" s="51">
        <f>+D13</f>
        <v>512548632</v>
      </c>
      <c r="E25" s="51">
        <f>+E13</f>
        <v>519001324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1333580</v>
      </c>
      <c r="D26" s="51">
        <f>+D16</f>
        <v>3888443</v>
      </c>
      <c r="E26" s="51">
        <f>+E16</f>
        <v>802444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497444800</v>
      </c>
      <c r="D27" s="51">
        <f>SUM(D25:D26)</f>
        <v>516437075</v>
      </c>
      <c r="E27" s="51">
        <f>SUM(E25:E26)</f>
        <v>519803768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-17487731</v>
      </c>
      <c r="D28" s="51">
        <f>+D17</f>
        <v>734845</v>
      </c>
      <c r="E28" s="51">
        <f>+E17</f>
        <v>917039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-54383842</v>
      </c>
      <c r="D31" s="51">
        <v>-36793919</v>
      </c>
      <c r="E31" s="52">
        <v>-61657421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-19887542</v>
      </c>
      <c r="D32" s="51">
        <v>183203</v>
      </c>
      <c r="E32" s="51">
        <v>-24919375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-68979186</v>
      </c>
      <c r="D33" s="51">
        <f>+D32-C32</f>
        <v>20070745</v>
      </c>
      <c r="E33" s="51">
        <f>+E32-D32</f>
        <v>-25102578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-0.40510000000000002</v>
      </c>
      <c r="D34" s="171">
        <f>IF(C32=0,0,+D33/C32)</f>
        <v>-1.0092119478616313</v>
      </c>
      <c r="E34" s="171">
        <f>IF(D32=0,0,+E33/D32)</f>
        <v>-137.02056189036205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0.65034052912855378</v>
      </c>
      <c r="D38" s="269">
        <f>IF(+D40=0,0,+D39/+D40)</f>
        <v>0.64806481965348461</v>
      </c>
      <c r="E38" s="269">
        <f>IF(+E40=0,0,+E39/+E40)</f>
        <v>0.71305273451654494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102106188</v>
      </c>
      <c r="D39" s="270">
        <v>93478841</v>
      </c>
      <c r="E39" s="270">
        <v>99434361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157004190</v>
      </c>
      <c r="D40" s="270">
        <v>144243042</v>
      </c>
      <c r="E40" s="270">
        <v>139448818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19.655080484781244</v>
      </c>
      <c r="D42" s="271">
        <f>IF((D48/365)=0,0,+D45/(D48/365))</f>
        <v>14.931303520638469</v>
      </c>
      <c r="E42" s="271">
        <f>IF((E48/365)=0,0,+E45/(E48/365))</f>
        <v>25.244997346701918</v>
      </c>
    </row>
    <row r="43" spans="1:14" ht="24" customHeight="1" x14ac:dyDescent="0.2">
      <c r="A43" s="17">
        <v>5</v>
      </c>
      <c r="B43" s="188" t="s">
        <v>16</v>
      </c>
      <c r="C43" s="272">
        <v>26755688</v>
      </c>
      <c r="D43" s="272">
        <v>18157676</v>
      </c>
      <c r="E43" s="272">
        <v>33762815</v>
      </c>
    </row>
    <row r="44" spans="1:14" ht="24" customHeight="1" x14ac:dyDescent="0.2">
      <c r="A44" s="17">
        <v>6</v>
      </c>
      <c r="B44" s="273" t="s">
        <v>17</v>
      </c>
      <c r="C44" s="274">
        <v>0</v>
      </c>
      <c r="D44" s="274">
        <v>2314446</v>
      </c>
      <c r="E44" s="274">
        <v>1156970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26755688</v>
      </c>
      <c r="D45" s="270">
        <f>+D43+D44</f>
        <v>20472122</v>
      </c>
      <c r="E45" s="270">
        <f>+E43+E44</f>
        <v>34919785</v>
      </c>
    </row>
    <row r="46" spans="1:14" ht="24" customHeight="1" x14ac:dyDescent="0.2">
      <c r="A46" s="17">
        <v>8</v>
      </c>
      <c r="B46" s="45" t="s">
        <v>324</v>
      </c>
      <c r="C46" s="270">
        <f>+C14</f>
        <v>514932531</v>
      </c>
      <c r="D46" s="270">
        <f>+D14</f>
        <v>515702230</v>
      </c>
      <c r="E46" s="270">
        <f>+E14</f>
        <v>518886729</v>
      </c>
    </row>
    <row r="47" spans="1:14" ht="24" customHeight="1" x14ac:dyDescent="0.2">
      <c r="A47" s="17">
        <v>9</v>
      </c>
      <c r="B47" s="45" t="s">
        <v>347</v>
      </c>
      <c r="C47" s="270">
        <v>18072387</v>
      </c>
      <c r="D47" s="270">
        <v>15255332</v>
      </c>
      <c r="E47" s="270">
        <v>14005649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496860144</v>
      </c>
      <c r="D48" s="270">
        <f>+D46-D47</f>
        <v>500446898</v>
      </c>
      <c r="E48" s="270">
        <f>+E46-E47</f>
        <v>504881080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44.132105642395061</v>
      </c>
      <c r="D50" s="278">
        <f>IF((D55/365)=0,0,+D54/(D55/365))</f>
        <v>41.312161891822676</v>
      </c>
      <c r="E50" s="278">
        <f>IF((E55/365)=0,0,+E54/(E55/365))</f>
        <v>35.032464559895246</v>
      </c>
    </row>
    <row r="51" spans="1:5" ht="24" customHeight="1" x14ac:dyDescent="0.2">
      <c r="A51" s="17">
        <v>12</v>
      </c>
      <c r="B51" s="188" t="s">
        <v>350</v>
      </c>
      <c r="C51" s="279">
        <v>56161504</v>
      </c>
      <c r="D51" s="279">
        <v>48995601</v>
      </c>
      <c r="E51" s="279">
        <v>45453211</v>
      </c>
    </row>
    <row r="52" spans="1:5" ht="24" customHeight="1" x14ac:dyDescent="0.2">
      <c r="A52" s="17">
        <v>13</v>
      </c>
      <c r="B52" s="188" t="s">
        <v>21</v>
      </c>
      <c r="C52" s="270">
        <v>3545193</v>
      </c>
      <c r="D52" s="270">
        <v>9564963</v>
      </c>
      <c r="E52" s="270">
        <v>6664563</v>
      </c>
    </row>
    <row r="53" spans="1:5" ht="24" customHeight="1" x14ac:dyDescent="0.2">
      <c r="A53" s="17">
        <v>14</v>
      </c>
      <c r="B53" s="188" t="s">
        <v>49</v>
      </c>
      <c r="C53" s="270">
        <v>2065682</v>
      </c>
      <c r="D53" s="270">
        <v>3567787</v>
      </c>
      <c r="E53" s="270">
        <v>4863613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57641015</v>
      </c>
      <c r="D54" s="280">
        <f>+D51+D52-D53</f>
        <v>54992777</v>
      </c>
      <c r="E54" s="280">
        <f>+E51+E52-E53</f>
        <v>47254161</v>
      </c>
    </row>
    <row r="55" spans="1:5" ht="24" customHeight="1" x14ac:dyDescent="0.2">
      <c r="A55" s="17">
        <v>16</v>
      </c>
      <c r="B55" s="45" t="s">
        <v>75</v>
      </c>
      <c r="C55" s="270">
        <f>+C11</f>
        <v>476727094</v>
      </c>
      <c r="D55" s="270">
        <f>+D11</f>
        <v>485870569</v>
      </c>
      <c r="E55" s="270">
        <f>+E11</f>
        <v>492336722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115.33734400318492</v>
      </c>
      <c r="D57" s="283">
        <f>IF((D61/365)=0,0,+D58/(D61/365))</f>
        <v>105.20339029057186</v>
      </c>
      <c r="E57" s="283">
        <f>IF((E61/365)=0,0,+E58/(E61/365))</f>
        <v>100.81347981984193</v>
      </c>
    </row>
    <row r="58" spans="1:5" ht="24" customHeight="1" x14ac:dyDescent="0.2">
      <c r="A58" s="17">
        <v>18</v>
      </c>
      <c r="B58" s="45" t="s">
        <v>54</v>
      </c>
      <c r="C58" s="281">
        <f>+C40</f>
        <v>157004190</v>
      </c>
      <c r="D58" s="281">
        <f>+D40</f>
        <v>144243042</v>
      </c>
      <c r="E58" s="281">
        <f>+E40</f>
        <v>139448818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514932531</v>
      </c>
      <c r="D59" s="281">
        <f t="shared" si="0"/>
        <v>515702230</v>
      </c>
      <c r="E59" s="281">
        <f t="shared" si="0"/>
        <v>518886729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18072387</v>
      </c>
      <c r="D60" s="176">
        <f t="shared" si="0"/>
        <v>15255332</v>
      </c>
      <c r="E60" s="176">
        <f t="shared" si="0"/>
        <v>14005649</v>
      </c>
    </row>
    <row r="61" spans="1:5" ht="24" customHeight="1" x14ac:dyDescent="0.2">
      <c r="A61" s="17">
        <v>21</v>
      </c>
      <c r="B61" s="45" t="s">
        <v>353</v>
      </c>
      <c r="C61" s="281">
        <f>+C59-C60</f>
        <v>496860144</v>
      </c>
      <c r="D61" s="281">
        <f>+D59-D60</f>
        <v>500446898</v>
      </c>
      <c r="E61" s="281">
        <f>+E59-E60</f>
        <v>504881080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-6.3430423474104209</v>
      </c>
      <c r="D65" s="284">
        <f>IF(D67=0,0,(D66/D67)*100)</f>
        <v>5.9262077971715357E-2</v>
      </c>
      <c r="E65" s="284">
        <f>IF(E67=0,0,(E66/E67)*100)</f>
        <v>-7.8822045334269948</v>
      </c>
    </row>
    <row r="66" spans="1:5" ht="24" customHeight="1" x14ac:dyDescent="0.2">
      <c r="A66" s="17">
        <v>2</v>
      </c>
      <c r="B66" s="45" t="s">
        <v>67</v>
      </c>
      <c r="C66" s="281">
        <f>+C32</f>
        <v>-19887542</v>
      </c>
      <c r="D66" s="281">
        <f>+D32</f>
        <v>183203</v>
      </c>
      <c r="E66" s="281">
        <f>+E32</f>
        <v>-24919375</v>
      </c>
    </row>
    <row r="67" spans="1:5" ht="24" customHeight="1" x14ac:dyDescent="0.2">
      <c r="A67" s="17">
        <v>3</v>
      </c>
      <c r="B67" s="45" t="s">
        <v>43</v>
      </c>
      <c r="C67" s="281">
        <v>313533174</v>
      </c>
      <c r="D67" s="281">
        <v>309140358</v>
      </c>
      <c r="E67" s="281">
        <v>316147277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0.36489152107655831</v>
      </c>
      <c r="D69" s="284">
        <f>IF(D75=0,0,(D72/D75)*100)</f>
        <v>10.937965288043408</v>
      </c>
      <c r="E69" s="284">
        <f>IF(E75=0,0,(E72/E75)*100)</f>
        <v>10.650737251909733</v>
      </c>
    </row>
    <row r="70" spans="1:5" ht="24" customHeight="1" x14ac:dyDescent="0.2">
      <c r="A70" s="17">
        <v>5</v>
      </c>
      <c r="B70" s="45" t="s">
        <v>358</v>
      </c>
      <c r="C70" s="281">
        <f>+C28</f>
        <v>-17487731</v>
      </c>
      <c r="D70" s="281">
        <f>+D28</f>
        <v>734845</v>
      </c>
      <c r="E70" s="281">
        <f>+E28</f>
        <v>917039</v>
      </c>
    </row>
    <row r="71" spans="1:5" ht="24" customHeight="1" x14ac:dyDescent="0.2">
      <c r="A71" s="17">
        <v>6</v>
      </c>
      <c r="B71" s="45" t="s">
        <v>347</v>
      </c>
      <c r="C71" s="176">
        <f>+C47</f>
        <v>18072387</v>
      </c>
      <c r="D71" s="176">
        <f>+D47</f>
        <v>15255332</v>
      </c>
      <c r="E71" s="176">
        <f>+E47</f>
        <v>14005649</v>
      </c>
    </row>
    <row r="72" spans="1:5" ht="24" customHeight="1" x14ac:dyDescent="0.2">
      <c r="A72" s="17">
        <v>7</v>
      </c>
      <c r="B72" s="45" t="s">
        <v>359</v>
      </c>
      <c r="C72" s="281">
        <f>+C70+C71</f>
        <v>584656</v>
      </c>
      <c r="D72" s="281">
        <f>+D70+D71</f>
        <v>15990177</v>
      </c>
      <c r="E72" s="281">
        <f>+E70+E71</f>
        <v>14922688</v>
      </c>
    </row>
    <row r="73" spans="1:5" ht="24" customHeight="1" x14ac:dyDescent="0.2">
      <c r="A73" s="17">
        <v>8</v>
      </c>
      <c r="B73" s="45" t="s">
        <v>54</v>
      </c>
      <c r="C73" s="270">
        <f>+C40</f>
        <v>157004190</v>
      </c>
      <c r="D73" s="270">
        <f>+D40</f>
        <v>144243042</v>
      </c>
      <c r="E73" s="270">
        <f>+E40</f>
        <v>139448818</v>
      </c>
    </row>
    <row r="74" spans="1:5" ht="24" customHeight="1" x14ac:dyDescent="0.2">
      <c r="A74" s="17">
        <v>9</v>
      </c>
      <c r="B74" s="45" t="s">
        <v>58</v>
      </c>
      <c r="C74" s="281">
        <v>3223156</v>
      </c>
      <c r="D74" s="281">
        <v>1946643</v>
      </c>
      <c r="E74" s="281">
        <v>660619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160227346</v>
      </c>
      <c r="D75" s="270">
        <f>+D73+D74</f>
        <v>146189685</v>
      </c>
      <c r="E75" s="270">
        <f>+E73+E74</f>
        <v>140109437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-19.341582702176964</v>
      </c>
      <c r="D77" s="286">
        <f>IF(D80=0,0,(D78/D80)*100)</f>
        <v>91.398298280720766</v>
      </c>
      <c r="E77" s="286">
        <f>IF(E80=0,0,(E78/E80)*100)</f>
        <v>-2.7232187833539361</v>
      </c>
    </row>
    <row r="78" spans="1:5" ht="24" customHeight="1" x14ac:dyDescent="0.2">
      <c r="A78" s="17">
        <v>12</v>
      </c>
      <c r="B78" s="45" t="s">
        <v>58</v>
      </c>
      <c r="C78" s="270">
        <f>+C74</f>
        <v>3223156</v>
      </c>
      <c r="D78" s="270">
        <f>+D74</f>
        <v>1946643</v>
      </c>
      <c r="E78" s="270">
        <f>+E74</f>
        <v>660619</v>
      </c>
    </row>
    <row r="79" spans="1:5" ht="24" customHeight="1" x14ac:dyDescent="0.2">
      <c r="A79" s="17">
        <v>13</v>
      </c>
      <c r="B79" s="45" t="s">
        <v>67</v>
      </c>
      <c r="C79" s="270">
        <f>+C32</f>
        <v>-19887542</v>
      </c>
      <c r="D79" s="270">
        <f>+D32</f>
        <v>183203</v>
      </c>
      <c r="E79" s="270">
        <f>+E32</f>
        <v>-24919375</v>
      </c>
    </row>
    <row r="80" spans="1:5" ht="24" customHeight="1" x14ac:dyDescent="0.2">
      <c r="A80" s="17">
        <v>14</v>
      </c>
      <c r="B80" s="45" t="s">
        <v>362</v>
      </c>
      <c r="C80" s="270">
        <f>+C78+C79</f>
        <v>-16664386</v>
      </c>
      <c r="D80" s="270">
        <f>+D78+D79</f>
        <v>2129846</v>
      </c>
      <c r="E80" s="270">
        <f>+E78+E79</f>
        <v>-24258756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FILING&amp;R&amp;8SAINT RAPHAEL HEALTHCARE SYSTEM, INC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75214</v>
      </c>
      <c r="D11" s="296">
        <v>18844</v>
      </c>
      <c r="E11" s="296">
        <v>19111</v>
      </c>
      <c r="F11" s="297">
        <v>227</v>
      </c>
      <c r="G11" s="297">
        <v>297</v>
      </c>
      <c r="H11" s="298">
        <f>IF(F11=0,0,$C11/(F11*365))</f>
        <v>0.9077786494478306</v>
      </c>
      <c r="I11" s="298">
        <f>IF(G11=0,0,$C11/(G11*365))</f>
        <v>0.69382408560490749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21377</v>
      </c>
      <c r="D13" s="296">
        <v>1287</v>
      </c>
      <c r="E13" s="296">
        <v>0</v>
      </c>
      <c r="F13" s="297">
        <v>62</v>
      </c>
      <c r="G13" s="297">
        <v>75</v>
      </c>
      <c r="H13" s="298">
        <f>IF(F13=0,0,$C13/(F13*365))</f>
        <v>0.94463102076889083</v>
      </c>
      <c r="I13" s="298">
        <f>IF(G13=0,0,$C13/(G13*365))</f>
        <v>0.78089497716894973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5435</v>
      </c>
      <c r="D15" s="296">
        <v>467</v>
      </c>
      <c r="E15" s="296">
        <v>468</v>
      </c>
      <c r="F15" s="297">
        <v>15</v>
      </c>
      <c r="G15" s="297">
        <v>23</v>
      </c>
      <c r="H15" s="298">
        <f t="shared" ref="H15:I17" si="0">IF(F15=0,0,$C15/(F15*365))</f>
        <v>0.9926940639269406</v>
      </c>
      <c r="I15" s="298">
        <f t="shared" si="0"/>
        <v>0.64740917212626559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7904</v>
      </c>
      <c r="D16" s="296">
        <v>672</v>
      </c>
      <c r="E16" s="296">
        <v>673</v>
      </c>
      <c r="F16" s="297">
        <v>22</v>
      </c>
      <c r="G16" s="297">
        <v>25</v>
      </c>
      <c r="H16" s="298">
        <f t="shared" si="0"/>
        <v>0.98430884184308842</v>
      </c>
      <c r="I16" s="298">
        <f t="shared" si="0"/>
        <v>0.86619178082191783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13339</v>
      </c>
      <c r="D17" s="300">
        <f>SUM(D15:D16)</f>
        <v>1139</v>
      </c>
      <c r="E17" s="300">
        <f>SUM(E15:E16)</f>
        <v>1141</v>
      </c>
      <c r="F17" s="300">
        <f>SUM(F15:F16)</f>
        <v>37</v>
      </c>
      <c r="G17" s="300">
        <f>SUM(G15:G16)</f>
        <v>48</v>
      </c>
      <c r="H17" s="301">
        <f t="shared" si="0"/>
        <v>0.9877082562014069</v>
      </c>
      <c r="I17" s="301">
        <f t="shared" si="0"/>
        <v>0.7613584474885845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4056</v>
      </c>
      <c r="D19" s="296">
        <v>417</v>
      </c>
      <c r="E19" s="296">
        <v>418</v>
      </c>
      <c r="F19" s="297">
        <v>12</v>
      </c>
      <c r="G19" s="297">
        <v>18</v>
      </c>
      <c r="H19" s="298">
        <f>IF(F19=0,0,$C19/(F19*365))</f>
        <v>0.92602739726027394</v>
      </c>
      <c r="I19" s="298">
        <f>IF(G19=0,0,$C19/(G19*365))</f>
        <v>0.61735159817351604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3146</v>
      </c>
      <c r="D21" s="296">
        <v>1087</v>
      </c>
      <c r="E21" s="296">
        <v>1091</v>
      </c>
      <c r="F21" s="297">
        <v>13</v>
      </c>
      <c r="G21" s="297">
        <v>14</v>
      </c>
      <c r="H21" s="298">
        <f>IF(F21=0,0,$C21/(F21*365))</f>
        <v>0.66301369863013704</v>
      </c>
      <c r="I21" s="298">
        <f>IF(G21=0,0,$C21/(G21*365))</f>
        <v>0.61565557729941289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2664</v>
      </c>
      <c r="D23" s="296">
        <v>1078</v>
      </c>
      <c r="E23" s="296">
        <v>1215</v>
      </c>
      <c r="F23" s="297">
        <v>11</v>
      </c>
      <c r="G23" s="297">
        <v>26</v>
      </c>
      <c r="H23" s="298">
        <f>IF(F23=0,0,$C23/(F23*365))</f>
        <v>0.66351183063511832</v>
      </c>
      <c r="I23" s="298">
        <f>IF(G23=0,0,$C23/(G23*365))</f>
        <v>0.28071654373024235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1614</v>
      </c>
      <c r="D25" s="296">
        <v>133</v>
      </c>
      <c r="E25" s="296">
        <v>0</v>
      </c>
      <c r="F25" s="297">
        <v>6</v>
      </c>
      <c r="G25" s="297">
        <v>8</v>
      </c>
      <c r="H25" s="298">
        <f>IF(F25=0,0,$C25/(F25*365))</f>
        <v>0.73698630136986298</v>
      </c>
      <c r="I25" s="298">
        <f>IF(G25=0,0,$C25/(G25*365))</f>
        <v>0.55273972602739729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205</v>
      </c>
      <c r="D27" s="296">
        <v>103</v>
      </c>
      <c r="E27" s="296">
        <v>102</v>
      </c>
      <c r="F27" s="297">
        <v>1</v>
      </c>
      <c r="G27" s="297">
        <v>3</v>
      </c>
      <c r="H27" s="298">
        <f>IF(F27=0,0,$C27/(F27*365))</f>
        <v>0.56164383561643838</v>
      </c>
      <c r="I27" s="298">
        <f>IF(G27=0,0,$C27/(G27*365))</f>
        <v>0.18721461187214611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0</v>
      </c>
      <c r="D29" s="296">
        <v>0</v>
      </c>
      <c r="E29" s="296">
        <v>0</v>
      </c>
      <c r="F29" s="297">
        <v>0</v>
      </c>
      <c r="G29" s="297">
        <v>0</v>
      </c>
      <c r="H29" s="298">
        <f>IF(F29=0,0,$C29/(F29*365))</f>
        <v>0</v>
      </c>
      <c r="I29" s="298">
        <f>IF(G29=0,0,$C29/(G29*365))</f>
        <v>0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118951</v>
      </c>
      <c r="D31" s="300">
        <f>SUM(D10:D29)-D13-D17-D23</f>
        <v>21723</v>
      </c>
      <c r="E31" s="300">
        <f>SUM(E10:E29)-E17-E23</f>
        <v>21863</v>
      </c>
      <c r="F31" s="300">
        <f>SUM(F10:F29)-F17-F23</f>
        <v>358</v>
      </c>
      <c r="G31" s="300">
        <f>SUM(G10:G29)-G17-G23</f>
        <v>463</v>
      </c>
      <c r="H31" s="301">
        <f>IF(F31=0,0,$C31/(F31*365))</f>
        <v>0.91031606336573045</v>
      </c>
      <c r="I31" s="301">
        <f>IF(G31=0,0,$C31/(G31*365))</f>
        <v>0.7038728956478002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121615</v>
      </c>
      <c r="D33" s="300">
        <f>SUM(D10:D29)-D13-D17</f>
        <v>22801</v>
      </c>
      <c r="E33" s="300">
        <f>SUM(E10:E29)-E17</f>
        <v>23078</v>
      </c>
      <c r="F33" s="300">
        <f>SUM(F10:F29)-F17</f>
        <v>369</v>
      </c>
      <c r="G33" s="300">
        <f>SUM(G10:G29)-G17</f>
        <v>489</v>
      </c>
      <c r="H33" s="301">
        <f>IF(F33=0,0,$C33/(F33*365))</f>
        <v>0.90295875561495342</v>
      </c>
      <c r="I33" s="301">
        <f>IF(G33=0,0,$C33/(G33*365))</f>
        <v>0.68137378491189737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121615</v>
      </c>
      <c r="D36" s="300">
        <f t="shared" si="1"/>
        <v>22801</v>
      </c>
      <c r="E36" s="300">
        <f t="shared" si="1"/>
        <v>23078</v>
      </c>
      <c r="F36" s="300">
        <f t="shared" si="1"/>
        <v>369</v>
      </c>
      <c r="G36" s="300">
        <f t="shared" si="1"/>
        <v>489</v>
      </c>
      <c r="H36" s="301">
        <f t="shared" si="1"/>
        <v>0.90295875561495342</v>
      </c>
      <c r="I36" s="301">
        <f t="shared" si="1"/>
        <v>0.68137378491189737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124273</v>
      </c>
      <c r="D37" s="300">
        <v>0</v>
      </c>
      <c r="E37" s="300">
        <v>0</v>
      </c>
      <c r="F37" s="302">
        <v>364</v>
      </c>
      <c r="G37" s="302">
        <v>489</v>
      </c>
      <c r="H37" s="301">
        <f>IF(F37=0,0,$C37/(F37*365))</f>
        <v>0.93536805660093336</v>
      </c>
      <c r="I37" s="301">
        <f>IF(G37=0,0,$C37/(G37*365))</f>
        <v>0.69626579264363953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-2658</v>
      </c>
      <c r="D38" s="300">
        <f t="shared" si="2"/>
        <v>22801</v>
      </c>
      <c r="E38" s="300">
        <f t="shared" si="2"/>
        <v>23078</v>
      </c>
      <c r="F38" s="300">
        <f t="shared" si="2"/>
        <v>5</v>
      </c>
      <c r="G38" s="300">
        <f t="shared" si="2"/>
        <v>0</v>
      </c>
      <c r="H38" s="301">
        <f t="shared" si="2"/>
        <v>-3.2409300985979939E-2</v>
      </c>
      <c r="I38" s="301">
        <f t="shared" si="2"/>
        <v>-1.4892007731742152E-2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-2.1388394904766121E-2</v>
      </c>
      <c r="D40" s="148">
        <f t="shared" si="3"/>
        <v>0</v>
      </c>
      <c r="E40" s="148">
        <f t="shared" si="3"/>
        <v>0</v>
      </c>
      <c r="F40" s="148">
        <f t="shared" si="3"/>
        <v>1.3736263736263736E-2</v>
      </c>
      <c r="G40" s="148">
        <f t="shared" si="3"/>
        <v>0</v>
      </c>
      <c r="H40" s="148">
        <f t="shared" si="3"/>
        <v>-3.4648714757005095E-2</v>
      </c>
      <c r="I40" s="148">
        <f t="shared" si="3"/>
        <v>-2.1388394904766104E-2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533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FILING&amp;RHOSPITAL OF SAINT RAPHAEL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17513</v>
      </c>
      <c r="D12" s="296">
        <v>14186</v>
      </c>
      <c r="E12" s="296">
        <f>+D12-C12</f>
        <v>-3327</v>
      </c>
      <c r="F12" s="316">
        <f>IF(C12=0,0,+E12/C12)</f>
        <v>-0.18997316279335349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11692</v>
      </c>
      <c r="D13" s="296">
        <v>9822</v>
      </c>
      <c r="E13" s="296">
        <f>+D13-C13</f>
        <v>-1870</v>
      </c>
      <c r="F13" s="316">
        <f>IF(C13=0,0,+E13/C13)</f>
        <v>-0.15993841943209031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9098</v>
      </c>
      <c r="D14" s="296">
        <v>7579</v>
      </c>
      <c r="E14" s="296">
        <f>+D14-C14</f>
        <v>-1519</v>
      </c>
      <c r="F14" s="316">
        <f>IF(C14=0,0,+E14/C14)</f>
        <v>-0.16695977137832491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0</v>
      </c>
      <c r="D15" s="296">
        <v>0</v>
      </c>
      <c r="E15" s="296">
        <f>+D15-C15</f>
        <v>0</v>
      </c>
      <c r="F15" s="316">
        <f>IF(C15=0,0,+E15/C15)</f>
        <v>0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38303</v>
      </c>
      <c r="D16" s="300">
        <f>SUM(D12:D15)</f>
        <v>31587</v>
      </c>
      <c r="E16" s="300">
        <f>+D16-C16</f>
        <v>-6716</v>
      </c>
      <c r="F16" s="309">
        <f>IF(C16=0,0,+E16/C16)</f>
        <v>-0.17533874631229929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2085</v>
      </c>
      <c r="D19" s="296">
        <v>1946</v>
      </c>
      <c r="E19" s="296">
        <f>+D19-C19</f>
        <v>-139</v>
      </c>
      <c r="F19" s="316">
        <f>IF(C19=0,0,+E19/C19)</f>
        <v>-6.6666666666666666E-2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267</v>
      </c>
      <c r="D20" s="296">
        <v>419</v>
      </c>
      <c r="E20" s="296">
        <f>+D20-C20</f>
        <v>152</v>
      </c>
      <c r="F20" s="316">
        <f>IF(C20=0,0,+E20/C20)</f>
        <v>0.56928838951310856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2</v>
      </c>
      <c r="D21" s="296">
        <v>2</v>
      </c>
      <c r="E21" s="296">
        <f>+D21-C21</f>
        <v>0</v>
      </c>
      <c r="F21" s="316">
        <f>IF(C21=0,0,+E21/C21)</f>
        <v>0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6079</v>
      </c>
      <c r="D22" s="296">
        <v>6556</v>
      </c>
      <c r="E22" s="296">
        <f>+D22-C22</f>
        <v>477</v>
      </c>
      <c r="F22" s="316">
        <f>IF(C22=0,0,+E22/C22)</f>
        <v>7.8466853100838951E-2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8433</v>
      </c>
      <c r="D23" s="300">
        <f>SUM(D19:D22)</f>
        <v>8923</v>
      </c>
      <c r="E23" s="300">
        <f>+D23-C23</f>
        <v>490</v>
      </c>
      <c r="F23" s="309">
        <f>IF(C23=0,0,+E23/C23)</f>
        <v>5.8105063441242735E-2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5</v>
      </c>
      <c r="D27" s="296">
        <v>8</v>
      </c>
      <c r="E27" s="296">
        <f>+D27-C27</f>
        <v>3</v>
      </c>
      <c r="F27" s="316">
        <f>IF(C27=0,0,+E27/C27)</f>
        <v>0.6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0</v>
      </c>
      <c r="D29" s="296">
        <v>0</v>
      </c>
      <c r="E29" s="296">
        <f>+D29-C29</f>
        <v>0</v>
      </c>
      <c r="F29" s="316">
        <f>IF(C29=0,0,+E29/C29)</f>
        <v>0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5</v>
      </c>
      <c r="D30" s="300">
        <f>SUM(D26:D29)</f>
        <v>8</v>
      </c>
      <c r="E30" s="300">
        <f>+D30-C30</f>
        <v>3</v>
      </c>
      <c r="F30" s="309">
        <f>IF(C30=0,0,+E30/C30)</f>
        <v>0.6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30</v>
      </c>
      <c r="D33" s="296">
        <v>36</v>
      </c>
      <c r="E33" s="296">
        <f>+D33-C33</f>
        <v>6</v>
      </c>
      <c r="F33" s="316">
        <f>IF(C33=0,0,+E33/C33)</f>
        <v>0.2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1122</v>
      </c>
      <c r="D34" s="296">
        <v>964</v>
      </c>
      <c r="E34" s="296">
        <f>+D34-C34</f>
        <v>-158</v>
      </c>
      <c r="F34" s="316">
        <f>IF(C34=0,0,+E34/C34)</f>
        <v>-0.1408199643493761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1152</v>
      </c>
      <c r="D37" s="300">
        <f>SUM(D33:D36)</f>
        <v>1000</v>
      </c>
      <c r="E37" s="300">
        <f>+D37-C37</f>
        <v>-152</v>
      </c>
      <c r="F37" s="309">
        <f>IF(C37=0,0,+E37/C37)</f>
        <v>-0.13194444444444445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926</v>
      </c>
      <c r="D43" s="296">
        <v>952</v>
      </c>
      <c r="E43" s="296">
        <f>+D43-C43</f>
        <v>26</v>
      </c>
      <c r="F43" s="316">
        <f>IF(C43=0,0,+E43/C43)</f>
        <v>2.8077753779697623E-2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17445</v>
      </c>
      <c r="D44" s="296">
        <v>17001</v>
      </c>
      <c r="E44" s="296">
        <f>+D44-C44</f>
        <v>-444</v>
      </c>
      <c r="F44" s="316">
        <f>IF(C44=0,0,+E44/C44)</f>
        <v>-2.5451418744625968E-2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18371</v>
      </c>
      <c r="D45" s="300">
        <f>SUM(D43:D44)</f>
        <v>17953</v>
      </c>
      <c r="E45" s="300">
        <f>+D45-C45</f>
        <v>-418</v>
      </c>
      <c r="F45" s="309">
        <f>IF(C45=0,0,+E45/C45)</f>
        <v>-2.2753252408687606E-2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803</v>
      </c>
      <c r="D48" s="296">
        <v>706</v>
      </c>
      <c r="E48" s="296">
        <f>+D48-C48</f>
        <v>-97</v>
      </c>
      <c r="F48" s="316">
        <f>IF(C48=0,0,+E48/C48)</f>
        <v>-0.12079701120797011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1377</v>
      </c>
      <c r="D49" s="296">
        <v>1238</v>
      </c>
      <c r="E49" s="296">
        <f>+D49-C49</f>
        <v>-139</v>
      </c>
      <c r="F49" s="316">
        <f>IF(C49=0,0,+E49/C49)</f>
        <v>-0.1009440813362382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2180</v>
      </c>
      <c r="D50" s="300">
        <f>SUM(D48:D49)</f>
        <v>1944</v>
      </c>
      <c r="E50" s="300">
        <f>+D50-C50</f>
        <v>-236</v>
      </c>
      <c r="F50" s="309">
        <f>IF(C50=0,0,+E50/C50)</f>
        <v>-0.10825688073394496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302</v>
      </c>
      <c r="D53" s="296">
        <v>298</v>
      </c>
      <c r="E53" s="296">
        <f>+D53-C53</f>
        <v>-4</v>
      </c>
      <c r="F53" s="316">
        <f>IF(C53=0,0,+E53/C53)</f>
        <v>-1.3245033112582781E-2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322</v>
      </c>
      <c r="D54" s="296">
        <v>298</v>
      </c>
      <c r="E54" s="296">
        <f>+D54-C54</f>
        <v>-24</v>
      </c>
      <c r="F54" s="316">
        <f>IF(C54=0,0,+E54/C54)</f>
        <v>-7.4534161490683232E-2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624</v>
      </c>
      <c r="D55" s="300">
        <f>SUM(D53:D54)</f>
        <v>596</v>
      </c>
      <c r="E55" s="300">
        <f>+D55-C55</f>
        <v>-28</v>
      </c>
      <c r="F55" s="309">
        <f>IF(C55=0,0,+E55/C55)</f>
        <v>-4.4871794871794872E-2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380</v>
      </c>
      <c r="D58" s="296">
        <v>335</v>
      </c>
      <c r="E58" s="296">
        <f>+D58-C58</f>
        <v>-45</v>
      </c>
      <c r="F58" s="316">
        <f>IF(C58=0,0,+E58/C58)</f>
        <v>-0.11842105263157894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300</v>
      </c>
      <c r="D59" s="296">
        <v>347</v>
      </c>
      <c r="E59" s="296">
        <f>+D59-C59</f>
        <v>47</v>
      </c>
      <c r="F59" s="316">
        <f>IF(C59=0,0,+E59/C59)</f>
        <v>0.15666666666666668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680</v>
      </c>
      <c r="D60" s="300">
        <f>SUM(D58:D59)</f>
        <v>682</v>
      </c>
      <c r="E60" s="300">
        <f>SUM(E58:E59)</f>
        <v>2</v>
      </c>
      <c r="F60" s="309">
        <f>IF(C60=0,0,+E60/C60)</f>
        <v>2.9411764705882353E-3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6946</v>
      </c>
      <c r="D63" s="296">
        <v>6080</v>
      </c>
      <c r="E63" s="296">
        <f>+D63-C63</f>
        <v>-866</v>
      </c>
      <c r="F63" s="316">
        <f>IF(C63=0,0,+E63/C63)</f>
        <v>-0.12467607255974662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10192</v>
      </c>
      <c r="D64" s="296">
        <v>9770</v>
      </c>
      <c r="E64" s="296">
        <f>+D64-C64</f>
        <v>-422</v>
      </c>
      <c r="F64" s="316">
        <f>IF(C64=0,0,+E64/C64)</f>
        <v>-4.1405023547880691E-2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17138</v>
      </c>
      <c r="D65" s="300">
        <f>SUM(D63:D64)</f>
        <v>15850</v>
      </c>
      <c r="E65" s="300">
        <f>+D65-C65</f>
        <v>-1288</v>
      </c>
      <c r="F65" s="309">
        <f>IF(C65=0,0,+E65/C65)</f>
        <v>-7.5154627144357569E-2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1</v>
      </c>
      <c r="D68" s="296">
        <v>0</v>
      </c>
      <c r="E68" s="296">
        <f>+D68-C68</f>
        <v>-1</v>
      </c>
      <c r="F68" s="316">
        <f>IF(C68=0,0,+E68/C68)</f>
        <v>-1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4541</v>
      </c>
      <c r="D69" s="296">
        <v>4657</v>
      </c>
      <c r="E69" s="296">
        <f>+D69-C69</f>
        <v>116</v>
      </c>
      <c r="F69" s="318">
        <f>IF(C69=0,0,+E69/C69)</f>
        <v>2.5545034133450783E-2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4542</v>
      </c>
      <c r="D70" s="300">
        <f>SUM(D68:D69)</f>
        <v>4657</v>
      </c>
      <c r="E70" s="300">
        <f>+D70-C70</f>
        <v>115</v>
      </c>
      <c r="F70" s="309">
        <f>IF(C70=0,0,+E70/C70)</f>
        <v>2.5319242624394538E-2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14506</v>
      </c>
      <c r="D73" s="319">
        <v>13907</v>
      </c>
      <c r="E73" s="296">
        <f>+D73-C73</f>
        <v>-599</v>
      </c>
      <c r="F73" s="316">
        <f>IF(C73=0,0,+E73/C73)</f>
        <v>-4.1293257962222531E-2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41101</v>
      </c>
      <c r="D74" s="319">
        <v>44323</v>
      </c>
      <c r="E74" s="296">
        <f>+D74-C74</f>
        <v>3222</v>
      </c>
      <c r="F74" s="316">
        <f>IF(C74=0,0,+E74/C74)</f>
        <v>7.8392253229848427E-2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55607</v>
      </c>
      <c r="D75" s="300">
        <f>SUM(D73:D74)</f>
        <v>58230</v>
      </c>
      <c r="E75" s="300">
        <f>SUM(E73:E74)</f>
        <v>2623</v>
      </c>
      <c r="F75" s="309">
        <f>IF(C75=0,0,+E75/C75)</f>
        <v>4.7170320283417555E-2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0</v>
      </c>
      <c r="D79" s="319">
        <v>0</v>
      </c>
      <c r="E79" s="296">
        <f t="shared" ref="E79:E84" si="0">+D79-C79</f>
        <v>0</v>
      </c>
      <c r="F79" s="316">
        <f t="shared" ref="F79:F84" si="1">IF(C79=0,0,+E79/C79)</f>
        <v>0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935</v>
      </c>
      <c r="D80" s="319">
        <v>1074</v>
      </c>
      <c r="E80" s="296">
        <f t="shared" si="0"/>
        <v>139</v>
      </c>
      <c r="F80" s="316">
        <f t="shared" si="1"/>
        <v>0.14866310160427806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0</v>
      </c>
      <c r="D81" s="319">
        <v>0</v>
      </c>
      <c r="E81" s="296">
        <f t="shared" si="0"/>
        <v>0</v>
      </c>
      <c r="F81" s="316">
        <f t="shared" si="1"/>
        <v>0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7870</v>
      </c>
      <c r="D82" s="319">
        <v>13141</v>
      </c>
      <c r="E82" s="296">
        <f t="shared" si="0"/>
        <v>5271</v>
      </c>
      <c r="F82" s="316">
        <f t="shared" si="1"/>
        <v>0.66975857687420581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44016</v>
      </c>
      <c r="D83" s="319">
        <v>40625</v>
      </c>
      <c r="E83" s="296">
        <f t="shared" si="0"/>
        <v>-3391</v>
      </c>
      <c r="F83" s="316">
        <f t="shared" si="1"/>
        <v>-7.704016721192293E-2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52821</v>
      </c>
      <c r="D84" s="320">
        <f>SUM(D79:D83)</f>
        <v>54840</v>
      </c>
      <c r="E84" s="300">
        <f t="shared" si="0"/>
        <v>2019</v>
      </c>
      <c r="F84" s="309">
        <f t="shared" si="1"/>
        <v>3.8223433861532347E-2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13280</v>
      </c>
      <c r="D87" s="322">
        <v>13176</v>
      </c>
      <c r="E87" s="323">
        <f t="shared" ref="E87:E92" si="2">+D87-C87</f>
        <v>-104</v>
      </c>
      <c r="F87" s="318">
        <f t="shared" ref="F87:F92" si="3">IF(C87=0,0,+E87/C87)</f>
        <v>-7.8313253012048199E-3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1788</v>
      </c>
      <c r="D88" s="322">
        <v>1933</v>
      </c>
      <c r="E88" s="296">
        <f t="shared" si="2"/>
        <v>145</v>
      </c>
      <c r="F88" s="316">
        <f t="shared" si="3"/>
        <v>8.1096196868008952E-2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613</v>
      </c>
      <c r="D89" s="322">
        <v>614</v>
      </c>
      <c r="E89" s="296">
        <f t="shared" si="2"/>
        <v>1</v>
      </c>
      <c r="F89" s="316">
        <f t="shared" si="3"/>
        <v>1.6313213703099511E-3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3290</v>
      </c>
      <c r="D90" s="322">
        <v>3414</v>
      </c>
      <c r="E90" s="296">
        <f t="shared" si="2"/>
        <v>124</v>
      </c>
      <c r="F90" s="316">
        <f t="shared" si="3"/>
        <v>3.7689969604863219E-2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6867</v>
      </c>
      <c r="D91" s="322">
        <v>7097</v>
      </c>
      <c r="E91" s="296">
        <f t="shared" si="2"/>
        <v>230</v>
      </c>
      <c r="F91" s="316">
        <f t="shared" si="3"/>
        <v>3.3493519732051842E-2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25838</v>
      </c>
      <c r="D92" s="320">
        <f>SUM(D87:D91)</f>
        <v>26234</v>
      </c>
      <c r="E92" s="300">
        <f t="shared" si="2"/>
        <v>396</v>
      </c>
      <c r="F92" s="309">
        <f t="shared" si="3"/>
        <v>1.5326263642696803E-2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915.6</v>
      </c>
      <c r="D96" s="325">
        <v>917.4</v>
      </c>
      <c r="E96" s="326">
        <f>+D96-C96</f>
        <v>1.7999999999999545</v>
      </c>
      <c r="F96" s="316">
        <f>IF(C96=0,0,+E96/C96)</f>
        <v>1.9659239842725585E-3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299.8</v>
      </c>
      <c r="D97" s="325">
        <v>289</v>
      </c>
      <c r="E97" s="326">
        <f>+D97-C97</f>
        <v>-10.800000000000011</v>
      </c>
      <c r="F97" s="316">
        <f>IF(C97=0,0,+E97/C97)</f>
        <v>-3.6024016010673822E-2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1890.7</v>
      </c>
      <c r="D98" s="325">
        <v>1921.8</v>
      </c>
      <c r="E98" s="326">
        <f>+D98-C98</f>
        <v>31.099999999999909</v>
      </c>
      <c r="F98" s="316">
        <f>IF(C98=0,0,+E98/C98)</f>
        <v>1.6448934257153387E-2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3106.1000000000004</v>
      </c>
      <c r="D99" s="327">
        <f>SUM(D96:D98)</f>
        <v>3128.2</v>
      </c>
      <c r="E99" s="327">
        <f>+D99-C99</f>
        <v>22.099999999999454</v>
      </c>
      <c r="F99" s="309">
        <f>IF(C99=0,0,+E99/C99)</f>
        <v>7.1150317117927471E-3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FILING&amp;RHOSPITAL OF SAINT RAPHAEL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10192</v>
      </c>
      <c r="D12" s="296">
        <v>9770</v>
      </c>
      <c r="E12" s="296">
        <f>+D12-C12</f>
        <v>-422</v>
      </c>
      <c r="F12" s="316">
        <f>IF(C12=0,0,+E12/C12)</f>
        <v>-4.1405023547880691E-2</v>
      </c>
    </row>
    <row r="13" spans="1:16" ht="15.75" customHeight="1" x14ac:dyDescent="0.25">
      <c r="A13" s="294"/>
      <c r="B13" s="135" t="s">
        <v>589</v>
      </c>
      <c r="C13" s="300">
        <f>SUM(C11:C12)</f>
        <v>10192</v>
      </c>
      <c r="D13" s="300">
        <f>SUM(D11:D12)</f>
        <v>9770</v>
      </c>
      <c r="E13" s="300">
        <f>+D13-C13</f>
        <v>-422</v>
      </c>
      <c r="F13" s="309">
        <f>IF(C13=0,0,+E13/C13)</f>
        <v>-4.1405023547880691E-2</v>
      </c>
    </row>
    <row r="14" spans="1:16" ht="15.75" customHeight="1" x14ac:dyDescent="0.25">
      <c r="A14" s="293"/>
      <c r="B14" s="135"/>
      <c r="C14" s="300"/>
      <c r="D14" s="300"/>
      <c r="E14" s="300"/>
      <c r="F14" s="309"/>
    </row>
    <row r="15" spans="1:16" ht="15.75" customHeight="1" x14ac:dyDescent="0.25">
      <c r="A15" s="293" t="s">
        <v>124</v>
      </c>
      <c r="B15" s="291" t="s">
        <v>563</v>
      </c>
      <c r="C15" s="296"/>
      <c r="D15" s="296"/>
      <c r="E15" s="296"/>
      <c r="F15" s="316"/>
    </row>
    <row r="16" spans="1:16" ht="15.75" customHeight="1" x14ac:dyDescent="0.2">
      <c r="A16" s="294">
        <v>1</v>
      </c>
      <c r="B16" s="295" t="s">
        <v>588</v>
      </c>
      <c r="C16" s="296">
        <v>4541</v>
      </c>
      <c r="D16" s="296">
        <v>4657</v>
      </c>
      <c r="E16" s="296">
        <f>+D16-C16</f>
        <v>116</v>
      </c>
      <c r="F16" s="316">
        <f>IF(C16=0,0,+E16/C16)</f>
        <v>2.5545034133450783E-2</v>
      </c>
    </row>
    <row r="17" spans="1:6" ht="15.75" customHeight="1" x14ac:dyDescent="0.25">
      <c r="A17" s="294"/>
      <c r="B17" s="135" t="s">
        <v>590</v>
      </c>
      <c r="C17" s="300">
        <f>SUM(C15:C16)</f>
        <v>4541</v>
      </c>
      <c r="D17" s="300">
        <f>SUM(D15:D16)</f>
        <v>4657</v>
      </c>
      <c r="E17" s="300">
        <f>+D17-C17</f>
        <v>116</v>
      </c>
      <c r="F17" s="309">
        <f>IF(C17=0,0,+E17/C17)</f>
        <v>2.5545034133450783E-2</v>
      </c>
    </row>
    <row r="18" spans="1:6" ht="15.75" customHeight="1" x14ac:dyDescent="0.25">
      <c r="A18" s="293"/>
      <c r="B18" s="135"/>
      <c r="C18" s="300"/>
      <c r="D18" s="300"/>
      <c r="E18" s="300"/>
      <c r="F18" s="309"/>
    </row>
    <row r="19" spans="1:6" ht="15.75" customHeight="1" x14ac:dyDescent="0.25">
      <c r="A19" s="293" t="s">
        <v>141</v>
      </c>
      <c r="B19" s="291" t="s">
        <v>591</v>
      </c>
      <c r="C19" s="296"/>
      <c r="D19" s="296"/>
      <c r="E19" s="296"/>
      <c r="F19" s="316"/>
    </row>
    <row r="20" spans="1:6" ht="15.75" customHeight="1" x14ac:dyDescent="0.2">
      <c r="A20" s="294">
        <v>1</v>
      </c>
      <c r="B20" s="295" t="s">
        <v>588</v>
      </c>
      <c r="C20" s="296">
        <v>41101</v>
      </c>
      <c r="D20" s="296">
        <v>44323</v>
      </c>
      <c r="E20" s="296">
        <f>+D20-C20</f>
        <v>3222</v>
      </c>
      <c r="F20" s="316">
        <f>IF(C20=0,0,+E20/C20)</f>
        <v>7.8392253229848427E-2</v>
      </c>
    </row>
    <row r="21" spans="1:6" ht="15.75" customHeight="1" x14ac:dyDescent="0.25">
      <c r="A21" s="294"/>
      <c r="B21" s="135" t="s">
        <v>592</v>
      </c>
      <c r="C21" s="300">
        <f>SUM(C19:C20)</f>
        <v>41101</v>
      </c>
      <c r="D21" s="300">
        <f>SUM(D19:D20)</f>
        <v>44323</v>
      </c>
      <c r="E21" s="300">
        <f>+D21-C21</f>
        <v>3222</v>
      </c>
      <c r="F21" s="309">
        <f>IF(C21=0,0,+E21/C21)</f>
        <v>7.8392253229848427E-2</v>
      </c>
    </row>
    <row r="22" spans="1:6" ht="15.75" customHeight="1" x14ac:dyDescent="0.25">
      <c r="A22" s="293"/>
      <c r="B22" s="135"/>
      <c r="C22" s="300"/>
      <c r="D22" s="300"/>
      <c r="E22" s="300"/>
      <c r="F22" s="309"/>
    </row>
    <row r="23" spans="1:6" ht="15.75" customHeight="1" x14ac:dyDescent="0.25">
      <c r="B23" s="699" t="s">
        <v>593</v>
      </c>
      <c r="C23" s="700"/>
      <c r="D23" s="700"/>
      <c r="E23" s="700"/>
      <c r="F23" s="701"/>
    </row>
    <row r="24" spans="1:6" ht="15.75" customHeight="1" x14ac:dyDescent="0.25">
      <c r="A24" s="293"/>
      <c r="B24" s="135"/>
      <c r="C24" s="300"/>
      <c r="D24" s="300"/>
      <c r="E24" s="300"/>
      <c r="F24" s="309"/>
    </row>
    <row r="25" spans="1:6" ht="15.75" customHeight="1" x14ac:dyDescent="0.25">
      <c r="B25" s="699" t="s">
        <v>594</v>
      </c>
      <c r="C25" s="700"/>
      <c r="D25" s="700"/>
      <c r="E25" s="700"/>
      <c r="F25" s="701"/>
    </row>
    <row r="26" spans="1:6" ht="15.75" customHeight="1" x14ac:dyDescent="0.25">
      <c r="A26" s="293"/>
      <c r="B26" s="135"/>
      <c r="C26" s="300"/>
      <c r="D26" s="300"/>
      <c r="E26" s="300"/>
      <c r="F26" s="309"/>
    </row>
    <row r="27" spans="1:6" ht="15.75" customHeight="1" x14ac:dyDescent="0.25">
      <c r="B27" s="699" t="s">
        <v>595</v>
      </c>
      <c r="C27" s="700"/>
      <c r="D27" s="700"/>
      <c r="E27" s="700"/>
      <c r="F27" s="701"/>
    </row>
    <row r="28" spans="1:6" ht="15.75" customHeight="1" x14ac:dyDescent="0.25">
      <c r="A28" s="293"/>
      <c r="B28" s="135"/>
      <c r="C28" s="300"/>
      <c r="D28" s="300"/>
      <c r="E28" s="300"/>
      <c r="F28" s="309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FILING&amp;RHOSPITAL OF SAINT RAPHAEL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596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597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598</v>
      </c>
      <c r="B4" s="707"/>
      <c r="C4" s="707"/>
      <c r="D4" s="707"/>
      <c r="E4" s="707"/>
      <c r="F4" s="708"/>
    </row>
    <row r="5" spans="1:21" ht="15.75" customHeight="1" x14ac:dyDescent="0.25">
      <c r="A5" s="706" t="s">
        <v>599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600</v>
      </c>
      <c r="D7" s="341" t="s">
        <v>600</v>
      </c>
      <c r="E7" s="341" t="s">
        <v>601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602</v>
      </c>
      <c r="D8" s="344" t="s">
        <v>603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604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605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606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607</v>
      </c>
      <c r="C15" s="361">
        <v>543881938</v>
      </c>
      <c r="D15" s="361">
        <v>577575465</v>
      </c>
      <c r="E15" s="361">
        <f t="shared" ref="E15:E24" si="0">D15-C15</f>
        <v>33693527</v>
      </c>
      <c r="F15" s="362">
        <f t="shared" ref="F15:F24" si="1">IF(C15=0,0,E15/C15)</f>
        <v>6.195007527534404E-2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608</v>
      </c>
      <c r="C16" s="361">
        <v>180018860</v>
      </c>
      <c r="D16" s="361">
        <v>176821658</v>
      </c>
      <c r="E16" s="361">
        <f t="shared" si="0"/>
        <v>-3197202</v>
      </c>
      <c r="F16" s="362">
        <f t="shared" si="1"/>
        <v>-1.7760372440976464E-2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609</v>
      </c>
      <c r="C17" s="366">
        <f>IF(C15=0,0,C16/C15)</f>
        <v>0.33098885515848847</v>
      </c>
      <c r="D17" s="366">
        <f>IF(LN_IA1=0,0,LN_IA2/LN_IA1)</f>
        <v>0.30614468362155933</v>
      </c>
      <c r="E17" s="367">
        <f t="shared" si="0"/>
        <v>-2.4844171536929138E-2</v>
      </c>
      <c r="F17" s="362">
        <f t="shared" si="1"/>
        <v>-7.5060447352624377E-2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13102</v>
      </c>
      <c r="D18" s="369">
        <v>12686</v>
      </c>
      <c r="E18" s="369">
        <f t="shared" si="0"/>
        <v>-416</v>
      </c>
      <c r="F18" s="362">
        <f t="shared" si="1"/>
        <v>-3.1750877728591052E-2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610</v>
      </c>
      <c r="C19" s="372">
        <v>1.5818000000000001</v>
      </c>
      <c r="D19" s="372">
        <v>1.59995</v>
      </c>
      <c r="E19" s="373">
        <f t="shared" si="0"/>
        <v>1.8149999999999888E-2</v>
      </c>
      <c r="F19" s="362">
        <f t="shared" si="1"/>
        <v>1.1474269819193254E-2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611</v>
      </c>
      <c r="C20" s="376">
        <f>C18*C19</f>
        <v>20724.743600000002</v>
      </c>
      <c r="D20" s="376">
        <f>LN_IA4*LN_IA5</f>
        <v>20296.965700000001</v>
      </c>
      <c r="E20" s="376">
        <f t="shared" si="0"/>
        <v>-427.77790000000095</v>
      </c>
      <c r="F20" s="362">
        <f t="shared" si="1"/>
        <v>-2.0640926047451845E-2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612</v>
      </c>
      <c r="C21" s="378">
        <f>IF(C20=0,0,C16/C20)</f>
        <v>8686.1803202235988</v>
      </c>
      <c r="D21" s="378">
        <f>IF(LN_IA6=0,0,LN_IA2/LN_IA6)</f>
        <v>8711.7286698671414</v>
      </c>
      <c r="E21" s="378">
        <f t="shared" si="0"/>
        <v>25.548349643542679</v>
      </c>
      <c r="F21" s="362">
        <f t="shared" si="1"/>
        <v>2.9412640195898001E-3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78097</v>
      </c>
      <c r="D22" s="369">
        <v>75250</v>
      </c>
      <c r="E22" s="369">
        <f t="shared" si="0"/>
        <v>-2847</v>
      </c>
      <c r="F22" s="362">
        <f t="shared" si="1"/>
        <v>-3.6454665352062182E-2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613</v>
      </c>
      <c r="C23" s="378">
        <f>IF(C22=0,0,C16/C22)</f>
        <v>2305.0675442078441</v>
      </c>
      <c r="D23" s="378">
        <f>IF(LN_IA8=0,0,LN_IA2/LN_IA8)</f>
        <v>2349.7894750830565</v>
      </c>
      <c r="E23" s="378">
        <f t="shared" si="0"/>
        <v>44.721930875212365</v>
      </c>
      <c r="F23" s="362">
        <f t="shared" si="1"/>
        <v>1.940157067743602E-2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614</v>
      </c>
      <c r="C24" s="379">
        <f>IF(C18=0,0,C22/C18)</f>
        <v>5.9606930239658071</v>
      </c>
      <c r="D24" s="379">
        <f>IF(LN_IA4=0,0,LN_IA8/LN_IA4)</f>
        <v>5.9317357717168528</v>
      </c>
      <c r="E24" s="379">
        <f t="shared" si="0"/>
        <v>-2.8957252248954291E-2</v>
      </c>
      <c r="F24" s="362">
        <f t="shared" si="1"/>
        <v>-4.8580344823206919E-3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615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616</v>
      </c>
      <c r="C27" s="361">
        <v>144327569</v>
      </c>
      <c r="D27" s="361">
        <v>161317774</v>
      </c>
      <c r="E27" s="361">
        <f t="shared" ref="E27:E32" si="2">D27-C27</f>
        <v>16990205</v>
      </c>
      <c r="F27" s="362">
        <f t="shared" ref="F27:F32" si="3">IF(C27=0,0,E27/C27)</f>
        <v>0.11771974763878965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617</v>
      </c>
      <c r="C28" s="361">
        <v>42461304</v>
      </c>
      <c r="D28" s="361">
        <v>47985300</v>
      </c>
      <c r="E28" s="361">
        <f t="shared" si="2"/>
        <v>5523996</v>
      </c>
      <c r="F28" s="362">
        <f t="shared" si="3"/>
        <v>0.13009482704534933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618</v>
      </c>
      <c r="C29" s="366">
        <f>IF(C27=0,0,C28/C27)</f>
        <v>0.29420092290198557</v>
      </c>
      <c r="D29" s="366">
        <f>IF(LN_IA11=0,0,LN_IA12/LN_IA11)</f>
        <v>0.29745823296569912</v>
      </c>
      <c r="E29" s="367">
        <f t="shared" si="2"/>
        <v>3.2573100637135477E-3</v>
      </c>
      <c r="F29" s="362">
        <f t="shared" si="3"/>
        <v>1.1071719393615689E-2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619</v>
      </c>
      <c r="C30" s="366">
        <f>IF(C15=0,0,C27/C15)</f>
        <v>0.26536562241932732</v>
      </c>
      <c r="D30" s="366">
        <f>IF(LN_IA1=0,0,LN_IA11/LN_IA1)</f>
        <v>0.27930163896418281</v>
      </c>
      <c r="E30" s="367">
        <f t="shared" si="2"/>
        <v>1.393601654485549E-2</v>
      </c>
      <c r="F30" s="362">
        <f t="shared" si="3"/>
        <v>5.2516284580502205E-2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620</v>
      </c>
      <c r="C31" s="376">
        <f>C30*C18</f>
        <v>3476.8203849380266</v>
      </c>
      <c r="D31" s="376">
        <f>LN_IA14*LN_IA4</f>
        <v>3543.2205918996233</v>
      </c>
      <c r="E31" s="376">
        <f t="shared" si="2"/>
        <v>66.400206961596723</v>
      </c>
      <c r="F31" s="362">
        <f t="shared" si="3"/>
        <v>1.9097968721435776E-2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621</v>
      </c>
      <c r="C32" s="378">
        <f>IF(C31=0,0,C28/C31)</f>
        <v>12212.682652214968</v>
      </c>
      <c r="D32" s="378">
        <f>IF(LN_IA15=0,0,LN_IA12/LN_IA15)</f>
        <v>13542.84859082784</v>
      </c>
      <c r="E32" s="378">
        <f t="shared" si="2"/>
        <v>1330.1659386128722</v>
      </c>
      <c r="F32" s="362">
        <f t="shared" si="3"/>
        <v>0.10891676927113349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622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623</v>
      </c>
      <c r="C35" s="361">
        <f>C15+C27</f>
        <v>688209507</v>
      </c>
      <c r="D35" s="361">
        <f>LN_IA1+LN_IA11</f>
        <v>738893239</v>
      </c>
      <c r="E35" s="361">
        <f>D35-C35</f>
        <v>50683732</v>
      </c>
      <c r="F35" s="362">
        <f>IF(C35=0,0,E35/C35)</f>
        <v>7.3645788796114373E-2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624</v>
      </c>
      <c r="C36" s="361">
        <f>C16+C28</f>
        <v>222480164</v>
      </c>
      <c r="D36" s="361">
        <f>LN_IA2+LN_IA12</f>
        <v>224806958</v>
      </c>
      <c r="E36" s="361">
        <f>D36-C36</f>
        <v>2326794</v>
      </c>
      <c r="F36" s="362">
        <f>IF(C36=0,0,E36/C36)</f>
        <v>1.0458433498817449E-2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625</v>
      </c>
      <c r="C37" s="361">
        <f>C35-C36</f>
        <v>465729343</v>
      </c>
      <c r="D37" s="361">
        <f>LN_IA17-LN_IA18</f>
        <v>514086281</v>
      </c>
      <c r="E37" s="361">
        <f>D37-C37</f>
        <v>48356938</v>
      </c>
      <c r="F37" s="362">
        <f>IF(C37=0,0,E37/C37)</f>
        <v>0.10383055894333031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626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627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607</v>
      </c>
      <c r="C42" s="361">
        <v>238061303</v>
      </c>
      <c r="D42" s="361">
        <v>225061149</v>
      </c>
      <c r="E42" s="361">
        <f t="shared" ref="E42:E53" si="4">D42-C42</f>
        <v>-13000154</v>
      </c>
      <c r="F42" s="362">
        <f t="shared" ref="F42:F53" si="5">IF(C42=0,0,E42/C42)</f>
        <v>-5.4608429997545629E-2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608</v>
      </c>
      <c r="C43" s="361">
        <v>101699141</v>
      </c>
      <c r="D43" s="361">
        <v>97784714</v>
      </c>
      <c r="E43" s="361">
        <f t="shared" si="4"/>
        <v>-3914427</v>
      </c>
      <c r="F43" s="362">
        <f t="shared" si="5"/>
        <v>-3.8490266107557389E-2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609</v>
      </c>
      <c r="C44" s="366">
        <f>IF(C42=0,0,C43/C42)</f>
        <v>0.42719727951753672</v>
      </c>
      <c r="D44" s="366">
        <f>IF(LN_IB1=0,0,LN_IB2/LN_IB1)</f>
        <v>0.43448064863474062</v>
      </c>
      <c r="E44" s="367">
        <f t="shared" si="4"/>
        <v>7.2833691172038972E-3</v>
      </c>
      <c r="F44" s="362">
        <f t="shared" si="5"/>
        <v>1.7049193584354066E-2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7077</v>
      </c>
      <c r="D45" s="369">
        <v>6161</v>
      </c>
      <c r="E45" s="369">
        <f t="shared" si="4"/>
        <v>-916</v>
      </c>
      <c r="F45" s="362">
        <f t="shared" si="5"/>
        <v>-0.1294333757241769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610</v>
      </c>
      <c r="C46" s="372">
        <v>1.3996</v>
      </c>
      <c r="D46" s="372">
        <v>1.44998</v>
      </c>
      <c r="E46" s="373">
        <f t="shared" si="4"/>
        <v>5.0380000000000091E-2</v>
      </c>
      <c r="F46" s="362">
        <f t="shared" si="5"/>
        <v>3.59959988568163E-2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611</v>
      </c>
      <c r="C47" s="376">
        <f>C45*C46</f>
        <v>9904.9691999999995</v>
      </c>
      <c r="D47" s="376">
        <f>LN_IB4*LN_IB5</f>
        <v>8933.3267799999994</v>
      </c>
      <c r="E47" s="376">
        <f t="shared" si="4"/>
        <v>-971.64242000000013</v>
      </c>
      <c r="F47" s="362">
        <f t="shared" si="5"/>
        <v>-9.8096460511962039E-2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612</v>
      </c>
      <c r="C48" s="378">
        <f>IF(C47=0,0,C43/C47)</f>
        <v>10267.486848924276</v>
      </c>
      <c r="D48" s="378">
        <f>IF(LN_IB6=0,0,LN_IB2/LN_IB6)</f>
        <v>10946.058104459044</v>
      </c>
      <c r="E48" s="378">
        <f t="shared" si="4"/>
        <v>678.57125553476726</v>
      </c>
      <c r="F48" s="362">
        <f t="shared" si="5"/>
        <v>6.6089323075769132E-2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628</v>
      </c>
      <c r="C49" s="378">
        <f>C21-C48</f>
        <v>-1581.3065287006775</v>
      </c>
      <c r="D49" s="378">
        <f>LN_IA7-LN_IB7</f>
        <v>-2234.3294345919021</v>
      </c>
      <c r="E49" s="378">
        <f t="shared" si="4"/>
        <v>-653.02290589122458</v>
      </c>
      <c r="F49" s="362">
        <f t="shared" si="5"/>
        <v>0.4129641496059579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629</v>
      </c>
      <c r="C50" s="391">
        <f>C49*C47</f>
        <v>-15662792.462539125</v>
      </c>
      <c r="D50" s="391">
        <f>LN_IB8*LN_IB6</f>
        <v>-19959994.973382097</v>
      </c>
      <c r="E50" s="391">
        <f t="shared" si="4"/>
        <v>-4297202.5108429715</v>
      </c>
      <c r="F50" s="362">
        <f t="shared" si="5"/>
        <v>0.27435736769931918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28038</v>
      </c>
      <c r="D51" s="369">
        <v>25554</v>
      </c>
      <c r="E51" s="369">
        <f t="shared" si="4"/>
        <v>-2484</v>
      </c>
      <c r="F51" s="362">
        <f t="shared" si="5"/>
        <v>-8.859405093087952E-2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613</v>
      </c>
      <c r="C52" s="378">
        <f>IF(C51=0,0,C43/C51)</f>
        <v>3627.1895641629217</v>
      </c>
      <c r="D52" s="378">
        <f>IF(LN_IB10=0,0,LN_IB2/LN_IB10)</f>
        <v>3826.591296861548</v>
      </c>
      <c r="E52" s="378">
        <f t="shared" si="4"/>
        <v>199.40173269862635</v>
      </c>
      <c r="F52" s="362">
        <f t="shared" si="5"/>
        <v>5.4974169166326449E-2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614</v>
      </c>
      <c r="C53" s="379">
        <f>IF(C45=0,0,C51/C45)</f>
        <v>3.9618482407799913</v>
      </c>
      <c r="D53" s="379">
        <f>IF(LN_IB4=0,0,LN_IB10/LN_IB4)</f>
        <v>4.1477032949196557</v>
      </c>
      <c r="E53" s="379">
        <f t="shared" si="4"/>
        <v>0.18585505413966441</v>
      </c>
      <c r="F53" s="362">
        <f t="shared" si="5"/>
        <v>4.6911199734160962E-2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630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616</v>
      </c>
      <c r="C56" s="361">
        <v>181873109</v>
      </c>
      <c r="D56" s="361">
        <v>177273694</v>
      </c>
      <c r="E56" s="361">
        <f t="shared" ref="E56:E63" si="6">D56-C56</f>
        <v>-4599415</v>
      </c>
      <c r="F56" s="362">
        <f t="shared" ref="F56:F63" si="7">IF(C56=0,0,E56/C56)</f>
        <v>-2.5289142662646185E-2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617</v>
      </c>
      <c r="C57" s="361">
        <v>81368645</v>
      </c>
      <c r="D57" s="361">
        <v>78219237</v>
      </c>
      <c r="E57" s="361">
        <f t="shared" si="6"/>
        <v>-3149408</v>
      </c>
      <c r="F57" s="362">
        <f t="shared" si="7"/>
        <v>-3.8705425167151301E-2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618</v>
      </c>
      <c r="C58" s="366">
        <f>IF(C56=0,0,C57/C56)</f>
        <v>0.44739239048253143</v>
      </c>
      <c r="D58" s="366">
        <f>IF(LN_IB13=0,0,LN_IB14/LN_IB13)</f>
        <v>0.44123431534066188</v>
      </c>
      <c r="E58" s="367">
        <f t="shared" si="6"/>
        <v>-6.1580751418695567E-3</v>
      </c>
      <c r="F58" s="362">
        <f t="shared" si="7"/>
        <v>-1.3764371663156395E-2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619</v>
      </c>
      <c r="C59" s="366">
        <f>IF(C42=0,0,C56/C42)</f>
        <v>0.7639759453051469</v>
      </c>
      <c r="D59" s="366">
        <f>IF(LN_IB1=0,0,LN_IB13/LN_IB1)</f>
        <v>0.78766901701012826</v>
      </c>
      <c r="E59" s="367">
        <f t="shared" si="6"/>
        <v>2.3693071704981361E-2</v>
      </c>
      <c r="F59" s="362">
        <f t="shared" si="7"/>
        <v>3.1012850405280609E-2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620</v>
      </c>
      <c r="C60" s="376">
        <f>C59*C45</f>
        <v>5406.6577649245246</v>
      </c>
      <c r="D60" s="376">
        <f>LN_IB16*LN_IB4</f>
        <v>4852.8288137994005</v>
      </c>
      <c r="E60" s="376">
        <f t="shared" si="6"/>
        <v>-553.82895112512415</v>
      </c>
      <c r="F60" s="362">
        <f t="shared" si="7"/>
        <v>-0.10243462323768064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621</v>
      </c>
      <c r="C61" s="378">
        <f>IF(C60=0,0,C57/C60)</f>
        <v>15049.712509616536</v>
      </c>
      <c r="D61" s="378">
        <f>IF(LN_IB17=0,0,LN_IB14/LN_IB17)</f>
        <v>16118.276576659257</v>
      </c>
      <c r="E61" s="378">
        <f t="shared" si="6"/>
        <v>1068.5640670427201</v>
      </c>
      <c r="F61" s="362">
        <f t="shared" si="7"/>
        <v>7.1002290997912679E-2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631</v>
      </c>
      <c r="C62" s="378">
        <f>C32-C61</f>
        <v>-2837.0298574015687</v>
      </c>
      <c r="D62" s="378">
        <f>LN_IA16-LN_IB18</f>
        <v>-2575.4279858314167</v>
      </c>
      <c r="E62" s="378">
        <f t="shared" si="6"/>
        <v>261.60187157015207</v>
      </c>
      <c r="F62" s="362">
        <f t="shared" si="7"/>
        <v>-9.2209770329929774E-2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632</v>
      </c>
      <c r="C63" s="361">
        <f>C62*C60</f>
        <v>-15338849.507842908</v>
      </c>
      <c r="D63" s="361">
        <f>LN_IB19*LN_IB17</f>
        <v>-12498111.137508053</v>
      </c>
      <c r="E63" s="361">
        <f t="shared" si="6"/>
        <v>2840738.3703348543</v>
      </c>
      <c r="F63" s="362">
        <f t="shared" si="7"/>
        <v>-0.18519892048503092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633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623</v>
      </c>
      <c r="C66" s="361">
        <f>C42+C56</f>
        <v>419934412</v>
      </c>
      <c r="D66" s="361">
        <f>LN_IB1+LN_IB13</f>
        <v>402334843</v>
      </c>
      <c r="E66" s="361">
        <f>D66-C66</f>
        <v>-17599569</v>
      </c>
      <c r="F66" s="362">
        <f>IF(C66=0,0,E66/C66)</f>
        <v>-4.1910280503518249E-2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624</v>
      </c>
      <c r="C67" s="361">
        <f>C43+C57</f>
        <v>183067786</v>
      </c>
      <c r="D67" s="361">
        <f>LN_IB2+LN_IB14</f>
        <v>176003951</v>
      </c>
      <c r="E67" s="361">
        <f>D67-C67</f>
        <v>-7063835</v>
      </c>
      <c r="F67" s="362">
        <f>IF(C67=0,0,E67/C67)</f>
        <v>-3.8585898449659518E-2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625</v>
      </c>
      <c r="C68" s="361">
        <f>C66-C67</f>
        <v>236866626</v>
      </c>
      <c r="D68" s="361">
        <f>LN_IB21-LN_IB22</f>
        <v>226330892</v>
      </c>
      <c r="E68" s="361">
        <f>D68-C68</f>
        <v>-10535734</v>
      </c>
      <c r="F68" s="362">
        <f>IF(C68=0,0,E68/C68)</f>
        <v>-4.4479605159740823E-2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634</v>
      </c>
      <c r="C70" s="353">
        <f>C50+C63</f>
        <v>-31001641.970382035</v>
      </c>
      <c r="D70" s="353">
        <f>LN_IB9+LN_IB20</f>
        <v>-32458106.11089015</v>
      </c>
      <c r="E70" s="361">
        <f>D70-C70</f>
        <v>-1456464.1405081153</v>
      </c>
      <c r="F70" s="362">
        <f>IF(C70=0,0,E70/C70)</f>
        <v>4.6980225818347751E-2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635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636</v>
      </c>
      <c r="C73" s="400">
        <v>403549441</v>
      </c>
      <c r="D73" s="400">
        <v>384002145</v>
      </c>
      <c r="E73" s="400">
        <f>D73-C73</f>
        <v>-19547296</v>
      </c>
      <c r="F73" s="401">
        <f>IF(C73=0,0,E73/C73)</f>
        <v>-4.8438416744083661E-2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637</v>
      </c>
      <c r="C74" s="400">
        <v>205121510</v>
      </c>
      <c r="D74" s="400">
        <v>196051082</v>
      </c>
      <c r="E74" s="400">
        <f>D74-C74</f>
        <v>-9070428</v>
      </c>
      <c r="F74" s="401">
        <f>IF(C74=0,0,E74/C74)</f>
        <v>-4.4219779778337243E-2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638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639</v>
      </c>
      <c r="C76" s="353">
        <f>C73-C74</f>
        <v>198427931</v>
      </c>
      <c r="D76" s="353">
        <f>LN_IB32-LN_IB33</f>
        <v>187951063</v>
      </c>
      <c r="E76" s="400">
        <f>D76-C76</f>
        <v>-10476868</v>
      </c>
      <c r="F76" s="401">
        <f>IF(C76=0,0,E76/C76)</f>
        <v>-5.2799361194770508E-2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640</v>
      </c>
      <c r="C77" s="366">
        <f>IF(C73=0,0,C76/C73)</f>
        <v>0.49170661842150837</v>
      </c>
      <c r="D77" s="366">
        <f>IF(LN_IB1=0,0,LN_IB34/LN_IB32)</f>
        <v>0.48945315917441035</v>
      </c>
      <c r="E77" s="405">
        <f>D77-C77</f>
        <v>-2.2534592470980219E-3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641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642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607</v>
      </c>
      <c r="C83" s="361">
        <v>10215544</v>
      </c>
      <c r="D83" s="361">
        <v>3818662</v>
      </c>
      <c r="E83" s="361">
        <f t="shared" ref="E83:E95" si="8">D83-C83</f>
        <v>-6396882</v>
      </c>
      <c r="F83" s="362">
        <f t="shared" ref="F83:F95" si="9">IF(C83=0,0,E83/C83)</f>
        <v>-0.62619102810383864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608</v>
      </c>
      <c r="C84" s="361">
        <v>922861</v>
      </c>
      <c r="D84" s="361">
        <v>662259</v>
      </c>
      <c r="E84" s="361">
        <f t="shared" si="8"/>
        <v>-260602</v>
      </c>
      <c r="F84" s="362">
        <f t="shared" si="9"/>
        <v>-0.28238488786501975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609</v>
      </c>
      <c r="C85" s="366">
        <f>IF(C83=0,0,C84/C83)</f>
        <v>9.0338899230427663E-2</v>
      </c>
      <c r="D85" s="366">
        <f>IF(LN_IC1=0,0,LN_IC2/LN_IC1)</f>
        <v>0.17342697520754652</v>
      </c>
      <c r="E85" s="367">
        <f t="shared" si="8"/>
        <v>8.3088075977118855E-2</v>
      </c>
      <c r="F85" s="362">
        <f t="shared" si="9"/>
        <v>0.91973752929162755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271</v>
      </c>
      <c r="D86" s="369">
        <v>113</v>
      </c>
      <c r="E86" s="369">
        <f t="shared" si="8"/>
        <v>-158</v>
      </c>
      <c r="F86" s="362">
        <f t="shared" si="9"/>
        <v>-0.58302583025830257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610</v>
      </c>
      <c r="C87" s="372">
        <v>1.226</v>
      </c>
      <c r="D87" s="372">
        <v>1.2416199999999999</v>
      </c>
      <c r="E87" s="373">
        <f t="shared" si="8"/>
        <v>1.5619999999999967E-2</v>
      </c>
      <c r="F87" s="362">
        <f t="shared" si="9"/>
        <v>1.2740619902120691E-2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611</v>
      </c>
      <c r="C88" s="376">
        <f>C86*C87</f>
        <v>332.24599999999998</v>
      </c>
      <c r="D88" s="376">
        <f>LN_IC4*LN_IC5</f>
        <v>140.30305999999999</v>
      </c>
      <c r="E88" s="376">
        <f t="shared" si="8"/>
        <v>-191.94293999999999</v>
      </c>
      <c r="F88" s="362">
        <f t="shared" si="9"/>
        <v>-0.57771332085262128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612</v>
      </c>
      <c r="C89" s="378">
        <f>IF(C88=0,0,C84/C88)</f>
        <v>2777.6436736634905</v>
      </c>
      <c r="D89" s="378">
        <f>IF(LN_IC6=0,0,LN_IC2/LN_IC6)</f>
        <v>4720.2035365443926</v>
      </c>
      <c r="E89" s="378">
        <f t="shared" si="8"/>
        <v>1942.5598628809021</v>
      </c>
      <c r="F89" s="362">
        <f t="shared" si="9"/>
        <v>0.69935531375009685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643</v>
      </c>
      <c r="C90" s="378">
        <f>C48-C89</f>
        <v>7489.8431752607858</v>
      </c>
      <c r="D90" s="378">
        <f>LN_IB7-LN_IC7</f>
        <v>6225.8545679146509</v>
      </c>
      <c r="E90" s="378">
        <f t="shared" si="8"/>
        <v>-1263.9886073461348</v>
      </c>
      <c r="F90" s="362">
        <f t="shared" si="9"/>
        <v>-0.16876035689520621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644</v>
      </c>
      <c r="C91" s="378">
        <f>C21-C89</f>
        <v>5908.5366465601082</v>
      </c>
      <c r="D91" s="378">
        <f>LN_IA7-LN_IC7</f>
        <v>3991.5251333227488</v>
      </c>
      <c r="E91" s="378">
        <f t="shared" si="8"/>
        <v>-1917.0115132373594</v>
      </c>
      <c r="F91" s="362">
        <f t="shared" si="9"/>
        <v>-0.32444776564996419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629</v>
      </c>
      <c r="C92" s="353">
        <f>C91*C88</f>
        <v>1963087.6666730095</v>
      </c>
      <c r="D92" s="353">
        <f>LN_IC9*LN_IC6</f>
        <v>560023.19027208956</v>
      </c>
      <c r="E92" s="353">
        <f t="shared" si="8"/>
        <v>-1403064.47640092</v>
      </c>
      <c r="F92" s="362">
        <f t="shared" si="9"/>
        <v>-0.71472329036573168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945</v>
      </c>
      <c r="D93" s="369">
        <v>412</v>
      </c>
      <c r="E93" s="369">
        <f t="shared" si="8"/>
        <v>-533</v>
      </c>
      <c r="F93" s="362">
        <f t="shared" si="9"/>
        <v>-0.56402116402116398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613</v>
      </c>
      <c r="C94" s="411">
        <f>IF(C93=0,0,C84/C93)</f>
        <v>976.57248677248674</v>
      </c>
      <c r="D94" s="411">
        <f>IF(LN_IC11=0,0,LN_IC2/LN_IC11)</f>
        <v>1607.4247572815534</v>
      </c>
      <c r="E94" s="411">
        <f t="shared" si="8"/>
        <v>630.85227050906667</v>
      </c>
      <c r="F94" s="362">
        <f t="shared" si="9"/>
        <v>0.64598611885329216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614</v>
      </c>
      <c r="C95" s="379">
        <f>IF(C86=0,0,C93/C86)</f>
        <v>3.4870848708487086</v>
      </c>
      <c r="D95" s="379">
        <f>IF(LN_IC4=0,0,LN_IC11/LN_IC4)</f>
        <v>3.6460176991150441</v>
      </c>
      <c r="E95" s="379">
        <f t="shared" si="8"/>
        <v>0.15893282826633559</v>
      </c>
      <c r="F95" s="362">
        <f t="shared" si="9"/>
        <v>4.5577562391721636E-2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645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616</v>
      </c>
      <c r="C98" s="361">
        <v>19620565</v>
      </c>
      <c r="D98" s="361">
        <v>16410177</v>
      </c>
      <c r="E98" s="361">
        <f t="shared" ref="E98:E106" si="10">D98-C98</f>
        <v>-3210388</v>
      </c>
      <c r="F98" s="362">
        <f t="shared" ref="F98:F106" si="11">IF(C98=0,0,E98/C98)</f>
        <v>-0.16362362653674856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617</v>
      </c>
      <c r="C99" s="361">
        <v>3971602</v>
      </c>
      <c r="D99" s="361">
        <v>4557887</v>
      </c>
      <c r="E99" s="361">
        <f t="shared" si="10"/>
        <v>586285</v>
      </c>
      <c r="F99" s="362">
        <f t="shared" si="11"/>
        <v>0.14761927302886846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618</v>
      </c>
      <c r="C100" s="366">
        <f>IF(C98=0,0,C99/C98)</f>
        <v>0.20242036862852827</v>
      </c>
      <c r="D100" s="366">
        <f>IF(LN_IC14=0,0,LN_IC15/LN_IC14)</f>
        <v>0.27774758310041386</v>
      </c>
      <c r="E100" s="367">
        <f t="shared" si="10"/>
        <v>7.532721447188559E-2</v>
      </c>
      <c r="F100" s="362">
        <f t="shared" si="11"/>
        <v>0.37213258222112183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619</v>
      </c>
      <c r="C101" s="366">
        <f>IF(C83=0,0,C98/C83)</f>
        <v>1.9206578719645278</v>
      </c>
      <c r="D101" s="366">
        <f>IF(LN_IC1=0,0,LN_IC14/LN_IC1)</f>
        <v>4.2973630554366951</v>
      </c>
      <c r="E101" s="367">
        <f t="shared" si="10"/>
        <v>2.3767051834721675</v>
      </c>
      <c r="F101" s="362">
        <f t="shared" si="11"/>
        <v>1.2374432834522349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620</v>
      </c>
      <c r="C102" s="376">
        <f>C101*C86</f>
        <v>520.49828330238699</v>
      </c>
      <c r="D102" s="376">
        <f>LN_IC17*LN_IC4</f>
        <v>485.60202526434654</v>
      </c>
      <c r="E102" s="376">
        <f t="shared" si="10"/>
        <v>-34.896258038040457</v>
      </c>
      <c r="F102" s="362">
        <f t="shared" si="11"/>
        <v>-6.7043944538366984E-2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621</v>
      </c>
      <c r="C103" s="378">
        <f>IF(C102=0,0,C99/C102)</f>
        <v>7630.3844362396694</v>
      </c>
      <c r="D103" s="378">
        <f>IF(LN_IC18=0,0,LN_IC15/LN_IC18)</f>
        <v>9386.0543467025891</v>
      </c>
      <c r="E103" s="378">
        <f t="shared" si="10"/>
        <v>1755.6699104629197</v>
      </c>
      <c r="F103" s="362">
        <f t="shared" si="11"/>
        <v>0.23008931268581423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646</v>
      </c>
      <c r="C104" s="378">
        <f>C61-C103</f>
        <v>7419.328073376867</v>
      </c>
      <c r="D104" s="378">
        <f>LN_IB18-LN_IC19</f>
        <v>6732.2222299566674</v>
      </c>
      <c r="E104" s="378">
        <f t="shared" si="10"/>
        <v>-687.10584342019956</v>
      </c>
      <c r="F104" s="362">
        <f t="shared" si="11"/>
        <v>-9.2610252117813013E-2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647</v>
      </c>
      <c r="C105" s="378">
        <f>C32-C103</f>
        <v>4582.2982159752983</v>
      </c>
      <c r="D105" s="378">
        <f>LN_IA16-LN_IC19</f>
        <v>4156.7942441252508</v>
      </c>
      <c r="E105" s="378">
        <f t="shared" si="10"/>
        <v>-425.50397185004749</v>
      </c>
      <c r="F105" s="362">
        <f t="shared" si="11"/>
        <v>-9.2858201669766938E-2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632</v>
      </c>
      <c r="C106" s="361">
        <f>C105*C102</f>
        <v>2385078.3549947334</v>
      </c>
      <c r="D106" s="361">
        <f>LN_IC21*LN_IC18</f>
        <v>2018547.7035544002</v>
      </c>
      <c r="E106" s="361">
        <f t="shared" si="10"/>
        <v>-366530.65144033311</v>
      </c>
      <c r="F106" s="362">
        <f t="shared" si="11"/>
        <v>-0.1536765660854536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648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623</v>
      </c>
      <c r="C109" s="361">
        <f>C83+C98</f>
        <v>29836109</v>
      </c>
      <c r="D109" s="361">
        <f>LN_IC1+LN_IC14</f>
        <v>20228839</v>
      </c>
      <c r="E109" s="361">
        <f>D109-C109</f>
        <v>-9607270</v>
      </c>
      <c r="F109" s="362">
        <f>IF(C109=0,0,E109/C109)</f>
        <v>-0.32200143792208291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624</v>
      </c>
      <c r="C110" s="361">
        <f>C84+C99</f>
        <v>4894463</v>
      </c>
      <c r="D110" s="361">
        <f>LN_IC2+LN_IC15</f>
        <v>5220146</v>
      </c>
      <c r="E110" s="361">
        <f>D110-C110</f>
        <v>325683</v>
      </c>
      <c r="F110" s="362">
        <f>IF(C110=0,0,E110/C110)</f>
        <v>6.6541109821445177E-2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625</v>
      </c>
      <c r="C111" s="361">
        <f>C109-C110</f>
        <v>24941646</v>
      </c>
      <c r="D111" s="361">
        <f>LN_IC23-LN_IC24</f>
        <v>15008693</v>
      </c>
      <c r="E111" s="361">
        <f>D111-C111</f>
        <v>-9932953</v>
      </c>
      <c r="F111" s="362">
        <f>IF(C111=0,0,E111/C111)</f>
        <v>-0.39824769383704667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634</v>
      </c>
      <c r="C113" s="361">
        <f>C92+C106</f>
        <v>4348166.0216677431</v>
      </c>
      <c r="D113" s="361">
        <f>LN_IC10+LN_IC22</f>
        <v>2578570.8938264898</v>
      </c>
      <c r="E113" s="361">
        <f>D113-C113</f>
        <v>-1769595.1278412533</v>
      </c>
      <c r="F113" s="362">
        <f>IF(C113=0,0,E113/C113)</f>
        <v>-0.4069750600650992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649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650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607</v>
      </c>
      <c r="C118" s="361">
        <v>83843735</v>
      </c>
      <c r="D118" s="361">
        <v>120346712</v>
      </c>
      <c r="E118" s="361">
        <f t="shared" ref="E118:E130" si="12">D118-C118</f>
        <v>36502977</v>
      </c>
      <c r="F118" s="362">
        <f t="shared" ref="F118:F130" si="13">IF(C118=0,0,E118/C118)</f>
        <v>0.43536916622333199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608</v>
      </c>
      <c r="C119" s="361">
        <v>21976565</v>
      </c>
      <c r="D119" s="361">
        <v>29303581</v>
      </c>
      <c r="E119" s="361">
        <f t="shared" si="12"/>
        <v>7327016</v>
      </c>
      <c r="F119" s="362">
        <f t="shared" si="13"/>
        <v>0.33340133000766953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609</v>
      </c>
      <c r="C120" s="366">
        <f>IF(C118=0,0,C119/C118)</f>
        <v>0.26211338271130219</v>
      </c>
      <c r="D120" s="366">
        <f>IF(LN_ID1=0,0,LN_1D2/LN_ID1)</f>
        <v>0.24349299214755449</v>
      </c>
      <c r="E120" s="367">
        <f t="shared" si="12"/>
        <v>-1.8620390563747702E-2</v>
      </c>
      <c r="F120" s="362">
        <f t="shared" si="13"/>
        <v>-7.1039450069806762E-2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3298</v>
      </c>
      <c r="D121" s="369">
        <v>3916</v>
      </c>
      <c r="E121" s="369">
        <f t="shared" si="12"/>
        <v>618</v>
      </c>
      <c r="F121" s="362">
        <f t="shared" si="13"/>
        <v>0.1873862947240752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610</v>
      </c>
      <c r="C122" s="372">
        <v>0.96240000000000003</v>
      </c>
      <c r="D122" s="372">
        <v>1.06264</v>
      </c>
      <c r="E122" s="373">
        <f t="shared" si="12"/>
        <v>0.10024</v>
      </c>
      <c r="F122" s="362">
        <f t="shared" si="13"/>
        <v>0.10415627597672485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611</v>
      </c>
      <c r="C123" s="376">
        <f>C121*C122</f>
        <v>3173.9952000000003</v>
      </c>
      <c r="D123" s="376">
        <f>LN_ID4*LN_ID5</f>
        <v>4161.2982400000001</v>
      </c>
      <c r="E123" s="376">
        <f t="shared" si="12"/>
        <v>987.30303999999978</v>
      </c>
      <c r="F123" s="362">
        <f t="shared" si="13"/>
        <v>0.31106002932833665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612</v>
      </c>
      <c r="C124" s="378">
        <f>IF(C123=0,0,C119/C123)</f>
        <v>6923.9439933620561</v>
      </c>
      <c r="D124" s="378">
        <f>IF(LN_ID6=0,0,LN_1D2/LN_ID6)</f>
        <v>7041.9324234736896</v>
      </c>
      <c r="E124" s="378">
        <f t="shared" si="12"/>
        <v>117.98843011163353</v>
      </c>
      <c r="F124" s="362">
        <f t="shared" si="13"/>
        <v>1.7040639009320169E-2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651</v>
      </c>
      <c r="C125" s="378">
        <f>C48-C124</f>
        <v>3343.5428555622202</v>
      </c>
      <c r="D125" s="378">
        <f>LN_IB7-LN_ID7</f>
        <v>3904.1256809853539</v>
      </c>
      <c r="E125" s="378">
        <f t="shared" si="12"/>
        <v>560.58282542313373</v>
      </c>
      <c r="F125" s="362">
        <f t="shared" si="13"/>
        <v>0.16766132501952669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652</v>
      </c>
      <c r="C126" s="378">
        <f>C21-C124</f>
        <v>1762.2363268615427</v>
      </c>
      <c r="D126" s="378">
        <f>LN_IA7-LN_ID7</f>
        <v>1669.7962463934518</v>
      </c>
      <c r="E126" s="378">
        <f t="shared" si="12"/>
        <v>-92.440080468090855</v>
      </c>
      <c r="F126" s="362">
        <f t="shared" si="13"/>
        <v>-5.2456120134989015E-2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629</v>
      </c>
      <c r="C127" s="391">
        <f>C126*C123</f>
        <v>5593329.6427241685</v>
      </c>
      <c r="D127" s="391">
        <f>LN_ID9*LN_ID6</f>
        <v>6948520.1812756779</v>
      </c>
      <c r="E127" s="391">
        <f t="shared" si="12"/>
        <v>1355190.5385515094</v>
      </c>
      <c r="F127" s="362">
        <f t="shared" si="13"/>
        <v>0.24228690692570715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16251</v>
      </c>
      <c r="D128" s="369">
        <v>20583</v>
      </c>
      <c r="E128" s="369">
        <f t="shared" si="12"/>
        <v>4332</v>
      </c>
      <c r="F128" s="362">
        <f t="shared" si="13"/>
        <v>0.26656821118700386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613</v>
      </c>
      <c r="C129" s="378">
        <f>IF(C128=0,0,C119/C128)</f>
        <v>1352.3207802596764</v>
      </c>
      <c r="D129" s="378">
        <f>IF(LN_ID11=0,0,LN_1D2/LN_ID11)</f>
        <v>1423.6788126123499</v>
      </c>
      <c r="E129" s="378">
        <f t="shared" si="12"/>
        <v>71.35803235267349</v>
      </c>
      <c r="F129" s="362">
        <f t="shared" si="13"/>
        <v>5.276709002354539E-2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614</v>
      </c>
      <c r="C130" s="379">
        <f>IF(C121=0,0,C128/C121)</f>
        <v>4.9275318374772592</v>
      </c>
      <c r="D130" s="379">
        <f>IF(LN_ID4=0,0,LN_ID11/LN_ID4)</f>
        <v>5.2561287027579162</v>
      </c>
      <c r="E130" s="379">
        <f t="shared" si="12"/>
        <v>0.32859686528065701</v>
      </c>
      <c r="F130" s="362">
        <f t="shared" si="13"/>
        <v>6.6685893895489928E-2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653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616</v>
      </c>
      <c r="C133" s="361">
        <v>69242075</v>
      </c>
      <c r="D133" s="361">
        <v>105210148</v>
      </c>
      <c r="E133" s="361">
        <f t="shared" ref="E133:E141" si="14">D133-C133</f>
        <v>35968073</v>
      </c>
      <c r="F133" s="362">
        <f t="shared" ref="F133:F141" si="15">IF(C133=0,0,E133/C133)</f>
        <v>0.51945400249775875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617</v>
      </c>
      <c r="C134" s="361">
        <v>15724591</v>
      </c>
      <c r="D134" s="361">
        <v>27099789</v>
      </c>
      <c r="E134" s="361">
        <f t="shared" si="14"/>
        <v>11375198</v>
      </c>
      <c r="F134" s="362">
        <f t="shared" si="15"/>
        <v>0.72340183601595742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618</v>
      </c>
      <c r="C135" s="366">
        <f>IF(C133=0,0,C134/C133)</f>
        <v>0.22709589508979908</v>
      </c>
      <c r="D135" s="366">
        <f>IF(LN_ID14=0,0,LN_ID15/LN_ID14)</f>
        <v>0.25757771008933472</v>
      </c>
      <c r="E135" s="367">
        <f t="shared" si="14"/>
        <v>3.0481814999535645E-2</v>
      </c>
      <c r="F135" s="362">
        <f t="shared" si="15"/>
        <v>0.13422442086627068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619</v>
      </c>
      <c r="C136" s="366">
        <f>IF(C118=0,0,C133/C118)</f>
        <v>0.82584673738592396</v>
      </c>
      <c r="D136" s="366">
        <f>IF(LN_ID1=0,0,LN_ID14/LN_ID1)</f>
        <v>0.87422536313248012</v>
      </c>
      <c r="E136" s="367">
        <f t="shared" si="14"/>
        <v>4.8378625746556159E-2</v>
      </c>
      <c r="F136" s="362">
        <f t="shared" si="15"/>
        <v>5.8580634343474422E-2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620</v>
      </c>
      <c r="C137" s="376">
        <f>C136*C121</f>
        <v>2723.6425398987772</v>
      </c>
      <c r="D137" s="376">
        <f>LN_ID17*LN_ID4</f>
        <v>3423.4665220267921</v>
      </c>
      <c r="E137" s="376">
        <f t="shared" si="14"/>
        <v>699.8239821280149</v>
      </c>
      <c r="F137" s="362">
        <f t="shared" si="15"/>
        <v>0.25694413707975922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621</v>
      </c>
      <c r="C138" s="378">
        <f>IF(C137=0,0,C134/C137)</f>
        <v>5773.3681162816601</v>
      </c>
      <c r="D138" s="378">
        <f>IF(LN_ID18=0,0,LN_ID15/LN_ID18)</f>
        <v>7915.8913416089536</v>
      </c>
      <c r="E138" s="378">
        <f t="shared" si="14"/>
        <v>2142.5232253272934</v>
      </c>
      <c r="F138" s="362">
        <f t="shared" si="15"/>
        <v>0.37110455840934431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654</v>
      </c>
      <c r="C139" s="378">
        <f>C61-C138</f>
        <v>9276.3443933348753</v>
      </c>
      <c r="D139" s="378">
        <f>LN_IB18-LN_ID19</f>
        <v>8202.3852350503039</v>
      </c>
      <c r="E139" s="378">
        <f t="shared" si="14"/>
        <v>-1073.9591582845715</v>
      </c>
      <c r="F139" s="362">
        <f t="shared" si="15"/>
        <v>-0.11577396361612224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655</v>
      </c>
      <c r="C140" s="378">
        <f>C32-C138</f>
        <v>6439.3145359333075</v>
      </c>
      <c r="D140" s="378">
        <f>LN_IA16-LN_ID19</f>
        <v>5626.9572492188863</v>
      </c>
      <c r="E140" s="378">
        <f t="shared" si="14"/>
        <v>-812.35728671442121</v>
      </c>
      <c r="F140" s="362">
        <f t="shared" si="15"/>
        <v>-0.1261558636685976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632</v>
      </c>
      <c r="C141" s="353">
        <f>C140*C137</f>
        <v>17538390.997856509</v>
      </c>
      <c r="D141" s="353">
        <f>LN_ID21*LN_ID18</f>
        <v>19263699.763576824</v>
      </c>
      <c r="E141" s="353">
        <f t="shared" si="14"/>
        <v>1725308.7657203153</v>
      </c>
      <c r="F141" s="362">
        <f t="shared" si="15"/>
        <v>9.8373263883281964E-2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656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623</v>
      </c>
      <c r="C144" s="361">
        <f>C118+C133</f>
        <v>153085810</v>
      </c>
      <c r="D144" s="361">
        <f>LN_ID1+LN_ID14</f>
        <v>225556860</v>
      </c>
      <c r="E144" s="361">
        <f>D144-C144</f>
        <v>72471050</v>
      </c>
      <c r="F144" s="362">
        <f>IF(C144=0,0,E144/C144)</f>
        <v>0.47340148639511398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624</v>
      </c>
      <c r="C145" s="361">
        <f>C119+C134</f>
        <v>37701156</v>
      </c>
      <c r="D145" s="361">
        <f>LN_1D2+LN_ID15</f>
        <v>56403370</v>
      </c>
      <c r="E145" s="361">
        <f>D145-C145</f>
        <v>18702214</v>
      </c>
      <c r="F145" s="362">
        <f>IF(C145=0,0,E145/C145)</f>
        <v>0.49606473605212531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625</v>
      </c>
      <c r="C146" s="361">
        <f>C144-C145</f>
        <v>115384654</v>
      </c>
      <c r="D146" s="361">
        <f>LN_ID23-LN_ID24</f>
        <v>169153490</v>
      </c>
      <c r="E146" s="361">
        <f>D146-C146</f>
        <v>53768836</v>
      </c>
      <c r="F146" s="362">
        <f>IF(C146=0,0,E146/C146)</f>
        <v>0.46599642271319719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634</v>
      </c>
      <c r="C148" s="361">
        <f>C127+C141</f>
        <v>23131720.640580676</v>
      </c>
      <c r="D148" s="361">
        <f>LN_ID10+LN_ID22</f>
        <v>26212219.944852501</v>
      </c>
      <c r="E148" s="361">
        <f>D148-C148</f>
        <v>3080499.3042718247</v>
      </c>
      <c r="F148" s="415">
        <f>IF(C148=0,0,E148/C148)</f>
        <v>0.13317207795029357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657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658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607</v>
      </c>
      <c r="C153" s="361">
        <v>11294901</v>
      </c>
      <c r="D153" s="361">
        <v>0</v>
      </c>
      <c r="E153" s="361">
        <f t="shared" ref="E153:E165" si="16">D153-C153</f>
        <v>-11294901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608</v>
      </c>
      <c r="C154" s="361">
        <v>1186247</v>
      </c>
      <c r="D154" s="361">
        <v>0</v>
      </c>
      <c r="E154" s="361">
        <f t="shared" si="16"/>
        <v>-1186247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609</v>
      </c>
      <c r="C155" s="366">
        <f>IF(C153=0,0,C154/C153)</f>
        <v>0.10502500198983594</v>
      </c>
      <c r="D155" s="366">
        <f>IF(LN_IE1=0,0,LN_IE2/LN_IE1)</f>
        <v>0</v>
      </c>
      <c r="E155" s="367">
        <f t="shared" si="16"/>
        <v>-0.10502500198983594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413</v>
      </c>
      <c r="D156" s="419">
        <v>0</v>
      </c>
      <c r="E156" s="419">
        <f t="shared" si="16"/>
        <v>-413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610</v>
      </c>
      <c r="C157" s="372">
        <v>1.1869000000000001</v>
      </c>
      <c r="D157" s="372">
        <v>0</v>
      </c>
      <c r="E157" s="373">
        <f t="shared" si="16"/>
        <v>-1.1869000000000001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611</v>
      </c>
      <c r="C158" s="376">
        <f>C156*C157</f>
        <v>490.18970000000002</v>
      </c>
      <c r="D158" s="376">
        <f>LN_IE4*LN_IE5</f>
        <v>0</v>
      </c>
      <c r="E158" s="376">
        <f t="shared" si="16"/>
        <v>-490.18970000000002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612</v>
      </c>
      <c r="C159" s="378">
        <f>IF(C158=0,0,C154/C158)</f>
        <v>2419.9753687194975</v>
      </c>
      <c r="D159" s="378">
        <f>IF(LN_IE6=0,0,LN_IE2/LN_IE6)</f>
        <v>0</v>
      </c>
      <c r="E159" s="378">
        <f t="shared" si="16"/>
        <v>-2419.9753687194975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659</v>
      </c>
      <c r="C160" s="378">
        <f>C48-C159</f>
        <v>7847.5114802047792</v>
      </c>
      <c r="D160" s="378">
        <f>LN_IB7-LN_IE7</f>
        <v>10946.058104459044</v>
      </c>
      <c r="E160" s="378">
        <f t="shared" si="16"/>
        <v>3098.5466242542643</v>
      </c>
      <c r="F160" s="362">
        <f t="shared" si="17"/>
        <v>0.39484448440378817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660</v>
      </c>
      <c r="C161" s="378">
        <f>C21-C159</f>
        <v>6266.2049515041017</v>
      </c>
      <c r="D161" s="378">
        <f>LN_IA7-LN_IE7</f>
        <v>8711.7286698671414</v>
      </c>
      <c r="E161" s="378">
        <f t="shared" si="16"/>
        <v>2445.5237183630397</v>
      </c>
      <c r="F161" s="362">
        <f t="shared" si="17"/>
        <v>0.39027190098147541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629</v>
      </c>
      <c r="C162" s="391">
        <f>C161*C158</f>
        <v>3071629.1253163102</v>
      </c>
      <c r="D162" s="391">
        <f>LN_IE9*LN_IE6</f>
        <v>0</v>
      </c>
      <c r="E162" s="391">
        <f t="shared" si="16"/>
        <v>-3071629.1253163102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1804</v>
      </c>
      <c r="D163" s="369">
        <v>0</v>
      </c>
      <c r="E163" s="419">
        <f t="shared" si="16"/>
        <v>-1804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613</v>
      </c>
      <c r="C164" s="378">
        <f>IF(C163=0,0,C154/C163)</f>
        <v>657.56485587583154</v>
      </c>
      <c r="D164" s="378">
        <f>IF(LN_IE11=0,0,LN_IE2/LN_IE11)</f>
        <v>0</v>
      </c>
      <c r="E164" s="378">
        <f t="shared" si="16"/>
        <v>-657.56485587583154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614</v>
      </c>
      <c r="C165" s="379">
        <f>IF(C156=0,0,C163/C156)</f>
        <v>4.3680387409200971</v>
      </c>
      <c r="D165" s="379">
        <f>IF(LN_IE4=0,0,LN_IE11/LN_IE4)</f>
        <v>0</v>
      </c>
      <c r="E165" s="379">
        <f t="shared" si="16"/>
        <v>-4.3680387409200971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661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616</v>
      </c>
      <c r="C168" s="424">
        <v>14024395</v>
      </c>
      <c r="D168" s="424">
        <v>0</v>
      </c>
      <c r="E168" s="424">
        <f t="shared" ref="E168:E176" si="18">D168-C168</f>
        <v>-14024395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617</v>
      </c>
      <c r="C169" s="424">
        <v>2086830</v>
      </c>
      <c r="D169" s="424">
        <v>0</v>
      </c>
      <c r="E169" s="424">
        <f t="shared" si="18"/>
        <v>-2086830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618</v>
      </c>
      <c r="C170" s="366">
        <f>IF(C168=0,0,C169/C168)</f>
        <v>0.14880000171130378</v>
      </c>
      <c r="D170" s="366">
        <f>IF(LN_IE14=0,0,LN_IE15/LN_IE14)</f>
        <v>0</v>
      </c>
      <c r="E170" s="367">
        <f t="shared" si="18"/>
        <v>-0.14880000171130378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619</v>
      </c>
      <c r="C171" s="366">
        <f>IF(C153=0,0,C168/C153)</f>
        <v>1.2416571867252311</v>
      </c>
      <c r="D171" s="366">
        <f>IF(LN_IE1=0,0,LN_IE14/LN_IE1)</f>
        <v>0</v>
      </c>
      <c r="E171" s="367">
        <f t="shared" si="18"/>
        <v>-1.2416571867252311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620</v>
      </c>
      <c r="C172" s="376">
        <f>C171*C156</f>
        <v>512.80441811752041</v>
      </c>
      <c r="D172" s="376">
        <f>LN_IE17*LN_IE4</f>
        <v>0</v>
      </c>
      <c r="E172" s="376">
        <f t="shared" si="18"/>
        <v>-512.80441811752041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621</v>
      </c>
      <c r="C173" s="378">
        <f>IF(C172=0,0,C169/C172)</f>
        <v>4069.4462182300408</v>
      </c>
      <c r="D173" s="378">
        <f>IF(LN_IE18=0,0,LN_IE15/LN_IE18)</f>
        <v>0</v>
      </c>
      <c r="E173" s="378">
        <f t="shared" si="18"/>
        <v>-4069.4462182300408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662</v>
      </c>
      <c r="C174" s="378">
        <f>C61-C173</f>
        <v>10980.266291386495</v>
      </c>
      <c r="D174" s="378">
        <f>LN_IB18-LN_IE19</f>
        <v>16118.276576659257</v>
      </c>
      <c r="E174" s="378">
        <f t="shared" si="18"/>
        <v>5138.0102852727614</v>
      </c>
      <c r="F174" s="362">
        <f t="shared" si="19"/>
        <v>0.46793130047340381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663</v>
      </c>
      <c r="C175" s="378">
        <f>C32-C173</f>
        <v>8143.2364339849264</v>
      </c>
      <c r="D175" s="378">
        <f>LN_IA16-LN_IE19</f>
        <v>13542.84859082784</v>
      </c>
      <c r="E175" s="378">
        <f t="shared" si="18"/>
        <v>5399.6121568429135</v>
      </c>
      <c r="F175" s="362">
        <f t="shared" si="19"/>
        <v>0.66307937889512936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632</v>
      </c>
      <c r="C176" s="353">
        <f>C175*C172</f>
        <v>4175887.6211230322</v>
      </c>
      <c r="D176" s="353">
        <f>LN_IE21*LN_IE18</f>
        <v>0</v>
      </c>
      <c r="E176" s="353">
        <f t="shared" si="18"/>
        <v>-4175887.6211230322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664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623</v>
      </c>
      <c r="C179" s="361">
        <f>C153+C168</f>
        <v>25319296</v>
      </c>
      <c r="D179" s="361">
        <f>LN_IE1+LN_IE14</f>
        <v>0</v>
      </c>
      <c r="E179" s="361">
        <f>D179-C179</f>
        <v>-25319296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624</v>
      </c>
      <c r="C180" s="361">
        <f>C154+C169</f>
        <v>3273077</v>
      </c>
      <c r="D180" s="361">
        <f>LN_IE15+LN_IE2</f>
        <v>0</v>
      </c>
      <c r="E180" s="361">
        <f>D180-C180</f>
        <v>-3273077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625</v>
      </c>
      <c r="C181" s="361">
        <f>C179-C180</f>
        <v>22046219</v>
      </c>
      <c r="D181" s="361">
        <f>LN_IE23-LN_IE24</f>
        <v>0</v>
      </c>
      <c r="E181" s="361">
        <f>D181-C181</f>
        <v>-22046219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665</v>
      </c>
      <c r="C183" s="361">
        <f>C162+C176</f>
        <v>7247516.7464393424</v>
      </c>
      <c r="D183" s="361">
        <f>LN_IE10+LN_IE22</f>
        <v>0</v>
      </c>
      <c r="E183" s="353">
        <f>D183-C183</f>
        <v>-7247516.7464393424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666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667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607</v>
      </c>
      <c r="C188" s="361">
        <f>C118+C153</f>
        <v>95138636</v>
      </c>
      <c r="D188" s="361">
        <f>LN_ID1+LN_IE1</f>
        <v>120346712</v>
      </c>
      <c r="E188" s="361">
        <f t="shared" ref="E188:E200" si="20">D188-C188</f>
        <v>25208076</v>
      </c>
      <c r="F188" s="362">
        <f t="shared" ref="F188:F200" si="21">IF(C188=0,0,E188/C188)</f>
        <v>0.26496150312686845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608</v>
      </c>
      <c r="C189" s="361">
        <f>C119+C154</f>
        <v>23162812</v>
      </c>
      <c r="D189" s="361">
        <f>LN_1D2+LN_IE2</f>
        <v>29303581</v>
      </c>
      <c r="E189" s="361">
        <f t="shared" si="20"/>
        <v>6140769</v>
      </c>
      <c r="F189" s="362">
        <f t="shared" si="21"/>
        <v>0.26511327726529921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609</v>
      </c>
      <c r="C190" s="366">
        <f>IF(C188=0,0,C189/C188)</f>
        <v>0.24346378058226523</v>
      </c>
      <c r="D190" s="366">
        <f>IF(LN_IF1=0,0,LN_IF2/LN_IF1)</f>
        <v>0.24349299214755449</v>
      </c>
      <c r="E190" s="367">
        <f t="shared" si="20"/>
        <v>2.9211565289261054E-5</v>
      </c>
      <c r="F190" s="362">
        <f t="shared" si="21"/>
        <v>1.1998320743807973E-4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3711</v>
      </c>
      <c r="D191" s="369">
        <f>LN_ID4+LN_IE4</f>
        <v>3916</v>
      </c>
      <c r="E191" s="369">
        <f t="shared" si="20"/>
        <v>205</v>
      </c>
      <c r="F191" s="362">
        <f t="shared" si="21"/>
        <v>5.5241174885475613E-2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610</v>
      </c>
      <c r="C192" s="372">
        <f>IF((C121+C156)=0,0,(C123+C158)/(C121+C156))</f>
        <v>0.98738477499326327</v>
      </c>
      <c r="D192" s="372">
        <f>IF((LN_ID4+LN_IE4)=0,0,(LN_ID6+LN_IE6)/(LN_ID4+LN_IE4))</f>
        <v>1.06264</v>
      </c>
      <c r="E192" s="373">
        <f t="shared" si="20"/>
        <v>7.5255225006736759E-2</v>
      </c>
      <c r="F192" s="362">
        <f t="shared" si="21"/>
        <v>7.6216716028713535E-2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611</v>
      </c>
      <c r="C193" s="376">
        <f>C123+C158</f>
        <v>3664.1849000000002</v>
      </c>
      <c r="D193" s="376">
        <f>LN_IF4*LN_IF5</f>
        <v>4161.2982400000001</v>
      </c>
      <c r="E193" s="376">
        <f t="shared" si="20"/>
        <v>497.11333999999988</v>
      </c>
      <c r="F193" s="362">
        <f t="shared" si="21"/>
        <v>0.13566819185352788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612</v>
      </c>
      <c r="C194" s="378">
        <f>IF(C193=0,0,C189/C193)</f>
        <v>6321.4091625125138</v>
      </c>
      <c r="D194" s="378">
        <f>IF(LN_IF6=0,0,LN_IF2/LN_IF6)</f>
        <v>7041.9324234736896</v>
      </c>
      <c r="E194" s="378">
        <f t="shared" si="20"/>
        <v>720.52326096117577</v>
      </c>
      <c r="F194" s="362">
        <f t="shared" si="21"/>
        <v>0.11398143079142117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668</v>
      </c>
      <c r="C195" s="378">
        <f>C48-C194</f>
        <v>3946.0776864117624</v>
      </c>
      <c r="D195" s="378">
        <f>LN_IB7-LN_IF7</f>
        <v>3904.1256809853539</v>
      </c>
      <c r="E195" s="378">
        <f t="shared" si="20"/>
        <v>-41.952005426408505</v>
      </c>
      <c r="F195" s="362">
        <f t="shared" si="21"/>
        <v>-1.0631317667888135E-2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669</v>
      </c>
      <c r="C196" s="378">
        <f>C21-C194</f>
        <v>2364.7711577110849</v>
      </c>
      <c r="D196" s="378">
        <f>LN_IA7-LN_IF7</f>
        <v>1669.7962463934518</v>
      </c>
      <c r="E196" s="378">
        <f t="shared" si="20"/>
        <v>-694.97491131763309</v>
      </c>
      <c r="F196" s="362">
        <f t="shared" si="21"/>
        <v>-0.2938867505430483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629</v>
      </c>
      <c r="C197" s="391">
        <f>C127+C162</f>
        <v>8664958.7680404782</v>
      </c>
      <c r="D197" s="391">
        <f>LN_IF9*LN_IF6</f>
        <v>6948520.1812756779</v>
      </c>
      <c r="E197" s="391">
        <f t="shared" si="20"/>
        <v>-1716438.5867648004</v>
      </c>
      <c r="F197" s="362">
        <f t="shared" si="21"/>
        <v>-0.19808964274540469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18055</v>
      </c>
      <c r="D198" s="369">
        <f>LN_ID11+LN_IE11</f>
        <v>20583</v>
      </c>
      <c r="E198" s="369">
        <f t="shared" si="20"/>
        <v>2528</v>
      </c>
      <c r="F198" s="362">
        <f t="shared" si="21"/>
        <v>0.14001661589587372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613</v>
      </c>
      <c r="C199" s="432">
        <f>IF(C198=0,0,C189/C198)</f>
        <v>1282.9029077817779</v>
      </c>
      <c r="D199" s="432">
        <f>IF(LN_IF11=0,0,LN_IF2/LN_IF11)</f>
        <v>1423.6788126123499</v>
      </c>
      <c r="E199" s="432">
        <f t="shared" si="20"/>
        <v>140.77590483057202</v>
      </c>
      <c r="F199" s="362">
        <f t="shared" si="21"/>
        <v>0.10973231409536881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614</v>
      </c>
      <c r="C200" s="379">
        <f>IF(C191=0,0,C198/C191)</f>
        <v>4.8652654271085964</v>
      </c>
      <c r="D200" s="379">
        <f>IF(LN_IF4=0,0,LN_IF11/LN_IF4)</f>
        <v>5.2561287027579162</v>
      </c>
      <c r="E200" s="379">
        <f t="shared" si="20"/>
        <v>0.39086327564931977</v>
      </c>
      <c r="F200" s="362">
        <f t="shared" si="21"/>
        <v>8.0337502959547252E-2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670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616</v>
      </c>
      <c r="C203" s="361">
        <f>C133+C168</f>
        <v>83266470</v>
      </c>
      <c r="D203" s="361">
        <f>LN_ID14+LN_IE14</f>
        <v>105210148</v>
      </c>
      <c r="E203" s="361">
        <f t="shared" ref="E203:E211" si="22">D203-C203</f>
        <v>21943678</v>
      </c>
      <c r="F203" s="362">
        <f t="shared" ref="F203:F211" si="23">IF(C203=0,0,E203/C203)</f>
        <v>0.26353558641311442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617</v>
      </c>
      <c r="C204" s="361">
        <f>C134+C169</f>
        <v>17811421</v>
      </c>
      <c r="D204" s="361">
        <f>LN_ID15+LN_IE15</f>
        <v>27099789</v>
      </c>
      <c r="E204" s="361">
        <f t="shared" si="22"/>
        <v>9288368</v>
      </c>
      <c r="F204" s="362">
        <f t="shared" si="23"/>
        <v>0.52148382770807566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618</v>
      </c>
      <c r="C205" s="366">
        <f>IF(C203=0,0,C204/C203)</f>
        <v>0.2139086837715109</v>
      </c>
      <c r="D205" s="366">
        <f>IF(LN_IF14=0,0,LN_IF15/LN_IF14)</f>
        <v>0.25757771008933472</v>
      </c>
      <c r="E205" s="367">
        <f t="shared" si="22"/>
        <v>4.3669026317823822E-2</v>
      </c>
      <c r="F205" s="362">
        <f t="shared" si="23"/>
        <v>0.20414798290502975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619</v>
      </c>
      <c r="C206" s="366">
        <f>IF(C188=0,0,C203/C188)</f>
        <v>0.87521193808160125</v>
      </c>
      <c r="D206" s="366">
        <f>IF(LN_IF1=0,0,LN_IF14/LN_IF1)</f>
        <v>0.87422536313248012</v>
      </c>
      <c r="E206" s="367">
        <f t="shared" si="22"/>
        <v>-9.8657494912113286E-4</v>
      </c>
      <c r="F206" s="362">
        <f t="shared" si="23"/>
        <v>-1.127241192897381E-3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620</v>
      </c>
      <c r="C207" s="376">
        <f>C137+C172</f>
        <v>3236.4469580162977</v>
      </c>
      <c r="D207" s="376">
        <f>LN_ID18+LN_IE18</f>
        <v>3423.4665220267921</v>
      </c>
      <c r="E207" s="376">
        <f t="shared" si="22"/>
        <v>187.01956401049438</v>
      </c>
      <c r="F207" s="362">
        <f t="shared" si="23"/>
        <v>5.7785456222994469E-2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621</v>
      </c>
      <c r="C208" s="378">
        <f>IF(C207=0,0,C204/C207)</f>
        <v>5503.3872734676552</v>
      </c>
      <c r="D208" s="378">
        <f>IF(LN_IF18=0,0,LN_IF15/LN_IF18)</f>
        <v>7915.8913416089536</v>
      </c>
      <c r="E208" s="378">
        <f t="shared" si="22"/>
        <v>2412.5040681412984</v>
      </c>
      <c r="F208" s="362">
        <f t="shared" si="23"/>
        <v>0.43836712705504227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671</v>
      </c>
      <c r="C209" s="378">
        <f>C61-C208</f>
        <v>9546.3252361488812</v>
      </c>
      <c r="D209" s="378">
        <f>LN_IB18-LN_IF19</f>
        <v>8202.3852350503039</v>
      </c>
      <c r="E209" s="378">
        <f t="shared" si="22"/>
        <v>-1343.9400010985773</v>
      </c>
      <c r="F209" s="362">
        <f t="shared" si="23"/>
        <v>-0.14078087304311676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672</v>
      </c>
      <c r="C210" s="378">
        <f>C32-C208</f>
        <v>6709.2953787473125</v>
      </c>
      <c r="D210" s="378">
        <f>LN_IA16-LN_IF19</f>
        <v>5626.9572492188863</v>
      </c>
      <c r="E210" s="378">
        <f t="shared" si="22"/>
        <v>-1082.3381295284262</v>
      </c>
      <c r="F210" s="362">
        <f t="shared" si="23"/>
        <v>-0.1613191950017423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632</v>
      </c>
      <c r="C211" s="391">
        <f>C141+C176</f>
        <v>21714278.61897954</v>
      </c>
      <c r="D211" s="353">
        <f>LN_IF21*LN_IF18</f>
        <v>19263699.763576824</v>
      </c>
      <c r="E211" s="353">
        <f t="shared" si="22"/>
        <v>-2450578.8554027155</v>
      </c>
      <c r="F211" s="362">
        <f t="shared" si="23"/>
        <v>-0.11285564205944965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673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623</v>
      </c>
      <c r="C214" s="361">
        <f>C188+C203</f>
        <v>178405106</v>
      </c>
      <c r="D214" s="361">
        <f>LN_IF1+LN_IF14</f>
        <v>225556860</v>
      </c>
      <c r="E214" s="361">
        <f>D214-C214</f>
        <v>47151754</v>
      </c>
      <c r="F214" s="362">
        <f>IF(C214=0,0,E214/C214)</f>
        <v>0.26429598937599913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624</v>
      </c>
      <c r="C215" s="361">
        <f>C189+C204</f>
        <v>40974233</v>
      </c>
      <c r="D215" s="361">
        <f>LN_IF2+LN_IF15</f>
        <v>56403370</v>
      </c>
      <c r="E215" s="361">
        <f>D215-C215</f>
        <v>15429137</v>
      </c>
      <c r="F215" s="362">
        <f>IF(C215=0,0,E215/C215)</f>
        <v>0.37655706697426161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625</v>
      </c>
      <c r="C216" s="361">
        <f>C214-C215</f>
        <v>137430873</v>
      </c>
      <c r="D216" s="361">
        <f>LN_IF23-LN_IF24</f>
        <v>169153490</v>
      </c>
      <c r="E216" s="361">
        <f>D216-C216</f>
        <v>31722617</v>
      </c>
      <c r="F216" s="362">
        <f>IF(C216=0,0,E216/C216)</f>
        <v>0.23082598769491919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674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675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607</v>
      </c>
      <c r="C221" s="361">
        <v>507308</v>
      </c>
      <c r="D221" s="361">
        <v>1253955</v>
      </c>
      <c r="E221" s="361">
        <f t="shared" ref="E221:E230" si="24">D221-C221</f>
        <v>746647</v>
      </c>
      <c r="F221" s="362">
        <f t="shared" ref="F221:F230" si="25">IF(C221=0,0,E221/C221)</f>
        <v>1.4717824280318859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608</v>
      </c>
      <c r="C222" s="361">
        <v>176650</v>
      </c>
      <c r="D222" s="361">
        <v>400680</v>
      </c>
      <c r="E222" s="361">
        <f t="shared" si="24"/>
        <v>224030</v>
      </c>
      <c r="F222" s="362">
        <f t="shared" si="25"/>
        <v>1.2682139824511747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609</v>
      </c>
      <c r="C223" s="366">
        <f>IF(C221=0,0,C222/C221)</f>
        <v>0.34821055453491767</v>
      </c>
      <c r="D223" s="366">
        <f>IF(LN_IG1=0,0,LN_IG2/LN_IG1)</f>
        <v>0.31953299759560749</v>
      </c>
      <c r="E223" s="367">
        <f t="shared" si="24"/>
        <v>-2.8677556939310178E-2</v>
      </c>
      <c r="F223" s="362">
        <f t="shared" si="25"/>
        <v>-8.2356943423535611E-2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34</v>
      </c>
      <c r="D224" s="369">
        <v>38</v>
      </c>
      <c r="E224" s="369">
        <f t="shared" si="24"/>
        <v>4</v>
      </c>
      <c r="F224" s="362">
        <f t="shared" si="25"/>
        <v>0.11764705882352941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610</v>
      </c>
      <c r="C225" s="372">
        <v>0.87529999999999997</v>
      </c>
      <c r="D225" s="372">
        <v>1.15724</v>
      </c>
      <c r="E225" s="373">
        <f t="shared" si="24"/>
        <v>0.28194000000000008</v>
      </c>
      <c r="F225" s="362">
        <f t="shared" si="25"/>
        <v>0.32210670627213539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611</v>
      </c>
      <c r="C226" s="376">
        <f>C224*C225</f>
        <v>29.760199999999998</v>
      </c>
      <c r="D226" s="376">
        <f>LN_IG3*LN_IG4</f>
        <v>43.975120000000004</v>
      </c>
      <c r="E226" s="376">
        <f t="shared" si="24"/>
        <v>14.214920000000006</v>
      </c>
      <c r="F226" s="362">
        <f t="shared" si="25"/>
        <v>0.47764867171591613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612</v>
      </c>
      <c r="C227" s="378">
        <f>IF(C226=0,0,C222/C226)</f>
        <v>5935.7800014784852</v>
      </c>
      <c r="D227" s="378">
        <f>IF(LN_IG5=0,0,LN_IG2/LN_IG5)</f>
        <v>9111.5157843798934</v>
      </c>
      <c r="E227" s="378">
        <f t="shared" si="24"/>
        <v>3175.7357829014081</v>
      </c>
      <c r="F227" s="362">
        <f t="shared" si="25"/>
        <v>0.5350157489176478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83</v>
      </c>
      <c r="D228" s="369">
        <v>228</v>
      </c>
      <c r="E228" s="369">
        <f t="shared" si="24"/>
        <v>145</v>
      </c>
      <c r="F228" s="362">
        <f t="shared" si="25"/>
        <v>1.7469879518072289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613</v>
      </c>
      <c r="C229" s="378">
        <f>IF(C228=0,0,C222/C228)</f>
        <v>2128.3132530120483</v>
      </c>
      <c r="D229" s="378">
        <f>IF(LN_IG6=0,0,LN_IG2/LN_IG6)</f>
        <v>1757.3684210526317</v>
      </c>
      <c r="E229" s="378">
        <f t="shared" si="24"/>
        <v>-370.94483195941666</v>
      </c>
      <c r="F229" s="362">
        <f t="shared" si="25"/>
        <v>-0.17429052393224784</v>
      </c>
      <c r="Q229" s="330"/>
      <c r="U229" s="375"/>
    </row>
    <row r="230" spans="1:21" ht="11.25" customHeight="1" x14ac:dyDescent="0.2">
      <c r="A230" s="364">
        <v>10</v>
      </c>
      <c r="B230" s="360" t="s">
        <v>614</v>
      </c>
      <c r="C230" s="379">
        <f>IF(C224=0,0,C228/C224)</f>
        <v>2.4411764705882355</v>
      </c>
      <c r="D230" s="379">
        <f>IF(LN_IG3=0,0,LN_IG6/LN_IG3)</f>
        <v>6</v>
      </c>
      <c r="E230" s="379">
        <f t="shared" si="24"/>
        <v>3.5588235294117645</v>
      </c>
      <c r="F230" s="362">
        <f t="shared" si="25"/>
        <v>1.4578313253012045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676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616</v>
      </c>
      <c r="C233" s="361">
        <v>813848</v>
      </c>
      <c r="D233" s="361">
        <v>772227</v>
      </c>
      <c r="E233" s="361">
        <f>D233-C233</f>
        <v>-41621</v>
      </c>
      <c r="F233" s="362">
        <f>IF(C233=0,0,E233/C233)</f>
        <v>-5.1140999302080978E-2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617</v>
      </c>
      <c r="C234" s="361">
        <v>213179</v>
      </c>
      <c r="D234" s="361">
        <v>151798</v>
      </c>
      <c r="E234" s="361">
        <f>D234-C234</f>
        <v>-61381</v>
      </c>
      <c r="F234" s="362">
        <f>IF(C234=0,0,E234/C234)</f>
        <v>-0.28793173811679384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677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623</v>
      </c>
      <c r="C237" s="361">
        <f>C221+C233</f>
        <v>1321156</v>
      </c>
      <c r="D237" s="361">
        <f>LN_IG1+LN_IG9</f>
        <v>2026182</v>
      </c>
      <c r="E237" s="361">
        <f>D237-C237</f>
        <v>705026</v>
      </c>
      <c r="F237" s="362">
        <f>IF(C237=0,0,E237/C237)</f>
        <v>0.53364326392946781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624</v>
      </c>
      <c r="C238" s="361">
        <f>C222+C234</f>
        <v>389829</v>
      </c>
      <c r="D238" s="361">
        <f>LN_IG2+LN_IG10</f>
        <v>552478</v>
      </c>
      <c r="E238" s="361">
        <f>D238-C238</f>
        <v>162649</v>
      </c>
      <c r="F238" s="362">
        <f>IF(C238=0,0,E238/C238)</f>
        <v>0.4172316579833722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625</v>
      </c>
      <c r="C239" s="361">
        <f>C237-C238</f>
        <v>931327</v>
      </c>
      <c r="D239" s="361">
        <f>LN_IG13-LN_IG14</f>
        <v>1473704</v>
      </c>
      <c r="E239" s="361">
        <f>D239-C239</f>
        <v>542377</v>
      </c>
      <c r="F239" s="362">
        <f>IF(C239=0,0,E239/C239)</f>
        <v>0.58237010201572592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678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679</v>
      </c>
      <c r="C243" s="361">
        <v>20294147</v>
      </c>
      <c r="D243" s="361">
        <v>23533832</v>
      </c>
      <c r="E243" s="353">
        <f>D243-C243</f>
        <v>3239685</v>
      </c>
      <c r="F243" s="415">
        <f>IF(C243=0,0,E243/C243)</f>
        <v>0.15963642127949501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680</v>
      </c>
      <c r="C244" s="361">
        <v>491472461</v>
      </c>
      <c r="D244" s="361">
        <v>498321475</v>
      </c>
      <c r="E244" s="353">
        <f>D244-C244</f>
        <v>6849014</v>
      </c>
      <c r="F244" s="415">
        <f>IF(C244=0,0,E244/C244)</f>
        <v>1.3935702493002959E-2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681</v>
      </c>
      <c r="C245" s="400">
        <v>2132962</v>
      </c>
      <c r="D245" s="400">
        <v>0</v>
      </c>
      <c r="E245" s="400">
        <f>D245-C245</f>
        <v>-2132962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682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683</v>
      </c>
      <c r="C248" s="353">
        <v>5390523</v>
      </c>
      <c r="D248" s="353">
        <v>5784587</v>
      </c>
      <c r="E248" s="353">
        <f>D248-C248</f>
        <v>394064</v>
      </c>
      <c r="F248" s="362">
        <f>IF(C248=0,0,E248/C248)</f>
        <v>7.3103110774223573E-2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684</v>
      </c>
      <c r="C249" s="353">
        <v>24670997</v>
      </c>
      <c r="D249" s="353">
        <v>22840000</v>
      </c>
      <c r="E249" s="353">
        <f>D249-C249</f>
        <v>-1830997</v>
      </c>
      <c r="F249" s="362">
        <f>IF(C249=0,0,E249/C249)</f>
        <v>-7.42165790867714E-2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685</v>
      </c>
      <c r="C250" s="353">
        <f>C248+C249</f>
        <v>30061520</v>
      </c>
      <c r="D250" s="353">
        <f>LN_IH4+LN_IH5</f>
        <v>28624587</v>
      </c>
      <c r="E250" s="353">
        <f>D250-C250</f>
        <v>-1436933</v>
      </c>
      <c r="F250" s="362">
        <f>IF(C250=0,0,E250/C250)</f>
        <v>-4.7799745322259155E-2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686</v>
      </c>
      <c r="C251" s="353">
        <f>C250*C313</f>
        <v>10481626.693397664</v>
      </c>
      <c r="D251" s="353">
        <f>LN_IH6*LN_III10</f>
        <v>9572821.3569473885</v>
      </c>
      <c r="E251" s="353">
        <f>D251-C251</f>
        <v>-908805.33645027503</v>
      </c>
      <c r="F251" s="362">
        <f>IF(C251=0,0,E251/C251)</f>
        <v>-8.6704608266837818E-2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687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623</v>
      </c>
      <c r="C254" s="353">
        <f>C188+C203</f>
        <v>178405106</v>
      </c>
      <c r="D254" s="353">
        <f>LN_IF23</f>
        <v>225556860</v>
      </c>
      <c r="E254" s="353">
        <f>D254-C254</f>
        <v>47151754</v>
      </c>
      <c r="F254" s="362">
        <f>IF(C254=0,0,E254/C254)</f>
        <v>0.26429598937599913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624</v>
      </c>
      <c r="C255" s="353">
        <f>C189+C204</f>
        <v>40974233</v>
      </c>
      <c r="D255" s="353">
        <f>LN_IF24</f>
        <v>56403370</v>
      </c>
      <c r="E255" s="353">
        <f>D255-C255</f>
        <v>15429137</v>
      </c>
      <c r="F255" s="362">
        <f>IF(C255=0,0,E255/C255)</f>
        <v>0.37655706697426161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688</v>
      </c>
      <c r="C256" s="353">
        <f>C254*C313</f>
        <v>62204962.400039636</v>
      </c>
      <c r="D256" s="353">
        <f>LN_IH8*LN_III10</f>
        <v>75432198.431858316</v>
      </c>
      <c r="E256" s="353">
        <f>D256-C256</f>
        <v>13227236.03181868</v>
      </c>
      <c r="F256" s="362">
        <f>IF(C256=0,0,E256/C256)</f>
        <v>0.21263956317109281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689</v>
      </c>
      <c r="C257" s="353">
        <f>C256-C255</f>
        <v>21230729.400039636</v>
      </c>
      <c r="D257" s="353">
        <f>LN_IH10-LN_IH9</f>
        <v>19028828.431858316</v>
      </c>
      <c r="E257" s="353">
        <f>D257-C257</f>
        <v>-2201900.9681813195</v>
      </c>
      <c r="F257" s="362">
        <f>IF(C257=0,0,E257/C257)</f>
        <v>-0.10371292133642893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690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691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692</v>
      </c>
      <c r="C261" s="361">
        <f>C15+C42+C188+C221</f>
        <v>877589185</v>
      </c>
      <c r="D261" s="361">
        <f>LN_IA1+LN_IB1+LN_IF1+LN_IG1</f>
        <v>924237281</v>
      </c>
      <c r="E261" s="361">
        <f t="shared" ref="E261:E274" si="26">D261-C261</f>
        <v>46648096</v>
      </c>
      <c r="F261" s="415">
        <f t="shared" ref="F261:F274" si="27">IF(C261=0,0,E261/C261)</f>
        <v>5.3154820954180289E-2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693</v>
      </c>
      <c r="C262" s="361">
        <f>C16+C43+C189+C222</f>
        <v>305057463</v>
      </c>
      <c r="D262" s="361">
        <f>+LN_IA2+LN_IB2+LN_IF2+LN_IG2</f>
        <v>304310633</v>
      </c>
      <c r="E262" s="361">
        <f t="shared" si="26"/>
        <v>-746830</v>
      </c>
      <c r="F262" s="415">
        <f t="shared" si="27"/>
        <v>-2.4481617091269129E-3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694</v>
      </c>
      <c r="C263" s="366">
        <f>IF(C261=0,0,C262/C261)</f>
        <v>0.34760850317452352</v>
      </c>
      <c r="D263" s="366">
        <f>IF(LN_IIA1=0,0,LN_IIA2/LN_IIA1)</f>
        <v>0.32925595975823874</v>
      </c>
      <c r="E263" s="367">
        <f t="shared" si="26"/>
        <v>-1.8352543416284783E-2</v>
      </c>
      <c r="F263" s="371">
        <f t="shared" si="27"/>
        <v>-5.2796589406417758E-2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695</v>
      </c>
      <c r="C264" s="369">
        <f>C18+C45+C191+C224</f>
        <v>23924</v>
      </c>
      <c r="D264" s="369">
        <f>LN_IA4+LN_IB4+LN_IF4+LN_IG3</f>
        <v>22801</v>
      </c>
      <c r="E264" s="369">
        <f t="shared" si="26"/>
        <v>-1123</v>
      </c>
      <c r="F264" s="415">
        <f t="shared" si="27"/>
        <v>-4.6940310984785155E-2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696</v>
      </c>
      <c r="C265" s="439">
        <f>IF(C264=0,0,C266/C264)</f>
        <v>1.4346956152817254</v>
      </c>
      <c r="D265" s="439">
        <f>IF(LN_IIA4=0,0,LN_IIA6/LN_IIA4)</f>
        <v>1.4664078698302707</v>
      </c>
      <c r="E265" s="439">
        <f t="shared" si="26"/>
        <v>3.1712254548545316E-2</v>
      </c>
      <c r="F265" s="415">
        <f t="shared" si="27"/>
        <v>2.2103820636768384E-2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697</v>
      </c>
      <c r="C266" s="376">
        <f>C20+C47+C193+C226</f>
        <v>34323.657899999998</v>
      </c>
      <c r="D266" s="376">
        <f>LN_IA6+LN_IB6+LN_IF6+LN_IG5</f>
        <v>33435.565840000003</v>
      </c>
      <c r="E266" s="376">
        <f t="shared" si="26"/>
        <v>-888.0920599999954</v>
      </c>
      <c r="F266" s="415">
        <f t="shared" si="27"/>
        <v>-2.5874050562658575E-2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698</v>
      </c>
      <c r="C267" s="361">
        <f>C27+C56+C203+C233</f>
        <v>410280996</v>
      </c>
      <c r="D267" s="361">
        <f>LN_IA11+LN_IB13+LN_IF14+LN_IG9</f>
        <v>444573843</v>
      </c>
      <c r="E267" s="361">
        <f t="shared" si="26"/>
        <v>34292847</v>
      </c>
      <c r="F267" s="415">
        <f t="shared" si="27"/>
        <v>8.3583805573095568E-2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619</v>
      </c>
      <c r="C268" s="366">
        <f>IF(C261=0,0,C267/C261)</f>
        <v>0.46750917515010171</v>
      </c>
      <c r="D268" s="366">
        <f>IF(LN_IIA1=0,0,LN_IIA7/LN_IIA1)</f>
        <v>0.48101699870728326</v>
      </c>
      <c r="E268" s="367">
        <f t="shared" si="26"/>
        <v>1.3507823557181553E-2</v>
      </c>
      <c r="F268" s="371">
        <f t="shared" si="27"/>
        <v>2.8893173172151409E-2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699</v>
      </c>
      <c r="C269" s="361">
        <f>C28+C57+C204+C234</f>
        <v>141854549</v>
      </c>
      <c r="D269" s="361">
        <f>LN_IA12+LN_IB14+LN_IF15+LN_IG10</f>
        <v>153456124</v>
      </c>
      <c r="E269" s="361">
        <f t="shared" si="26"/>
        <v>11601575</v>
      </c>
      <c r="F269" s="415">
        <f t="shared" si="27"/>
        <v>8.1785005005373501E-2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618</v>
      </c>
      <c r="C270" s="366">
        <f>IF(C267=0,0,C269/C267)</f>
        <v>0.34574974318332796</v>
      </c>
      <c r="D270" s="366">
        <f>IF(LN_IIA7=0,0,LN_IIA9/LN_IIA7)</f>
        <v>0.34517578219283584</v>
      </c>
      <c r="E270" s="367">
        <f t="shared" si="26"/>
        <v>-5.7396099049211724E-4</v>
      </c>
      <c r="F270" s="371">
        <f t="shared" si="27"/>
        <v>-1.6600474817642426E-3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700</v>
      </c>
      <c r="C271" s="353">
        <f>C261+C267</f>
        <v>1287870181</v>
      </c>
      <c r="D271" s="353">
        <f>LN_IIA1+LN_IIA7</f>
        <v>1368811124</v>
      </c>
      <c r="E271" s="353">
        <f t="shared" si="26"/>
        <v>80940943</v>
      </c>
      <c r="F271" s="415">
        <f t="shared" si="27"/>
        <v>6.2848681640529425E-2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701</v>
      </c>
      <c r="C272" s="353">
        <f>C262+C269</f>
        <v>446912012</v>
      </c>
      <c r="D272" s="353">
        <f>LN_IIA2+LN_IIA9</f>
        <v>457766757</v>
      </c>
      <c r="E272" s="353">
        <f t="shared" si="26"/>
        <v>10854745</v>
      </c>
      <c r="F272" s="415">
        <f t="shared" si="27"/>
        <v>2.4288326803800477E-2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702</v>
      </c>
      <c r="C273" s="366">
        <f>IF(C271=0,0,C272/C271)</f>
        <v>0.34701635195325636</v>
      </c>
      <c r="D273" s="366">
        <f>IF(LN_IIA11=0,0,LN_IIA12/LN_IIA11)</f>
        <v>0.33442653188139931</v>
      </c>
      <c r="E273" s="367">
        <f t="shared" si="26"/>
        <v>-1.258982007185705E-2</v>
      </c>
      <c r="F273" s="371">
        <f t="shared" si="27"/>
        <v>-3.628019256439223E-2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124273</v>
      </c>
      <c r="D274" s="421">
        <f>LN_IA8+LN_IB10+LN_IF11+LN_IG6</f>
        <v>121615</v>
      </c>
      <c r="E274" s="442">
        <f t="shared" si="26"/>
        <v>-2658</v>
      </c>
      <c r="F274" s="371">
        <f t="shared" si="27"/>
        <v>-2.1388394904766121E-2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703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704</v>
      </c>
      <c r="C277" s="361">
        <f>C15+C188+C221</f>
        <v>639527882</v>
      </c>
      <c r="D277" s="361">
        <f>LN_IA1+LN_IF1+LN_IG1</f>
        <v>699176132</v>
      </c>
      <c r="E277" s="361">
        <f t="shared" ref="E277:E291" si="28">D277-C277</f>
        <v>59648250</v>
      </c>
      <c r="F277" s="415">
        <f t="shared" ref="F277:F291" si="29">IF(C277=0,0,E277/C277)</f>
        <v>9.326919385197345E-2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705</v>
      </c>
      <c r="C278" s="361">
        <f>C16+C189+C222</f>
        <v>203358322</v>
      </c>
      <c r="D278" s="361">
        <f>LN_IA2+LN_IF2+LN_IG2</f>
        <v>206525919</v>
      </c>
      <c r="E278" s="361">
        <f t="shared" si="28"/>
        <v>3167597</v>
      </c>
      <c r="F278" s="415">
        <f t="shared" si="29"/>
        <v>1.557643163479683E-2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706</v>
      </c>
      <c r="C279" s="366">
        <f>IF(C277=0,0,C278/C277)</f>
        <v>0.31798194843989619</v>
      </c>
      <c r="D279" s="366">
        <f>IF(D277=0,0,LN_IIB2/D277)</f>
        <v>0.29538468140957647</v>
      </c>
      <c r="E279" s="367">
        <f t="shared" si="28"/>
        <v>-2.2597267030319723E-2</v>
      </c>
      <c r="F279" s="371">
        <f t="shared" si="29"/>
        <v>-7.1064622193768898E-2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707</v>
      </c>
      <c r="C280" s="369">
        <f>C18+C191+C224</f>
        <v>16847</v>
      </c>
      <c r="D280" s="369">
        <f>LN_IA4+LN_IF4+LN_IG3</f>
        <v>16640</v>
      </c>
      <c r="E280" s="369">
        <f t="shared" si="28"/>
        <v>-207</v>
      </c>
      <c r="F280" s="415">
        <f t="shared" si="29"/>
        <v>-1.228705407490948E-2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708</v>
      </c>
      <c r="C281" s="439">
        <f>IF(C280=0,0,C282/C280)</f>
        <v>1.449438398527928</v>
      </c>
      <c r="D281" s="439">
        <f>IF(LN_IIB4=0,0,LN_IIB6/LN_IIB4)</f>
        <v>1.4724903281249999</v>
      </c>
      <c r="E281" s="439">
        <f t="shared" si="28"/>
        <v>2.3051929597071918E-2</v>
      </c>
      <c r="F281" s="415">
        <f t="shared" si="29"/>
        <v>1.5904042296991588E-2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709</v>
      </c>
      <c r="C282" s="376">
        <f>C20+C193+C226</f>
        <v>24418.688700000002</v>
      </c>
      <c r="D282" s="376">
        <f>LN_IA6+LN_IF6+LN_IG5</f>
        <v>24502.23906</v>
      </c>
      <c r="E282" s="376">
        <f t="shared" si="28"/>
        <v>83.550359999997454</v>
      </c>
      <c r="F282" s="415">
        <f t="shared" si="29"/>
        <v>3.4215743943694014E-3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710</v>
      </c>
      <c r="C283" s="361">
        <f>C27+C203+C233</f>
        <v>228407887</v>
      </c>
      <c r="D283" s="361">
        <f>LN_IA11+LN_IF14+LN_IG9</f>
        <v>267300149</v>
      </c>
      <c r="E283" s="361">
        <f t="shared" si="28"/>
        <v>38892262</v>
      </c>
      <c r="F283" s="415">
        <f t="shared" si="29"/>
        <v>0.17027547739627746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711</v>
      </c>
      <c r="C284" s="366">
        <f>IF(C277=0,0,C283/C277)</f>
        <v>0.35715078799332162</v>
      </c>
      <c r="D284" s="366">
        <f>IF(D277=0,0,LN_IIB7/D277)</f>
        <v>0.38230731394589423</v>
      </c>
      <c r="E284" s="367">
        <f t="shared" si="28"/>
        <v>2.5156525952572617E-2</v>
      </c>
      <c r="F284" s="371">
        <f t="shared" si="29"/>
        <v>7.0436708522796321E-2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712</v>
      </c>
      <c r="C285" s="361">
        <f>C28+C204+C234</f>
        <v>60485904</v>
      </c>
      <c r="D285" s="361">
        <f>LN_IA12+LN_IF15+LN_IG10</f>
        <v>75236887</v>
      </c>
      <c r="E285" s="361">
        <f t="shared" si="28"/>
        <v>14750983</v>
      </c>
      <c r="F285" s="415">
        <f t="shared" si="29"/>
        <v>0.24387472162109042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713</v>
      </c>
      <c r="C286" s="366">
        <f>IF(C283=0,0,C285/C283)</f>
        <v>0.26481530386032598</v>
      </c>
      <c r="D286" s="366">
        <f>IF(LN_IIB7=0,0,LN_IIB9/LN_IIB7)</f>
        <v>0.28146967849239768</v>
      </c>
      <c r="E286" s="367">
        <f t="shared" si="28"/>
        <v>1.66543746320717E-2</v>
      </c>
      <c r="F286" s="371">
        <f t="shared" si="29"/>
        <v>6.2890529320978647E-2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714</v>
      </c>
      <c r="C287" s="353">
        <f>C277+C283</f>
        <v>867935769</v>
      </c>
      <c r="D287" s="353">
        <f>D277+LN_IIB7</f>
        <v>966476281</v>
      </c>
      <c r="E287" s="353">
        <f t="shared" si="28"/>
        <v>98540512</v>
      </c>
      <c r="F287" s="415">
        <f t="shared" si="29"/>
        <v>0.11353433689400119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715</v>
      </c>
      <c r="C288" s="353">
        <f>C278+C285</f>
        <v>263844226</v>
      </c>
      <c r="D288" s="353">
        <f>LN_IIB2+LN_IIB9</f>
        <v>281762806</v>
      </c>
      <c r="E288" s="353">
        <f t="shared" si="28"/>
        <v>17918580</v>
      </c>
      <c r="F288" s="415">
        <f t="shared" si="29"/>
        <v>6.7913481646553073E-2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716</v>
      </c>
      <c r="C289" s="366">
        <f>IF(C287=0,0,C288/C287)</f>
        <v>0.30399049725072458</v>
      </c>
      <c r="D289" s="366">
        <f>IF(LN_IIB11=0,0,LN_IIB12/LN_IIB11)</f>
        <v>0.29153618307990325</v>
      </c>
      <c r="E289" s="367">
        <f t="shared" si="28"/>
        <v>-1.2454314170821323E-2</v>
      </c>
      <c r="F289" s="371">
        <f t="shared" si="29"/>
        <v>-4.0969419384676631E-2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96235</v>
      </c>
      <c r="D290" s="421">
        <f>LN_IA8+LN_IF11+LN_IG6</f>
        <v>96061</v>
      </c>
      <c r="E290" s="442">
        <f t="shared" si="28"/>
        <v>-174</v>
      </c>
      <c r="F290" s="371">
        <f t="shared" si="29"/>
        <v>-1.8080739855561906E-3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717</v>
      </c>
      <c r="C291" s="361">
        <f>C287-C288</f>
        <v>604091543</v>
      </c>
      <c r="D291" s="429">
        <f>LN_IIB11-LN_IIB12</f>
        <v>684713475</v>
      </c>
      <c r="E291" s="353">
        <f t="shared" si="28"/>
        <v>80621932</v>
      </c>
      <c r="F291" s="415">
        <f t="shared" si="29"/>
        <v>0.13345979253346377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614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605</v>
      </c>
      <c r="C294" s="379">
        <f>IF(C18=0,0,C22/C18)</f>
        <v>5.9606930239658071</v>
      </c>
      <c r="D294" s="379">
        <f>IF(LN_IA4=0,0,LN_IA8/LN_IA4)</f>
        <v>5.9317357717168528</v>
      </c>
      <c r="E294" s="379">
        <f t="shared" ref="E294:E300" si="30">D294-C294</f>
        <v>-2.8957252248954291E-2</v>
      </c>
      <c r="F294" s="415">
        <f t="shared" ref="F294:F300" si="31">IF(C294=0,0,E294/C294)</f>
        <v>-4.8580344823206919E-3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626</v>
      </c>
      <c r="C295" s="379">
        <f>IF(C45=0,0,C51/C45)</f>
        <v>3.9618482407799913</v>
      </c>
      <c r="D295" s="379">
        <f>IF(LN_IB4=0,0,(LN_IB10)/(LN_IB4))</f>
        <v>4.1477032949196557</v>
      </c>
      <c r="E295" s="379">
        <f t="shared" si="30"/>
        <v>0.18585505413966441</v>
      </c>
      <c r="F295" s="415">
        <f t="shared" si="31"/>
        <v>4.6911199734160962E-2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641</v>
      </c>
      <c r="C296" s="379">
        <f>IF(C86=0,0,C93/C86)</f>
        <v>3.4870848708487086</v>
      </c>
      <c r="D296" s="379">
        <f>IF(LN_IC4=0,0,LN_IC11/LN_IC4)</f>
        <v>3.6460176991150441</v>
      </c>
      <c r="E296" s="379">
        <f t="shared" si="30"/>
        <v>0.15893282826633559</v>
      </c>
      <c r="F296" s="415">
        <f t="shared" si="31"/>
        <v>4.5577562391721636E-2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4.9275318374772592</v>
      </c>
      <c r="D297" s="379">
        <f>IF(LN_ID4=0,0,LN_ID11/LN_ID4)</f>
        <v>5.2561287027579162</v>
      </c>
      <c r="E297" s="379">
        <f t="shared" si="30"/>
        <v>0.32859686528065701</v>
      </c>
      <c r="F297" s="415">
        <f t="shared" si="31"/>
        <v>6.6685893895489928E-2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718</v>
      </c>
      <c r="C298" s="379">
        <f>IF(C156=0,0,C163/C156)</f>
        <v>4.3680387409200971</v>
      </c>
      <c r="D298" s="379">
        <f>IF(LN_IE4=0,0,LN_IE11/LN_IE4)</f>
        <v>0</v>
      </c>
      <c r="E298" s="379">
        <f t="shared" si="30"/>
        <v>-4.3680387409200971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2.4411764705882355</v>
      </c>
      <c r="D299" s="379">
        <f>IF(LN_IG3=0,0,LN_IG6/LN_IG3)</f>
        <v>6</v>
      </c>
      <c r="E299" s="379">
        <f t="shared" si="30"/>
        <v>3.5588235294117645</v>
      </c>
      <c r="F299" s="415">
        <f t="shared" si="31"/>
        <v>1.4578313253012045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719</v>
      </c>
      <c r="C300" s="379">
        <f>IF(C264=0,0,C274/C264)</f>
        <v>5.1944908878114031</v>
      </c>
      <c r="D300" s="379">
        <f>IF(LN_IIA4=0,0,LN_IIA14/LN_IIA4)</f>
        <v>5.3337572913468705</v>
      </c>
      <c r="E300" s="379">
        <f t="shared" si="30"/>
        <v>0.13926640353546738</v>
      </c>
      <c r="F300" s="415">
        <f t="shared" si="31"/>
        <v>2.6810404819892667E-2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720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714</v>
      </c>
      <c r="C304" s="353">
        <f>C35+C66+C214+C221+C233</f>
        <v>1287870181</v>
      </c>
      <c r="D304" s="353">
        <f>LN_IIA11</f>
        <v>1368811124</v>
      </c>
      <c r="E304" s="353">
        <f t="shared" ref="E304:E316" si="32">D304-C304</f>
        <v>80940943</v>
      </c>
      <c r="F304" s="362">
        <f>IF(C304=0,0,E304/C304)</f>
        <v>6.2848681640529425E-2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717</v>
      </c>
      <c r="C305" s="353">
        <f>C291</f>
        <v>604091543</v>
      </c>
      <c r="D305" s="353">
        <f>LN_IIB14</f>
        <v>684713475</v>
      </c>
      <c r="E305" s="353">
        <f t="shared" si="32"/>
        <v>80621932</v>
      </c>
      <c r="F305" s="362">
        <f>IF(C305=0,0,E305/C305)</f>
        <v>0.13345979253346377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721</v>
      </c>
      <c r="C306" s="353">
        <f>C250</f>
        <v>30061520</v>
      </c>
      <c r="D306" s="353">
        <f>LN_IH6</f>
        <v>28624587</v>
      </c>
      <c r="E306" s="353">
        <f t="shared" si="32"/>
        <v>-1436933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722</v>
      </c>
      <c r="C307" s="353">
        <f>C73-C74</f>
        <v>198427931</v>
      </c>
      <c r="D307" s="353">
        <f>LN_IB32-LN_IB33</f>
        <v>187951063</v>
      </c>
      <c r="E307" s="353">
        <f t="shared" si="32"/>
        <v>-10476868</v>
      </c>
      <c r="F307" s="362">
        <f t="shared" ref="F307:F316" si="33">IF(C307=0,0,E307/C307)</f>
        <v>-5.2799361194770508E-2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723</v>
      </c>
      <c r="C308" s="353">
        <v>8377175</v>
      </c>
      <c r="D308" s="353">
        <v>9755242</v>
      </c>
      <c r="E308" s="353">
        <f t="shared" si="32"/>
        <v>1378067</v>
      </c>
      <c r="F308" s="362">
        <f t="shared" si="33"/>
        <v>0.16450259186420244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724</v>
      </c>
      <c r="C309" s="353">
        <f>C305+C307+C308+C306</f>
        <v>840958169</v>
      </c>
      <c r="D309" s="353">
        <f>LN_III2+LN_III3+LN_III4+LN_III5</f>
        <v>911044367</v>
      </c>
      <c r="E309" s="353">
        <f t="shared" si="32"/>
        <v>70086198</v>
      </c>
      <c r="F309" s="362">
        <f t="shared" si="33"/>
        <v>8.3340884937643078E-2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725</v>
      </c>
      <c r="C310" s="353">
        <f>C304-C309</f>
        <v>446912012</v>
      </c>
      <c r="D310" s="353">
        <f>LN_III1-LN_III6</f>
        <v>457766757</v>
      </c>
      <c r="E310" s="353">
        <f t="shared" si="32"/>
        <v>10854745</v>
      </c>
      <c r="F310" s="362">
        <f t="shared" si="33"/>
        <v>2.4288326803800477E-2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726</v>
      </c>
      <c r="C311" s="353">
        <f>C245</f>
        <v>2132962</v>
      </c>
      <c r="D311" s="353">
        <f>LN_IH3</f>
        <v>0</v>
      </c>
      <c r="E311" s="353">
        <f t="shared" si="32"/>
        <v>-2132962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727</v>
      </c>
      <c r="C312" s="353">
        <f>C310+C311</f>
        <v>449044974</v>
      </c>
      <c r="D312" s="353">
        <f>LN_III7+LN_III8</f>
        <v>457766757</v>
      </c>
      <c r="E312" s="353">
        <f t="shared" si="32"/>
        <v>8721783</v>
      </c>
      <c r="F312" s="362">
        <f t="shared" si="33"/>
        <v>1.9422960961589561E-2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728</v>
      </c>
      <c r="C313" s="448">
        <f>IF(C304=0,0,C312/C304)</f>
        <v>0.34867254528040043</v>
      </c>
      <c r="D313" s="448">
        <f>IF(LN_III1=0,0,LN_III9/LN_III1)</f>
        <v>0.33442653188139931</v>
      </c>
      <c r="E313" s="448">
        <f t="shared" si="32"/>
        <v>-1.4246013399001112E-2</v>
      </c>
      <c r="F313" s="362">
        <f t="shared" si="33"/>
        <v>-4.0857858158991414E-2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686</v>
      </c>
      <c r="C314" s="353">
        <f>C306*C313</f>
        <v>10481626.693397664</v>
      </c>
      <c r="D314" s="353">
        <f>D313*LN_III5</f>
        <v>9572821.3569473885</v>
      </c>
      <c r="E314" s="353">
        <f t="shared" si="32"/>
        <v>-908805.33645027503</v>
      </c>
      <c r="F314" s="362">
        <f t="shared" si="33"/>
        <v>-8.6704608266837818E-2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689</v>
      </c>
      <c r="C315" s="353">
        <f>(C214*C313)-C215</f>
        <v>21230729.400039636</v>
      </c>
      <c r="D315" s="353">
        <f>D313*LN_IH8-LN_IH9</f>
        <v>19028828.431858316</v>
      </c>
      <c r="E315" s="353">
        <f t="shared" si="32"/>
        <v>-2201900.9681813195</v>
      </c>
      <c r="F315" s="362">
        <f t="shared" si="33"/>
        <v>-0.10371292133642893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729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730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731</v>
      </c>
      <c r="C318" s="353">
        <f>C314+C315+C316</f>
        <v>31712356.093437299</v>
      </c>
      <c r="D318" s="353">
        <f>D314+D315+D316</f>
        <v>28601649.788805705</v>
      </c>
      <c r="E318" s="353">
        <f>D318-C318</f>
        <v>-3110706.3046315946</v>
      </c>
      <c r="F318" s="362">
        <f>IF(C318=0,0,E318/C318)</f>
        <v>-9.8091302187267582E-2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732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17538390.997856509</v>
      </c>
      <c r="D322" s="353">
        <f>LN_ID22</f>
        <v>19263699.763576824</v>
      </c>
      <c r="E322" s="353">
        <f>LN_IV2-C322</f>
        <v>1725308.7657203153</v>
      </c>
      <c r="F322" s="362">
        <f>IF(C322=0,0,E322/C322)</f>
        <v>9.8373263883281964E-2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718</v>
      </c>
      <c r="C323" s="353">
        <f>C162+C176</f>
        <v>7247516.7464393424</v>
      </c>
      <c r="D323" s="353">
        <f>LN_IE10+LN_IE22</f>
        <v>0</v>
      </c>
      <c r="E323" s="353">
        <f>LN_IV3-C323</f>
        <v>-7247516.7464393424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733</v>
      </c>
      <c r="C324" s="353">
        <f>C92+C106</f>
        <v>4348166.0216677431</v>
      </c>
      <c r="D324" s="353">
        <f>LN_IC10+LN_IC22</f>
        <v>2578570.8938264898</v>
      </c>
      <c r="E324" s="353">
        <f>LN_IV1-C324</f>
        <v>-1769595.1278412533</v>
      </c>
      <c r="F324" s="362">
        <f>IF(C324=0,0,E324/C324)</f>
        <v>-0.4069750600650992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734</v>
      </c>
      <c r="C325" s="429">
        <f>C324+C322+C323</f>
        <v>29134073.765963595</v>
      </c>
      <c r="D325" s="429">
        <f>LN_IV1+LN_IV2+LN_IV3</f>
        <v>21842270.657403313</v>
      </c>
      <c r="E325" s="353">
        <f>LN_IV4-C325</f>
        <v>-7291803.1085602827</v>
      </c>
      <c r="F325" s="362">
        <f>IF(C325=0,0,E325/C325)</f>
        <v>-0.25028436349601968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735</v>
      </c>
      <c r="B327" s="446" t="s">
        <v>736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737</v>
      </c>
      <c r="C329" s="431">
        <v>16384971</v>
      </c>
      <c r="D329" s="431">
        <v>18332698</v>
      </c>
      <c r="E329" s="431">
        <f t="shared" ref="E329:E335" si="34">D329-C329</f>
        <v>1947727</v>
      </c>
      <c r="F329" s="462">
        <f t="shared" ref="F329:F335" si="35">IF(C329=0,0,E329/C329)</f>
        <v>0.11887277676597657</v>
      </c>
    </row>
    <row r="330" spans="1:22" s="333" customFormat="1" ht="11.25" customHeight="1" x14ac:dyDescent="0.2">
      <c r="A330" s="364">
        <v>2</v>
      </c>
      <c r="B330" s="360" t="s">
        <v>738</v>
      </c>
      <c r="C330" s="429">
        <v>21992092</v>
      </c>
      <c r="D330" s="429">
        <v>20190044</v>
      </c>
      <c r="E330" s="431">
        <f t="shared" si="34"/>
        <v>-1802048</v>
      </c>
      <c r="F330" s="463">
        <f t="shared" si="35"/>
        <v>-8.1940726693940716E-2</v>
      </c>
    </row>
    <row r="331" spans="1:22" s="333" customFormat="1" ht="11.25" customHeight="1" x14ac:dyDescent="0.2">
      <c r="A331" s="339">
        <v>3</v>
      </c>
      <c r="B331" s="360" t="s">
        <v>739</v>
      </c>
      <c r="C331" s="429">
        <v>471037065</v>
      </c>
      <c r="D331" s="429">
        <v>477956801</v>
      </c>
      <c r="E331" s="431">
        <f t="shared" si="34"/>
        <v>6919736</v>
      </c>
      <c r="F331" s="462">
        <f t="shared" si="35"/>
        <v>1.4690427811662762E-2</v>
      </c>
    </row>
    <row r="332" spans="1:22" s="333" customFormat="1" ht="11.25" customHeight="1" x14ac:dyDescent="0.2">
      <c r="A332" s="364">
        <v>4</v>
      </c>
      <c r="B332" s="360" t="s">
        <v>740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741</v>
      </c>
      <c r="C333" s="429">
        <v>1287870180</v>
      </c>
      <c r="D333" s="429">
        <v>1368811124</v>
      </c>
      <c r="E333" s="431">
        <f t="shared" si="34"/>
        <v>80940944</v>
      </c>
      <c r="F333" s="462">
        <f t="shared" si="35"/>
        <v>6.2848682465805675E-2</v>
      </c>
    </row>
    <row r="334" spans="1:22" s="333" customFormat="1" ht="11.25" customHeight="1" x14ac:dyDescent="0.2">
      <c r="A334" s="339">
        <v>6</v>
      </c>
      <c r="B334" s="360" t="s">
        <v>742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743</v>
      </c>
      <c r="C335" s="429">
        <v>30061520</v>
      </c>
      <c r="D335" s="429">
        <v>28624587</v>
      </c>
      <c r="E335" s="429">
        <f t="shared" si="34"/>
        <v>-1436933</v>
      </c>
      <c r="F335" s="462">
        <f t="shared" si="35"/>
        <v>-4.7799745322259155E-2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FILING&amp;RHOSPITAL OF SAINT RAPHAEL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596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744</v>
      </c>
      <c r="B5" s="710"/>
      <c r="C5" s="710"/>
      <c r="D5" s="710"/>
      <c r="E5" s="710"/>
    </row>
    <row r="6" spans="1:5" s="338" customFormat="1" ht="15.75" customHeight="1" x14ac:dyDescent="0.25">
      <c r="A6" s="710" t="s">
        <v>745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746</v>
      </c>
      <c r="D9" s="494" t="s">
        <v>747</v>
      </c>
      <c r="E9" s="495" t="s">
        <v>748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749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750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626</v>
      </c>
      <c r="C14" s="513">
        <v>238061303</v>
      </c>
      <c r="D14" s="513">
        <v>225061149</v>
      </c>
      <c r="E14" s="514">
        <f t="shared" ref="E14:E22" si="0">D14-C14</f>
        <v>-13000154</v>
      </c>
    </row>
    <row r="15" spans="1:5" s="506" customFormat="1" x14ac:dyDescent="0.2">
      <c r="A15" s="512">
        <v>2</v>
      </c>
      <c r="B15" s="511" t="s">
        <v>605</v>
      </c>
      <c r="C15" s="513">
        <v>543881938</v>
      </c>
      <c r="D15" s="515">
        <v>577575465</v>
      </c>
      <c r="E15" s="514">
        <f t="shared" si="0"/>
        <v>33693527</v>
      </c>
    </row>
    <row r="16" spans="1:5" s="506" customFormat="1" x14ac:dyDescent="0.2">
      <c r="A16" s="512">
        <v>3</v>
      </c>
      <c r="B16" s="511" t="s">
        <v>751</v>
      </c>
      <c r="C16" s="513">
        <v>95138636</v>
      </c>
      <c r="D16" s="515">
        <v>120346712</v>
      </c>
      <c r="E16" s="514">
        <f t="shared" si="0"/>
        <v>25208076</v>
      </c>
    </row>
    <row r="17" spans="1:5" s="506" customFormat="1" x14ac:dyDescent="0.2">
      <c r="A17" s="512">
        <v>4</v>
      </c>
      <c r="B17" s="511" t="s">
        <v>114</v>
      </c>
      <c r="C17" s="513">
        <v>83843735</v>
      </c>
      <c r="D17" s="515">
        <v>120346712</v>
      </c>
      <c r="E17" s="514">
        <f t="shared" si="0"/>
        <v>36502977</v>
      </c>
    </row>
    <row r="18" spans="1:5" s="506" customFormat="1" x14ac:dyDescent="0.2">
      <c r="A18" s="512">
        <v>5</v>
      </c>
      <c r="B18" s="511" t="s">
        <v>718</v>
      </c>
      <c r="C18" s="513">
        <v>11294901</v>
      </c>
      <c r="D18" s="515">
        <v>0</v>
      </c>
      <c r="E18" s="514">
        <f t="shared" si="0"/>
        <v>-11294901</v>
      </c>
    </row>
    <row r="19" spans="1:5" s="506" customFormat="1" x14ac:dyDescent="0.2">
      <c r="A19" s="512">
        <v>6</v>
      </c>
      <c r="B19" s="511" t="s">
        <v>418</v>
      </c>
      <c r="C19" s="513">
        <v>507308</v>
      </c>
      <c r="D19" s="515">
        <v>1253955</v>
      </c>
      <c r="E19" s="514">
        <f t="shared" si="0"/>
        <v>746647</v>
      </c>
    </row>
    <row r="20" spans="1:5" s="506" customFormat="1" x14ac:dyDescent="0.2">
      <c r="A20" s="512">
        <v>7</v>
      </c>
      <c r="B20" s="511" t="s">
        <v>733</v>
      </c>
      <c r="C20" s="513">
        <v>10215544</v>
      </c>
      <c r="D20" s="515">
        <v>3818662</v>
      </c>
      <c r="E20" s="514">
        <f t="shared" si="0"/>
        <v>-6396882</v>
      </c>
    </row>
    <row r="21" spans="1:5" s="506" customFormat="1" x14ac:dyDescent="0.2">
      <c r="A21" s="512"/>
      <c r="B21" s="516" t="s">
        <v>752</v>
      </c>
      <c r="C21" s="517">
        <f>SUM(C15+C16+C19)</f>
        <v>639527882</v>
      </c>
      <c r="D21" s="517">
        <f>SUM(D15+D16+D19)</f>
        <v>699176132</v>
      </c>
      <c r="E21" s="517">
        <f t="shared" si="0"/>
        <v>59648250</v>
      </c>
    </row>
    <row r="22" spans="1:5" s="506" customFormat="1" x14ac:dyDescent="0.2">
      <c r="A22" s="512"/>
      <c r="B22" s="516" t="s">
        <v>692</v>
      </c>
      <c r="C22" s="517">
        <f>SUM(C14+C21)</f>
        <v>877589185</v>
      </c>
      <c r="D22" s="517">
        <f>SUM(D14+D21)</f>
        <v>924237281</v>
      </c>
      <c r="E22" s="517">
        <f t="shared" si="0"/>
        <v>46648096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753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626</v>
      </c>
      <c r="C25" s="513">
        <v>181873109</v>
      </c>
      <c r="D25" s="513">
        <v>177273694</v>
      </c>
      <c r="E25" s="514">
        <f t="shared" ref="E25:E33" si="1">D25-C25</f>
        <v>-4599415</v>
      </c>
    </row>
    <row r="26" spans="1:5" s="506" customFormat="1" x14ac:dyDescent="0.2">
      <c r="A26" s="512">
        <v>2</v>
      </c>
      <c r="B26" s="511" t="s">
        <v>605</v>
      </c>
      <c r="C26" s="513">
        <v>144327569</v>
      </c>
      <c r="D26" s="515">
        <v>161317774</v>
      </c>
      <c r="E26" s="514">
        <f t="shared" si="1"/>
        <v>16990205</v>
      </c>
    </row>
    <row r="27" spans="1:5" s="506" customFormat="1" x14ac:dyDescent="0.2">
      <c r="A27" s="512">
        <v>3</v>
      </c>
      <c r="B27" s="511" t="s">
        <v>751</v>
      </c>
      <c r="C27" s="513">
        <v>83266470</v>
      </c>
      <c r="D27" s="515">
        <v>105210148</v>
      </c>
      <c r="E27" s="514">
        <f t="shared" si="1"/>
        <v>21943678</v>
      </c>
    </row>
    <row r="28" spans="1:5" s="506" customFormat="1" x14ac:dyDescent="0.2">
      <c r="A28" s="512">
        <v>4</v>
      </c>
      <c r="B28" s="511" t="s">
        <v>114</v>
      </c>
      <c r="C28" s="513">
        <v>69242075</v>
      </c>
      <c r="D28" s="515">
        <v>105210148</v>
      </c>
      <c r="E28" s="514">
        <f t="shared" si="1"/>
        <v>35968073</v>
      </c>
    </row>
    <row r="29" spans="1:5" s="506" customFormat="1" x14ac:dyDescent="0.2">
      <c r="A29" s="512">
        <v>5</v>
      </c>
      <c r="B29" s="511" t="s">
        <v>718</v>
      </c>
      <c r="C29" s="513">
        <v>14024395</v>
      </c>
      <c r="D29" s="515">
        <v>0</v>
      </c>
      <c r="E29" s="514">
        <f t="shared" si="1"/>
        <v>-14024395</v>
      </c>
    </row>
    <row r="30" spans="1:5" s="506" customFormat="1" x14ac:dyDescent="0.2">
      <c r="A30" s="512">
        <v>6</v>
      </c>
      <c r="B30" s="511" t="s">
        <v>418</v>
      </c>
      <c r="C30" s="513">
        <v>813848</v>
      </c>
      <c r="D30" s="515">
        <v>772227</v>
      </c>
      <c r="E30" s="514">
        <f t="shared" si="1"/>
        <v>-41621</v>
      </c>
    </row>
    <row r="31" spans="1:5" s="506" customFormat="1" x14ac:dyDescent="0.2">
      <c r="A31" s="512">
        <v>7</v>
      </c>
      <c r="B31" s="511" t="s">
        <v>733</v>
      </c>
      <c r="C31" s="514">
        <v>19620565</v>
      </c>
      <c r="D31" s="518">
        <v>16410177</v>
      </c>
      <c r="E31" s="514">
        <f t="shared" si="1"/>
        <v>-3210388</v>
      </c>
    </row>
    <row r="32" spans="1:5" s="506" customFormat="1" x14ac:dyDescent="0.2">
      <c r="A32" s="512"/>
      <c r="B32" s="516" t="s">
        <v>754</v>
      </c>
      <c r="C32" s="517">
        <f>SUM(C26+C27+C30)</f>
        <v>228407887</v>
      </c>
      <c r="D32" s="517">
        <f>SUM(D26+D27+D30)</f>
        <v>267300149</v>
      </c>
      <c r="E32" s="517">
        <f t="shared" si="1"/>
        <v>38892262</v>
      </c>
    </row>
    <row r="33" spans="1:5" s="506" customFormat="1" x14ac:dyDescent="0.2">
      <c r="A33" s="512"/>
      <c r="B33" s="516" t="s">
        <v>698</v>
      </c>
      <c r="C33" s="517">
        <f>SUM(C25+C32)</f>
        <v>410280996</v>
      </c>
      <c r="D33" s="517">
        <f>SUM(D25+D32)</f>
        <v>444573843</v>
      </c>
      <c r="E33" s="517">
        <f t="shared" si="1"/>
        <v>34292847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623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755</v>
      </c>
      <c r="C36" s="514">
        <f t="shared" ref="C36:D42" si="2">C14+C25</f>
        <v>419934412</v>
      </c>
      <c r="D36" s="514">
        <f t="shared" si="2"/>
        <v>402334843</v>
      </c>
      <c r="E36" s="514">
        <f t="shared" ref="E36:E44" si="3">D36-C36</f>
        <v>-17599569</v>
      </c>
    </row>
    <row r="37" spans="1:5" s="506" customFormat="1" x14ac:dyDescent="0.2">
      <c r="A37" s="512">
        <v>2</v>
      </c>
      <c r="B37" s="511" t="s">
        <v>756</v>
      </c>
      <c r="C37" s="514">
        <f t="shared" si="2"/>
        <v>688209507</v>
      </c>
      <c r="D37" s="514">
        <f t="shared" si="2"/>
        <v>738893239</v>
      </c>
      <c r="E37" s="514">
        <f t="shared" si="3"/>
        <v>50683732</v>
      </c>
    </row>
    <row r="38" spans="1:5" s="506" customFormat="1" x14ac:dyDescent="0.2">
      <c r="A38" s="512">
        <v>3</v>
      </c>
      <c r="B38" s="511" t="s">
        <v>757</v>
      </c>
      <c r="C38" s="514">
        <f t="shared" si="2"/>
        <v>178405106</v>
      </c>
      <c r="D38" s="514">
        <f t="shared" si="2"/>
        <v>225556860</v>
      </c>
      <c r="E38" s="514">
        <f t="shared" si="3"/>
        <v>47151754</v>
      </c>
    </row>
    <row r="39" spans="1:5" s="506" customFormat="1" x14ac:dyDescent="0.2">
      <c r="A39" s="512">
        <v>4</v>
      </c>
      <c r="B39" s="511" t="s">
        <v>758</v>
      </c>
      <c r="C39" s="514">
        <f t="shared" si="2"/>
        <v>153085810</v>
      </c>
      <c r="D39" s="514">
        <f t="shared" si="2"/>
        <v>225556860</v>
      </c>
      <c r="E39" s="514">
        <f t="shared" si="3"/>
        <v>72471050</v>
      </c>
    </row>
    <row r="40" spans="1:5" s="506" customFormat="1" x14ac:dyDescent="0.2">
      <c r="A40" s="512">
        <v>5</v>
      </c>
      <c r="B40" s="511" t="s">
        <v>759</v>
      </c>
      <c r="C40" s="514">
        <f t="shared" si="2"/>
        <v>25319296</v>
      </c>
      <c r="D40" s="514">
        <f t="shared" si="2"/>
        <v>0</v>
      </c>
      <c r="E40" s="514">
        <f t="shared" si="3"/>
        <v>-25319296</v>
      </c>
    </row>
    <row r="41" spans="1:5" s="506" customFormat="1" x14ac:dyDescent="0.2">
      <c r="A41" s="512">
        <v>6</v>
      </c>
      <c r="B41" s="511" t="s">
        <v>760</v>
      </c>
      <c r="C41" s="514">
        <f t="shared" si="2"/>
        <v>1321156</v>
      </c>
      <c r="D41" s="514">
        <f t="shared" si="2"/>
        <v>2026182</v>
      </c>
      <c r="E41" s="514">
        <f t="shared" si="3"/>
        <v>705026</v>
      </c>
    </row>
    <row r="42" spans="1:5" s="506" customFormat="1" x14ac:dyDescent="0.2">
      <c r="A42" s="512">
        <v>7</v>
      </c>
      <c r="B42" s="511" t="s">
        <v>761</v>
      </c>
      <c r="C42" s="514">
        <f t="shared" si="2"/>
        <v>29836109</v>
      </c>
      <c r="D42" s="514">
        <f t="shared" si="2"/>
        <v>20228839</v>
      </c>
      <c r="E42" s="514">
        <f t="shared" si="3"/>
        <v>-9607270</v>
      </c>
    </row>
    <row r="43" spans="1:5" s="506" customFormat="1" x14ac:dyDescent="0.2">
      <c r="A43" s="512"/>
      <c r="B43" s="516" t="s">
        <v>762</v>
      </c>
      <c r="C43" s="517">
        <f>SUM(C37+C38+C41)</f>
        <v>867935769</v>
      </c>
      <c r="D43" s="517">
        <f>SUM(D37+D38+D41)</f>
        <v>966476281</v>
      </c>
      <c r="E43" s="517">
        <f t="shared" si="3"/>
        <v>98540512</v>
      </c>
    </row>
    <row r="44" spans="1:5" s="506" customFormat="1" x14ac:dyDescent="0.2">
      <c r="A44" s="512"/>
      <c r="B44" s="516" t="s">
        <v>700</v>
      </c>
      <c r="C44" s="517">
        <f>SUM(C36+C43)</f>
        <v>1287870181</v>
      </c>
      <c r="D44" s="517">
        <f>SUM(D36+D43)</f>
        <v>1368811124</v>
      </c>
      <c r="E44" s="517">
        <f t="shared" si="3"/>
        <v>80940943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763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626</v>
      </c>
      <c r="C47" s="513">
        <v>101699141</v>
      </c>
      <c r="D47" s="513">
        <v>97784714</v>
      </c>
      <c r="E47" s="514">
        <f t="shared" ref="E47:E55" si="4">D47-C47</f>
        <v>-3914427</v>
      </c>
    </row>
    <row r="48" spans="1:5" s="506" customFormat="1" x14ac:dyDescent="0.2">
      <c r="A48" s="512">
        <v>2</v>
      </c>
      <c r="B48" s="511" t="s">
        <v>605</v>
      </c>
      <c r="C48" s="513">
        <v>180018860</v>
      </c>
      <c r="D48" s="515">
        <v>176821658</v>
      </c>
      <c r="E48" s="514">
        <f t="shared" si="4"/>
        <v>-3197202</v>
      </c>
    </row>
    <row r="49" spans="1:5" s="506" customFormat="1" x14ac:dyDescent="0.2">
      <c r="A49" s="512">
        <v>3</v>
      </c>
      <c r="B49" s="511" t="s">
        <v>751</v>
      </c>
      <c r="C49" s="513">
        <v>23162812</v>
      </c>
      <c r="D49" s="515">
        <v>29303581</v>
      </c>
      <c r="E49" s="514">
        <f t="shared" si="4"/>
        <v>6140769</v>
      </c>
    </row>
    <row r="50" spans="1:5" s="506" customFormat="1" x14ac:dyDescent="0.2">
      <c r="A50" s="512">
        <v>4</v>
      </c>
      <c r="B50" s="511" t="s">
        <v>114</v>
      </c>
      <c r="C50" s="513">
        <v>21976565</v>
      </c>
      <c r="D50" s="515">
        <v>29303581</v>
      </c>
      <c r="E50" s="514">
        <f t="shared" si="4"/>
        <v>7327016</v>
      </c>
    </row>
    <row r="51" spans="1:5" s="506" customFormat="1" x14ac:dyDescent="0.2">
      <c r="A51" s="512">
        <v>5</v>
      </c>
      <c r="B51" s="511" t="s">
        <v>718</v>
      </c>
      <c r="C51" s="513">
        <v>1186247</v>
      </c>
      <c r="D51" s="515">
        <v>0</v>
      </c>
      <c r="E51" s="514">
        <f t="shared" si="4"/>
        <v>-1186247</v>
      </c>
    </row>
    <row r="52" spans="1:5" s="506" customFormat="1" x14ac:dyDescent="0.2">
      <c r="A52" s="512">
        <v>6</v>
      </c>
      <c r="B52" s="511" t="s">
        <v>418</v>
      </c>
      <c r="C52" s="513">
        <v>176650</v>
      </c>
      <c r="D52" s="515">
        <v>400680</v>
      </c>
      <c r="E52" s="514">
        <f t="shared" si="4"/>
        <v>224030</v>
      </c>
    </row>
    <row r="53" spans="1:5" s="506" customFormat="1" x14ac:dyDescent="0.2">
      <c r="A53" s="512">
        <v>7</v>
      </c>
      <c r="B53" s="511" t="s">
        <v>733</v>
      </c>
      <c r="C53" s="513">
        <v>922861</v>
      </c>
      <c r="D53" s="515">
        <v>662259</v>
      </c>
      <c r="E53" s="514">
        <f t="shared" si="4"/>
        <v>-260602</v>
      </c>
    </row>
    <row r="54" spans="1:5" s="506" customFormat="1" x14ac:dyDescent="0.2">
      <c r="A54" s="512"/>
      <c r="B54" s="516" t="s">
        <v>764</v>
      </c>
      <c r="C54" s="517">
        <f>SUM(C48+C49+C52)</f>
        <v>203358322</v>
      </c>
      <c r="D54" s="517">
        <f>SUM(D48+D49+D52)</f>
        <v>206525919</v>
      </c>
      <c r="E54" s="517">
        <f t="shared" si="4"/>
        <v>3167597</v>
      </c>
    </row>
    <row r="55" spans="1:5" s="506" customFormat="1" x14ac:dyDescent="0.2">
      <c r="A55" s="512"/>
      <c r="B55" s="516" t="s">
        <v>693</v>
      </c>
      <c r="C55" s="517">
        <f>SUM(C47+C54)</f>
        <v>305057463</v>
      </c>
      <c r="D55" s="517">
        <f>SUM(D47+D54)</f>
        <v>304310633</v>
      </c>
      <c r="E55" s="517">
        <f t="shared" si="4"/>
        <v>-746830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765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626</v>
      </c>
      <c r="C58" s="513">
        <v>81368645</v>
      </c>
      <c r="D58" s="513">
        <v>78219237</v>
      </c>
      <c r="E58" s="514">
        <f t="shared" ref="E58:E66" si="5">D58-C58</f>
        <v>-3149408</v>
      </c>
    </row>
    <row r="59" spans="1:5" s="506" customFormat="1" x14ac:dyDescent="0.2">
      <c r="A59" s="512">
        <v>2</v>
      </c>
      <c r="B59" s="511" t="s">
        <v>605</v>
      </c>
      <c r="C59" s="513">
        <v>42461304</v>
      </c>
      <c r="D59" s="515">
        <v>47985300</v>
      </c>
      <c r="E59" s="514">
        <f t="shared" si="5"/>
        <v>5523996</v>
      </c>
    </row>
    <row r="60" spans="1:5" s="506" customFormat="1" x14ac:dyDescent="0.2">
      <c r="A60" s="512">
        <v>3</v>
      </c>
      <c r="B60" s="511" t="s">
        <v>751</v>
      </c>
      <c r="C60" s="513">
        <f>C61+C62</f>
        <v>17811421</v>
      </c>
      <c r="D60" s="515">
        <f>D61+D62</f>
        <v>27099789</v>
      </c>
      <c r="E60" s="514">
        <f t="shared" si="5"/>
        <v>9288368</v>
      </c>
    </row>
    <row r="61" spans="1:5" s="506" customFormat="1" x14ac:dyDescent="0.2">
      <c r="A61" s="512">
        <v>4</v>
      </c>
      <c r="B61" s="511" t="s">
        <v>114</v>
      </c>
      <c r="C61" s="513">
        <v>15724591</v>
      </c>
      <c r="D61" s="515">
        <v>27099789</v>
      </c>
      <c r="E61" s="514">
        <f t="shared" si="5"/>
        <v>11375198</v>
      </c>
    </row>
    <row r="62" spans="1:5" s="506" customFormat="1" x14ac:dyDescent="0.2">
      <c r="A62" s="512">
        <v>5</v>
      </c>
      <c r="B62" s="511" t="s">
        <v>718</v>
      </c>
      <c r="C62" s="513">
        <v>2086830</v>
      </c>
      <c r="D62" s="515">
        <v>0</v>
      </c>
      <c r="E62" s="514">
        <f t="shared" si="5"/>
        <v>-2086830</v>
      </c>
    </row>
    <row r="63" spans="1:5" s="506" customFormat="1" x14ac:dyDescent="0.2">
      <c r="A63" s="512">
        <v>6</v>
      </c>
      <c r="B63" s="511" t="s">
        <v>418</v>
      </c>
      <c r="C63" s="513">
        <v>213179</v>
      </c>
      <c r="D63" s="515">
        <v>151798</v>
      </c>
      <c r="E63" s="514">
        <f t="shared" si="5"/>
        <v>-61381</v>
      </c>
    </row>
    <row r="64" spans="1:5" s="506" customFormat="1" x14ac:dyDescent="0.2">
      <c r="A64" s="512">
        <v>7</v>
      </c>
      <c r="B64" s="511" t="s">
        <v>733</v>
      </c>
      <c r="C64" s="513">
        <v>3971602</v>
      </c>
      <c r="D64" s="515">
        <v>4557887</v>
      </c>
      <c r="E64" s="514">
        <f t="shared" si="5"/>
        <v>586285</v>
      </c>
    </row>
    <row r="65" spans="1:5" s="506" customFormat="1" x14ac:dyDescent="0.2">
      <c r="A65" s="512"/>
      <c r="B65" s="516" t="s">
        <v>766</v>
      </c>
      <c r="C65" s="517">
        <f>SUM(C59+C60+C63)</f>
        <v>60485904</v>
      </c>
      <c r="D65" s="517">
        <f>SUM(D59+D60+D63)</f>
        <v>75236887</v>
      </c>
      <c r="E65" s="517">
        <f t="shared" si="5"/>
        <v>14750983</v>
      </c>
    </row>
    <row r="66" spans="1:5" s="506" customFormat="1" x14ac:dyDescent="0.2">
      <c r="A66" s="512"/>
      <c r="B66" s="516" t="s">
        <v>699</v>
      </c>
      <c r="C66" s="517">
        <f>SUM(C58+C65)</f>
        <v>141854549</v>
      </c>
      <c r="D66" s="517">
        <f>SUM(D58+D65)</f>
        <v>153456124</v>
      </c>
      <c r="E66" s="517">
        <f t="shared" si="5"/>
        <v>11601575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624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755</v>
      </c>
      <c r="C69" s="514">
        <f t="shared" ref="C69:D75" si="6">C47+C58</f>
        <v>183067786</v>
      </c>
      <c r="D69" s="514">
        <f t="shared" si="6"/>
        <v>176003951</v>
      </c>
      <c r="E69" s="514">
        <f t="shared" ref="E69:E77" si="7">D69-C69</f>
        <v>-7063835</v>
      </c>
    </row>
    <row r="70" spans="1:5" s="506" customFormat="1" x14ac:dyDescent="0.2">
      <c r="A70" s="512">
        <v>2</v>
      </c>
      <c r="B70" s="511" t="s">
        <v>756</v>
      </c>
      <c r="C70" s="514">
        <f t="shared" si="6"/>
        <v>222480164</v>
      </c>
      <c r="D70" s="514">
        <f t="shared" si="6"/>
        <v>224806958</v>
      </c>
      <c r="E70" s="514">
        <f t="shared" si="7"/>
        <v>2326794</v>
      </c>
    </row>
    <row r="71" spans="1:5" s="506" customFormat="1" x14ac:dyDescent="0.2">
      <c r="A71" s="512">
        <v>3</v>
      </c>
      <c r="B71" s="511" t="s">
        <v>757</v>
      </c>
      <c r="C71" s="514">
        <f t="shared" si="6"/>
        <v>40974233</v>
      </c>
      <c r="D71" s="514">
        <f t="shared" si="6"/>
        <v>56403370</v>
      </c>
      <c r="E71" s="514">
        <f t="shared" si="7"/>
        <v>15429137</v>
      </c>
    </row>
    <row r="72" spans="1:5" s="506" customFormat="1" x14ac:dyDescent="0.2">
      <c r="A72" s="512">
        <v>4</v>
      </c>
      <c r="B72" s="511" t="s">
        <v>758</v>
      </c>
      <c r="C72" s="514">
        <f t="shared" si="6"/>
        <v>37701156</v>
      </c>
      <c r="D72" s="514">
        <f t="shared" si="6"/>
        <v>56403370</v>
      </c>
      <c r="E72" s="514">
        <f t="shared" si="7"/>
        <v>18702214</v>
      </c>
    </row>
    <row r="73" spans="1:5" s="506" customFormat="1" x14ac:dyDescent="0.2">
      <c r="A73" s="512">
        <v>5</v>
      </c>
      <c r="B73" s="511" t="s">
        <v>759</v>
      </c>
      <c r="C73" s="514">
        <f t="shared" si="6"/>
        <v>3273077</v>
      </c>
      <c r="D73" s="514">
        <f t="shared" si="6"/>
        <v>0</v>
      </c>
      <c r="E73" s="514">
        <f t="shared" si="7"/>
        <v>-3273077</v>
      </c>
    </row>
    <row r="74" spans="1:5" s="506" customFormat="1" x14ac:dyDescent="0.2">
      <c r="A74" s="512">
        <v>6</v>
      </c>
      <c r="B74" s="511" t="s">
        <v>760</v>
      </c>
      <c r="C74" s="514">
        <f t="shared" si="6"/>
        <v>389829</v>
      </c>
      <c r="D74" s="514">
        <f t="shared" si="6"/>
        <v>552478</v>
      </c>
      <c r="E74" s="514">
        <f t="shared" si="7"/>
        <v>162649</v>
      </c>
    </row>
    <row r="75" spans="1:5" s="506" customFormat="1" x14ac:dyDescent="0.2">
      <c r="A75" s="512">
        <v>7</v>
      </c>
      <c r="B75" s="511" t="s">
        <v>761</v>
      </c>
      <c r="C75" s="514">
        <f t="shared" si="6"/>
        <v>4894463</v>
      </c>
      <c r="D75" s="514">
        <f t="shared" si="6"/>
        <v>5220146</v>
      </c>
      <c r="E75" s="514">
        <f t="shared" si="7"/>
        <v>325683</v>
      </c>
    </row>
    <row r="76" spans="1:5" s="506" customFormat="1" x14ac:dyDescent="0.2">
      <c r="A76" s="512"/>
      <c r="B76" s="516" t="s">
        <v>767</v>
      </c>
      <c r="C76" s="517">
        <f>SUM(C70+C71+C74)</f>
        <v>263844226</v>
      </c>
      <c r="D76" s="517">
        <f>SUM(D70+D71+D74)</f>
        <v>281762806</v>
      </c>
      <c r="E76" s="517">
        <f t="shared" si="7"/>
        <v>17918580</v>
      </c>
    </row>
    <row r="77" spans="1:5" s="506" customFormat="1" x14ac:dyDescent="0.2">
      <c r="A77" s="512"/>
      <c r="B77" s="516" t="s">
        <v>701</v>
      </c>
      <c r="C77" s="517">
        <f>SUM(C69+C76)</f>
        <v>446912012</v>
      </c>
      <c r="D77" s="517">
        <f>SUM(D69+D76)</f>
        <v>457766757</v>
      </c>
      <c r="E77" s="517">
        <f t="shared" si="7"/>
        <v>10854745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768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769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626</v>
      </c>
      <c r="C83" s="523">
        <f t="shared" ref="C83:D89" si="8">IF(C$44=0,0,C14/C$44)</f>
        <v>0.18484883531906232</v>
      </c>
      <c r="D83" s="523">
        <f t="shared" si="8"/>
        <v>0.16442089420073999</v>
      </c>
      <c r="E83" s="523">
        <f t="shared" ref="E83:E91" si="9">D83-C83</f>
        <v>-2.0427941118322329E-2</v>
      </c>
    </row>
    <row r="84" spans="1:5" s="506" customFormat="1" x14ac:dyDescent="0.2">
      <c r="A84" s="512">
        <v>2</v>
      </c>
      <c r="B84" s="511" t="s">
        <v>605</v>
      </c>
      <c r="C84" s="523">
        <f t="shared" si="8"/>
        <v>0.42231115062986307</v>
      </c>
      <c r="D84" s="523">
        <f t="shared" si="8"/>
        <v>0.42195409934438843</v>
      </c>
      <c r="E84" s="523">
        <f t="shared" si="9"/>
        <v>-3.5705128547464104E-4</v>
      </c>
    </row>
    <row r="85" spans="1:5" s="506" customFormat="1" x14ac:dyDescent="0.2">
      <c r="A85" s="512">
        <v>3</v>
      </c>
      <c r="B85" s="511" t="s">
        <v>751</v>
      </c>
      <c r="C85" s="523">
        <f t="shared" si="8"/>
        <v>7.3872846350186594E-2</v>
      </c>
      <c r="D85" s="523">
        <f t="shared" si="8"/>
        <v>8.7920612193972791E-2</v>
      </c>
      <c r="E85" s="523">
        <f t="shared" si="9"/>
        <v>1.4047765843786197E-2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6.5102629315399924E-2</v>
      </c>
      <c r="D86" s="523">
        <f t="shared" si="8"/>
        <v>8.7920612193972791E-2</v>
      </c>
      <c r="E86" s="523">
        <f t="shared" si="9"/>
        <v>2.2817982878572868E-2</v>
      </c>
    </row>
    <row r="87" spans="1:5" s="506" customFormat="1" x14ac:dyDescent="0.2">
      <c r="A87" s="512">
        <v>5</v>
      </c>
      <c r="B87" s="511" t="s">
        <v>718</v>
      </c>
      <c r="C87" s="523">
        <f t="shared" si="8"/>
        <v>8.7702170347866756E-3</v>
      </c>
      <c r="D87" s="523">
        <f t="shared" si="8"/>
        <v>0</v>
      </c>
      <c r="E87" s="523">
        <f t="shared" si="9"/>
        <v>-8.7702170347866756E-3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3.9391237368822967E-4</v>
      </c>
      <c r="D88" s="523">
        <f t="shared" si="8"/>
        <v>9.1609059717138888E-4</v>
      </c>
      <c r="E88" s="523">
        <f t="shared" si="9"/>
        <v>5.2217822348315916E-4</v>
      </c>
    </row>
    <row r="89" spans="1:5" s="506" customFormat="1" x14ac:dyDescent="0.2">
      <c r="A89" s="512">
        <v>7</v>
      </c>
      <c r="B89" s="511" t="s">
        <v>733</v>
      </c>
      <c r="C89" s="523">
        <f t="shared" si="8"/>
        <v>7.9321224691046716E-3</v>
      </c>
      <c r="D89" s="523">
        <f t="shared" si="8"/>
        <v>2.7897654636535522E-3</v>
      </c>
      <c r="E89" s="523">
        <f t="shared" si="9"/>
        <v>-5.1423570054511189E-3</v>
      </c>
    </row>
    <row r="90" spans="1:5" s="506" customFormat="1" x14ac:dyDescent="0.2">
      <c r="A90" s="512"/>
      <c r="B90" s="516" t="s">
        <v>770</v>
      </c>
      <c r="C90" s="524">
        <f>SUM(C84+C85+C88)</f>
        <v>0.49657790935373791</v>
      </c>
      <c r="D90" s="524">
        <f>SUM(D84+D85+D88)</f>
        <v>0.51079080213553263</v>
      </c>
      <c r="E90" s="525">
        <f t="shared" si="9"/>
        <v>1.4212892781794717E-2</v>
      </c>
    </row>
    <row r="91" spans="1:5" s="506" customFormat="1" x14ac:dyDescent="0.2">
      <c r="A91" s="512"/>
      <c r="B91" s="516" t="s">
        <v>771</v>
      </c>
      <c r="C91" s="524">
        <f>SUM(C83+C90)</f>
        <v>0.68142674467280018</v>
      </c>
      <c r="D91" s="524">
        <f>SUM(D83+D90)</f>
        <v>0.67521169633627265</v>
      </c>
      <c r="E91" s="525">
        <f t="shared" si="9"/>
        <v>-6.2150483365275289E-3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772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626</v>
      </c>
      <c r="C95" s="523">
        <f t="shared" ref="C95:D101" si="10">IF(C$44=0,0,C25/C$44)</f>
        <v>0.14122006370143608</v>
      </c>
      <c r="D95" s="523">
        <f t="shared" si="10"/>
        <v>0.12950924411102316</v>
      </c>
      <c r="E95" s="523">
        <f t="shared" ref="E95:E103" si="11">D95-C95</f>
        <v>-1.1710819590412924E-2</v>
      </c>
    </row>
    <row r="96" spans="1:5" s="506" customFormat="1" x14ac:dyDescent="0.2">
      <c r="A96" s="512">
        <v>2</v>
      </c>
      <c r="B96" s="511" t="s">
        <v>605</v>
      </c>
      <c r="C96" s="523">
        <f t="shared" si="10"/>
        <v>0.11206686134151592</v>
      </c>
      <c r="D96" s="523">
        <f t="shared" si="10"/>
        <v>0.1178524715145433</v>
      </c>
      <c r="E96" s="523">
        <f t="shared" si="11"/>
        <v>5.7856101730273807E-3</v>
      </c>
    </row>
    <row r="97" spans="1:5" s="506" customFormat="1" x14ac:dyDescent="0.2">
      <c r="A97" s="512">
        <v>3</v>
      </c>
      <c r="B97" s="511" t="s">
        <v>751</v>
      </c>
      <c r="C97" s="523">
        <f t="shared" si="10"/>
        <v>6.4654397025751154E-2</v>
      </c>
      <c r="D97" s="523">
        <f t="shared" si="10"/>
        <v>7.6862429122105821E-2</v>
      </c>
      <c r="E97" s="523">
        <f t="shared" si="11"/>
        <v>1.2208032096354668E-2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5.3764794015368232E-2</v>
      </c>
      <c r="D98" s="523">
        <f t="shared" si="10"/>
        <v>7.6862429122105821E-2</v>
      </c>
      <c r="E98" s="523">
        <f t="shared" si="11"/>
        <v>2.3097635106737589E-2</v>
      </c>
    </row>
    <row r="99" spans="1:5" s="506" customFormat="1" x14ac:dyDescent="0.2">
      <c r="A99" s="512">
        <v>5</v>
      </c>
      <c r="B99" s="511" t="s">
        <v>718</v>
      </c>
      <c r="C99" s="523">
        <f t="shared" si="10"/>
        <v>1.0889603010382923E-2</v>
      </c>
      <c r="D99" s="523">
        <f t="shared" si="10"/>
        <v>0</v>
      </c>
      <c r="E99" s="523">
        <f t="shared" si="11"/>
        <v>-1.0889603010382923E-2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6.3193325849664965E-4</v>
      </c>
      <c r="D100" s="523">
        <f t="shared" si="10"/>
        <v>5.641589160550977E-4</v>
      </c>
      <c r="E100" s="523">
        <f t="shared" si="11"/>
        <v>-6.777434244155194E-5</v>
      </c>
    </row>
    <row r="101" spans="1:5" s="506" customFormat="1" x14ac:dyDescent="0.2">
      <c r="A101" s="512">
        <v>7</v>
      </c>
      <c r="B101" s="511" t="s">
        <v>733</v>
      </c>
      <c r="C101" s="523">
        <f t="shared" si="10"/>
        <v>1.5234893461672594E-2</v>
      </c>
      <c r="D101" s="523">
        <f t="shared" si="10"/>
        <v>1.1988635036837997E-2</v>
      </c>
      <c r="E101" s="523">
        <f t="shared" si="11"/>
        <v>-3.2462584248345965E-3</v>
      </c>
    </row>
    <row r="102" spans="1:5" s="506" customFormat="1" x14ac:dyDescent="0.2">
      <c r="A102" s="512"/>
      <c r="B102" s="516" t="s">
        <v>773</v>
      </c>
      <c r="C102" s="524">
        <f>SUM(C96+C97+C100)</f>
        <v>0.17735319162576371</v>
      </c>
      <c r="D102" s="524">
        <f>SUM(D96+D97+D100)</f>
        <v>0.19527905955270422</v>
      </c>
      <c r="E102" s="525">
        <f t="shared" si="11"/>
        <v>1.7925867926940509E-2</v>
      </c>
    </row>
    <row r="103" spans="1:5" s="506" customFormat="1" x14ac:dyDescent="0.2">
      <c r="A103" s="512"/>
      <c r="B103" s="516" t="s">
        <v>774</v>
      </c>
      <c r="C103" s="524">
        <f>SUM(C95+C102)</f>
        <v>0.31857325532719982</v>
      </c>
      <c r="D103" s="524">
        <f>SUM(D95+D102)</f>
        <v>0.32478830366372735</v>
      </c>
      <c r="E103" s="525">
        <f t="shared" si="11"/>
        <v>6.2150483365275289E-3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775</v>
      </c>
      <c r="C105" s="525">
        <f>C91+C103</f>
        <v>1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776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626</v>
      </c>
      <c r="C109" s="523">
        <f t="shared" ref="C109:D115" si="12">IF(C$77=0,0,C47/C$77)</f>
        <v>0.22755964992948097</v>
      </c>
      <c r="D109" s="523">
        <f t="shared" si="12"/>
        <v>0.21361252756936214</v>
      </c>
      <c r="E109" s="523">
        <f t="shared" ref="E109:E117" si="13">D109-C109</f>
        <v>-1.394712236011883E-2</v>
      </c>
    </row>
    <row r="110" spans="1:5" s="506" customFormat="1" x14ac:dyDescent="0.2">
      <c r="A110" s="512">
        <v>2</v>
      </c>
      <c r="B110" s="511" t="s">
        <v>605</v>
      </c>
      <c r="C110" s="523">
        <f t="shared" si="12"/>
        <v>0.40280604496260441</v>
      </c>
      <c r="D110" s="523">
        <f t="shared" si="12"/>
        <v>0.38627020266567763</v>
      </c>
      <c r="E110" s="523">
        <f t="shared" si="13"/>
        <v>-1.6535842296926784E-2</v>
      </c>
    </row>
    <row r="111" spans="1:5" s="506" customFormat="1" x14ac:dyDescent="0.2">
      <c r="A111" s="512">
        <v>3</v>
      </c>
      <c r="B111" s="511" t="s">
        <v>751</v>
      </c>
      <c r="C111" s="523">
        <f t="shared" si="12"/>
        <v>5.1828573361326437E-2</v>
      </c>
      <c r="D111" s="523">
        <f t="shared" si="12"/>
        <v>6.4014218052972333E-2</v>
      </c>
      <c r="E111" s="523">
        <f t="shared" si="13"/>
        <v>1.2185644691645896E-2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4.9174254461524743E-2</v>
      </c>
      <c r="D112" s="523">
        <f t="shared" si="12"/>
        <v>6.4014218052972333E-2</v>
      </c>
      <c r="E112" s="523">
        <f t="shared" si="13"/>
        <v>1.483996359144759E-2</v>
      </c>
    </row>
    <row r="113" spans="1:5" s="506" customFormat="1" x14ac:dyDescent="0.2">
      <c r="A113" s="512">
        <v>5</v>
      </c>
      <c r="B113" s="511" t="s">
        <v>718</v>
      </c>
      <c r="C113" s="523">
        <f t="shared" si="12"/>
        <v>2.6543188998016908E-3</v>
      </c>
      <c r="D113" s="523">
        <f t="shared" si="12"/>
        <v>0</v>
      </c>
      <c r="E113" s="523">
        <f t="shared" si="13"/>
        <v>-2.6543188998016908E-3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3.9526796160493444E-4</v>
      </c>
      <c r="D114" s="523">
        <f t="shared" si="12"/>
        <v>8.7529291691226937E-4</v>
      </c>
      <c r="E114" s="523">
        <f t="shared" si="13"/>
        <v>4.8002495530733493E-4</v>
      </c>
    </row>
    <row r="115" spans="1:5" s="506" customFormat="1" x14ac:dyDescent="0.2">
      <c r="A115" s="512">
        <v>7</v>
      </c>
      <c r="B115" s="511" t="s">
        <v>733</v>
      </c>
      <c r="C115" s="523">
        <f t="shared" si="12"/>
        <v>2.0649724671083576E-3</v>
      </c>
      <c r="D115" s="523">
        <f t="shared" si="12"/>
        <v>1.4467171105655451E-3</v>
      </c>
      <c r="E115" s="523">
        <f t="shared" si="13"/>
        <v>-6.1825535654281248E-4</v>
      </c>
    </row>
    <row r="116" spans="1:5" s="506" customFormat="1" x14ac:dyDescent="0.2">
      <c r="A116" s="512"/>
      <c r="B116" s="516" t="s">
        <v>770</v>
      </c>
      <c r="C116" s="524">
        <f>SUM(C110+C111+C114)</f>
        <v>0.45502988628553581</v>
      </c>
      <c r="D116" s="524">
        <f>SUM(D110+D111+D114)</f>
        <v>0.45115971363556223</v>
      </c>
      <c r="E116" s="525">
        <f t="shared" si="13"/>
        <v>-3.87017264997358E-3</v>
      </c>
    </row>
    <row r="117" spans="1:5" s="506" customFormat="1" x14ac:dyDescent="0.2">
      <c r="A117" s="512"/>
      <c r="B117" s="516" t="s">
        <v>771</v>
      </c>
      <c r="C117" s="524">
        <f>SUM(C109+C116)</f>
        <v>0.68258953621501672</v>
      </c>
      <c r="D117" s="524">
        <f>SUM(D109+D116)</f>
        <v>0.6647722412049244</v>
      </c>
      <c r="E117" s="525">
        <f t="shared" si="13"/>
        <v>-1.7817295010092327E-2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777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626</v>
      </c>
      <c r="C121" s="523">
        <f t="shared" ref="C121:D127" si="14">IF(C$77=0,0,C58/C$77)</f>
        <v>0.18206860145884823</v>
      </c>
      <c r="D121" s="523">
        <f t="shared" si="14"/>
        <v>0.17087137893676277</v>
      </c>
      <c r="E121" s="523">
        <f t="shared" ref="E121:E129" si="15">D121-C121</f>
        <v>-1.1197222522085465E-2</v>
      </c>
    </row>
    <row r="122" spans="1:5" s="506" customFormat="1" x14ac:dyDescent="0.2">
      <c r="A122" s="512">
        <v>2</v>
      </c>
      <c r="B122" s="511" t="s">
        <v>605</v>
      </c>
      <c r="C122" s="523">
        <f t="shared" si="14"/>
        <v>9.5010433507882533E-2</v>
      </c>
      <c r="D122" s="523">
        <f t="shared" si="14"/>
        <v>0.10482478088726745</v>
      </c>
      <c r="E122" s="523">
        <f t="shared" si="15"/>
        <v>9.8143473793849134E-3</v>
      </c>
    </row>
    <row r="123" spans="1:5" s="506" customFormat="1" x14ac:dyDescent="0.2">
      <c r="A123" s="512">
        <v>3</v>
      </c>
      <c r="B123" s="511" t="s">
        <v>751</v>
      </c>
      <c r="C123" s="523">
        <f t="shared" si="14"/>
        <v>3.9854424409608395E-2</v>
      </c>
      <c r="D123" s="523">
        <f t="shared" si="14"/>
        <v>5.91999934149871E-2</v>
      </c>
      <c r="E123" s="523">
        <f t="shared" si="15"/>
        <v>1.9345569005378704E-2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3.5184981781156512E-2</v>
      </c>
      <c r="D124" s="523">
        <f t="shared" si="14"/>
        <v>5.91999934149871E-2</v>
      </c>
      <c r="E124" s="523">
        <f t="shared" si="15"/>
        <v>2.4015011633830588E-2</v>
      </c>
    </row>
    <row r="125" spans="1:5" s="506" customFormat="1" x14ac:dyDescent="0.2">
      <c r="A125" s="512">
        <v>5</v>
      </c>
      <c r="B125" s="511" t="s">
        <v>718</v>
      </c>
      <c r="C125" s="523">
        <f t="shared" si="14"/>
        <v>4.6694426284518845E-3</v>
      </c>
      <c r="D125" s="523">
        <f t="shared" si="14"/>
        <v>0</v>
      </c>
      <c r="E125" s="523">
        <f t="shared" si="15"/>
        <v>-4.6694426284518845E-3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4.77004408644089E-4</v>
      </c>
      <c r="D126" s="523">
        <f t="shared" si="14"/>
        <v>3.316055560583225E-4</v>
      </c>
      <c r="E126" s="523">
        <f t="shared" si="15"/>
        <v>-1.4539885258576651E-4</v>
      </c>
    </row>
    <row r="127" spans="1:5" s="506" customFormat="1" x14ac:dyDescent="0.2">
      <c r="A127" s="512">
        <v>7</v>
      </c>
      <c r="B127" s="511" t="s">
        <v>733</v>
      </c>
      <c r="C127" s="523">
        <f t="shared" si="14"/>
        <v>8.8867649411043352E-3</v>
      </c>
      <c r="D127" s="523">
        <f t="shared" si="14"/>
        <v>9.9567889767058822E-3</v>
      </c>
      <c r="E127" s="523">
        <f t="shared" si="15"/>
        <v>1.070024035601547E-3</v>
      </c>
    </row>
    <row r="128" spans="1:5" s="506" customFormat="1" x14ac:dyDescent="0.2">
      <c r="A128" s="512"/>
      <c r="B128" s="516" t="s">
        <v>773</v>
      </c>
      <c r="C128" s="524">
        <f>SUM(C122+C123+C126)</f>
        <v>0.13534186232613502</v>
      </c>
      <c r="D128" s="524">
        <f>SUM(D122+D123+D126)</f>
        <v>0.16435637985831286</v>
      </c>
      <c r="E128" s="525">
        <f t="shared" si="15"/>
        <v>2.9014517532177847E-2</v>
      </c>
    </row>
    <row r="129" spans="1:5" s="506" customFormat="1" x14ac:dyDescent="0.2">
      <c r="A129" s="512"/>
      <c r="B129" s="516" t="s">
        <v>774</v>
      </c>
      <c r="C129" s="524">
        <f>SUM(C121+C128)</f>
        <v>0.31741046378498328</v>
      </c>
      <c r="D129" s="524">
        <f>SUM(D121+D128)</f>
        <v>0.3352277587950756</v>
      </c>
      <c r="E129" s="525">
        <f t="shared" si="15"/>
        <v>1.7817295010092327E-2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778</v>
      </c>
      <c r="C131" s="525">
        <f>C117+C129</f>
        <v>1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779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780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626</v>
      </c>
      <c r="C137" s="530">
        <v>7077</v>
      </c>
      <c r="D137" s="530">
        <v>6161</v>
      </c>
      <c r="E137" s="531">
        <f t="shared" ref="E137:E145" si="16">D137-C137</f>
        <v>-916</v>
      </c>
    </row>
    <row r="138" spans="1:5" s="506" customFormat="1" x14ac:dyDescent="0.2">
      <c r="A138" s="512">
        <v>2</v>
      </c>
      <c r="B138" s="511" t="s">
        <v>605</v>
      </c>
      <c r="C138" s="530">
        <v>13102</v>
      </c>
      <c r="D138" s="530">
        <v>12686</v>
      </c>
      <c r="E138" s="531">
        <f t="shared" si="16"/>
        <v>-416</v>
      </c>
    </row>
    <row r="139" spans="1:5" s="506" customFormat="1" x14ac:dyDescent="0.2">
      <c r="A139" s="512">
        <v>3</v>
      </c>
      <c r="B139" s="511" t="s">
        <v>751</v>
      </c>
      <c r="C139" s="530">
        <f>C140+C141</f>
        <v>3711</v>
      </c>
      <c r="D139" s="530">
        <f>D140+D141</f>
        <v>3916</v>
      </c>
      <c r="E139" s="531">
        <f t="shared" si="16"/>
        <v>205</v>
      </c>
    </row>
    <row r="140" spans="1:5" s="506" customFormat="1" x14ac:dyDescent="0.2">
      <c r="A140" s="512">
        <v>4</v>
      </c>
      <c r="B140" s="511" t="s">
        <v>114</v>
      </c>
      <c r="C140" s="530">
        <v>3298</v>
      </c>
      <c r="D140" s="530">
        <v>3916</v>
      </c>
      <c r="E140" s="531">
        <f t="shared" si="16"/>
        <v>618</v>
      </c>
    </row>
    <row r="141" spans="1:5" s="506" customFormat="1" x14ac:dyDescent="0.2">
      <c r="A141" s="512">
        <v>5</v>
      </c>
      <c r="B141" s="511" t="s">
        <v>718</v>
      </c>
      <c r="C141" s="530">
        <v>413</v>
      </c>
      <c r="D141" s="530">
        <v>0</v>
      </c>
      <c r="E141" s="531">
        <f t="shared" si="16"/>
        <v>-413</v>
      </c>
    </row>
    <row r="142" spans="1:5" s="506" customFormat="1" x14ac:dyDescent="0.2">
      <c r="A142" s="512">
        <v>6</v>
      </c>
      <c r="B142" s="511" t="s">
        <v>418</v>
      </c>
      <c r="C142" s="530">
        <v>34</v>
      </c>
      <c r="D142" s="530">
        <v>38</v>
      </c>
      <c r="E142" s="531">
        <f t="shared" si="16"/>
        <v>4</v>
      </c>
    </row>
    <row r="143" spans="1:5" s="506" customFormat="1" x14ac:dyDescent="0.2">
      <c r="A143" s="512">
        <v>7</v>
      </c>
      <c r="B143" s="511" t="s">
        <v>733</v>
      </c>
      <c r="C143" s="530">
        <v>271</v>
      </c>
      <c r="D143" s="530">
        <v>113</v>
      </c>
      <c r="E143" s="531">
        <f t="shared" si="16"/>
        <v>-158</v>
      </c>
    </row>
    <row r="144" spans="1:5" s="506" customFormat="1" x14ac:dyDescent="0.2">
      <c r="A144" s="512"/>
      <c r="B144" s="516" t="s">
        <v>781</v>
      </c>
      <c r="C144" s="532">
        <f>SUM(C138+C139+C142)</f>
        <v>16847</v>
      </c>
      <c r="D144" s="532">
        <f>SUM(D138+D139+D142)</f>
        <v>16640</v>
      </c>
      <c r="E144" s="533">
        <f t="shared" si="16"/>
        <v>-207</v>
      </c>
    </row>
    <row r="145" spans="1:5" s="506" customFormat="1" x14ac:dyDescent="0.2">
      <c r="A145" s="512"/>
      <c r="B145" s="516" t="s">
        <v>695</v>
      </c>
      <c r="C145" s="532">
        <f>SUM(C137+C144)</f>
        <v>23924</v>
      </c>
      <c r="D145" s="532">
        <f>SUM(D137+D144)</f>
        <v>22801</v>
      </c>
      <c r="E145" s="533">
        <f t="shared" si="16"/>
        <v>-1123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626</v>
      </c>
      <c r="C149" s="534">
        <v>28038</v>
      </c>
      <c r="D149" s="534">
        <v>25554</v>
      </c>
      <c r="E149" s="531">
        <f t="shared" ref="E149:E157" si="17">D149-C149</f>
        <v>-2484</v>
      </c>
    </row>
    <row r="150" spans="1:5" s="506" customFormat="1" x14ac:dyDescent="0.2">
      <c r="A150" s="512">
        <v>2</v>
      </c>
      <c r="B150" s="511" t="s">
        <v>605</v>
      </c>
      <c r="C150" s="534">
        <v>78097</v>
      </c>
      <c r="D150" s="534">
        <v>75250</v>
      </c>
      <c r="E150" s="531">
        <f t="shared" si="17"/>
        <v>-2847</v>
      </c>
    </row>
    <row r="151" spans="1:5" s="506" customFormat="1" x14ac:dyDescent="0.2">
      <c r="A151" s="512">
        <v>3</v>
      </c>
      <c r="B151" s="511" t="s">
        <v>751</v>
      </c>
      <c r="C151" s="534">
        <f>C152+C153</f>
        <v>18055</v>
      </c>
      <c r="D151" s="534">
        <f>D152+D153</f>
        <v>20583</v>
      </c>
      <c r="E151" s="531">
        <f t="shared" si="17"/>
        <v>2528</v>
      </c>
    </row>
    <row r="152" spans="1:5" s="506" customFormat="1" x14ac:dyDescent="0.2">
      <c r="A152" s="512">
        <v>4</v>
      </c>
      <c r="B152" s="511" t="s">
        <v>114</v>
      </c>
      <c r="C152" s="534">
        <v>16251</v>
      </c>
      <c r="D152" s="534">
        <v>20583</v>
      </c>
      <c r="E152" s="531">
        <f t="shared" si="17"/>
        <v>4332</v>
      </c>
    </row>
    <row r="153" spans="1:5" s="506" customFormat="1" x14ac:dyDescent="0.2">
      <c r="A153" s="512">
        <v>5</v>
      </c>
      <c r="B153" s="511" t="s">
        <v>718</v>
      </c>
      <c r="C153" s="535">
        <v>1804</v>
      </c>
      <c r="D153" s="534">
        <v>0</v>
      </c>
      <c r="E153" s="531">
        <f t="shared" si="17"/>
        <v>-1804</v>
      </c>
    </row>
    <row r="154" spans="1:5" s="506" customFormat="1" x14ac:dyDescent="0.2">
      <c r="A154" s="512">
        <v>6</v>
      </c>
      <c r="B154" s="511" t="s">
        <v>418</v>
      </c>
      <c r="C154" s="534">
        <v>83</v>
      </c>
      <c r="D154" s="534">
        <v>228</v>
      </c>
      <c r="E154" s="531">
        <f t="shared" si="17"/>
        <v>145</v>
      </c>
    </row>
    <row r="155" spans="1:5" s="506" customFormat="1" x14ac:dyDescent="0.2">
      <c r="A155" s="512">
        <v>7</v>
      </c>
      <c r="B155" s="511" t="s">
        <v>733</v>
      </c>
      <c r="C155" s="534">
        <v>945</v>
      </c>
      <c r="D155" s="534">
        <v>412</v>
      </c>
      <c r="E155" s="531">
        <f t="shared" si="17"/>
        <v>-533</v>
      </c>
    </row>
    <row r="156" spans="1:5" s="506" customFormat="1" x14ac:dyDescent="0.2">
      <c r="A156" s="512"/>
      <c r="B156" s="516" t="s">
        <v>782</v>
      </c>
      <c r="C156" s="532">
        <f>SUM(C150+C151+C154)</f>
        <v>96235</v>
      </c>
      <c r="D156" s="532">
        <f>SUM(D150+D151+D154)</f>
        <v>96061</v>
      </c>
      <c r="E156" s="533">
        <f t="shared" si="17"/>
        <v>-174</v>
      </c>
    </row>
    <row r="157" spans="1:5" s="506" customFormat="1" x14ac:dyDescent="0.2">
      <c r="A157" s="512"/>
      <c r="B157" s="516" t="s">
        <v>783</v>
      </c>
      <c r="C157" s="532">
        <f>SUM(C149+C156)</f>
        <v>124273</v>
      </c>
      <c r="D157" s="532">
        <f>SUM(D149+D156)</f>
        <v>121615</v>
      </c>
      <c r="E157" s="533">
        <f t="shared" si="17"/>
        <v>-2658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784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626</v>
      </c>
      <c r="C161" s="536">
        <f t="shared" ref="C161:D169" si="18">IF(C137=0,0,C149/C137)</f>
        <v>3.9618482407799913</v>
      </c>
      <c r="D161" s="536">
        <f t="shared" si="18"/>
        <v>4.1477032949196557</v>
      </c>
      <c r="E161" s="537">
        <f t="shared" ref="E161:E169" si="19">D161-C161</f>
        <v>0.18585505413966441</v>
      </c>
    </row>
    <row r="162" spans="1:5" s="506" customFormat="1" x14ac:dyDescent="0.2">
      <c r="A162" s="512">
        <v>2</v>
      </c>
      <c r="B162" s="511" t="s">
        <v>605</v>
      </c>
      <c r="C162" s="536">
        <f t="shared" si="18"/>
        <v>5.9606930239658071</v>
      </c>
      <c r="D162" s="536">
        <f t="shared" si="18"/>
        <v>5.9317357717168528</v>
      </c>
      <c r="E162" s="537">
        <f t="shared" si="19"/>
        <v>-2.8957252248954291E-2</v>
      </c>
    </row>
    <row r="163" spans="1:5" s="506" customFormat="1" x14ac:dyDescent="0.2">
      <c r="A163" s="512">
        <v>3</v>
      </c>
      <c r="B163" s="511" t="s">
        <v>751</v>
      </c>
      <c r="C163" s="536">
        <f t="shared" si="18"/>
        <v>4.8652654271085964</v>
      </c>
      <c r="D163" s="536">
        <f t="shared" si="18"/>
        <v>5.2561287027579162</v>
      </c>
      <c r="E163" s="537">
        <f t="shared" si="19"/>
        <v>0.39086327564931977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4.9275318374772592</v>
      </c>
      <c r="D164" s="536">
        <f t="shared" si="18"/>
        <v>5.2561287027579162</v>
      </c>
      <c r="E164" s="537">
        <f t="shared" si="19"/>
        <v>0.32859686528065701</v>
      </c>
    </row>
    <row r="165" spans="1:5" s="506" customFormat="1" x14ac:dyDescent="0.2">
      <c r="A165" s="512">
        <v>5</v>
      </c>
      <c r="B165" s="511" t="s">
        <v>718</v>
      </c>
      <c r="C165" s="536">
        <f t="shared" si="18"/>
        <v>4.3680387409200971</v>
      </c>
      <c r="D165" s="536">
        <f t="shared" si="18"/>
        <v>0</v>
      </c>
      <c r="E165" s="537">
        <f t="shared" si="19"/>
        <v>-4.3680387409200971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2.4411764705882355</v>
      </c>
      <c r="D166" s="536">
        <f t="shared" si="18"/>
        <v>6</v>
      </c>
      <c r="E166" s="537">
        <f t="shared" si="19"/>
        <v>3.5588235294117645</v>
      </c>
    </row>
    <row r="167" spans="1:5" s="506" customFormat="1" x14ac:dyDescent="0.2">
      <c r="A167" s="512">
        <v>7</v>
      </c>
      <c r="B167" s="511" t="s">
        <v>733</v>
      </c>
      <c r="C167" s="536">
        <f t="shared" si="18"/>
        <v>3.4870848708487086</v>
      </c>
      <c r="D167" s="536">
        <f t="shared" si="18"/>
        <v>3.6460176991150441</v>
      </c>
      <c r="E167" s="537">
        <f t="shared" si="19"/>
        <v>0.15893282826633559</v>
      </c>
    </row>
    <row r="168" spans="1:5" s="506" customFormat="1" x14ac:dyDescent="0.2">
      <c r="A168" s="512"/>
      <c r="B168" s="516" t="s">
        <v>785</v>
      </c>
      <c r="C168" s="538">
        <f t="shared" si="18"/>
        <v>5.7122929898498249</v>
      </c>
      <c r="D168" s="538">
        <f t="shared" si="18"/>
        <v>5.7728966346153845</v>
      </c>
      <c r="E168" s="539">
        <f t="shared" si="19"/>
        <v>6.0603644765559572E-2</v>
      </c>
    </row>
    <row r="169" spans="1:5" s="506" customFormat="1" x14ac:dyDescent="0.2">
      <c r="A169" s="512"/>
      <c r="B169" s="516" t="s">
        <v>719</v>
      </c>
      <c r="C169" s="538">
        <f t="shared" si="18"/>
        <v>5.1944908878114031</v>
      </c>
      <c r="D169" s="538">
        <f t="shared" si="18"/>
        <v>5.3337572913468705</v>
      </c>
      <c r="E169" s="539">
        <f t="shared" si="19"/>
        <v>0.13926640353546738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786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626</v>
      </c>
      <c r="C173" s="541">
        <f t="shared" ref="C173:D181" si="20">IF(C137=0,0,C203/C137)</f>
        <v>1.3996</v>
      </c>
      <c r="D173" s="541">
        <f t="shared" si="20"/>
        <v>1.4499799999999998</v>
      </c>
      <c r="E173" s="542">
        <f t="shared" ref="E173:E181" si="21">D173-C173</f>
        <v>5.0379999999999869E-2</v>
      </c>
    </row>
    <row r="174" spans="1:5" s="506" customFormat="1" x14ac:dyDescent="0.2">
      <c r="A174" s="512">
        <v>2</v>
      </c>
      <c r="B174" s="511" t="s">
        <v>605</v>
      </c>
      <c r="C174" s="541">
        <f t="shared" si="20"/>
        <v>1.5818000000000001</v>
      </c>
      <c r="D174" s="541">
        <f t="shared" si="20"/>
        <v>1.59995</v>
      </c>
      <c r="E174" s="542">
        <f t="shared" si="21"/>
        <v>1.8149999999999888E-2</v>
      </c>
    </row>
    <row r="175" spans="1:5" s="506" customFormat="1" x14ac:dyDescent="0.2">
      <c r="A175" s="512">
        <v>0</v>
      </c>
      <c r="B175" s="511" t="s">
        <v>751</v>
      </c>
      <c r="C175" s="541">
        <f t="shared" si="20"/>
        <v>0.98738477499326327</v>
      </c>
      <c r="D175" s="541">
        <f t="shared" si="20"/>
        <v>1.06264</v>
      </c>
      <c r="E175" s="542">
        <f t="shared" si="21"/>
        <v>7.5255225006736759E-2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0.96240000000000014</v>
      </c>
      <c r="D176" s="541">
        <f t="shared" si="20"/>
        <v>1.06264</v>
      </c>
      <c r="E176" s="542">
        <f t="shared" si="21"/>
        <v>0.10023999999999988</v>
      </c>
    </row>
    <row r="177" spans="1:5" s="506" customFormat="1" x14ac:dyDescent="0.2">
      <c r="A177" s="512">
        <v>5</v>
      </c>
      <c r="B177" s="511" t="s">
        <v>718</v>
      </c>
      <c r="C177" s="541">
        <f t="shared" si="20"/>
        <v>1.1869000000000001</v>
      </c>
      <c r="D177" s="541">
        <f t="shared" si="20"/>
        <v>0</v>
      </c>
      <c r="E177" s="542">
        <f t="shared" si="21"/>
        <v>-1.1869000000000001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0.87529999999999997</v>
      </c>
      <c r="D178" s="541">
        <f t="shared" si="20"/>
        <v>1.15724</v>
      </c>
      <c r="E178" s="542">
        <f t="shared" si="21"/>
        <v>0.28194000000000008</v>
      </c>
    </row>
    <row r="179" spans="1:5" s="506" customFormat="1" x14ac:dyDescent="0.2">
      <c r="A179" s="512">
        <v>7</v>
      </c>
      <c r="B179" s="511" t="s">
        <v>733</v>
      </c>
      <c r="C179" s="541">
        <f t="shared" si="20"/>
        <v>1.226</v>
      </c>
      <c r="D179" s="541">
        <f t="shared" si="20"/>
        <v>1.2416199999999999</v>
      </c>
      <c r="E179" s="542">
        <f t="shared" si="21"/>
        <v>1.5619999999999967E-2</v>
      </c>
    </row>
    <row r="180" spans="1:5" s="506" customFormat="1" x14ac:dyDescent="0.2">
      <c r="A180" s="512"/>
      <c r="B180" s="516" t="s">
        <v>787</v>
      </c>
      <c r="C180" s="543">
        <f t="shared" si="20"/>
        <v>1.449438398527928</v>
      </c>
      <c r="D180" s="543">
        <f t="shared" si="20"/>
        <v>1.4724903281249999</v>
      </c>
      <c r="E180" s="544">
        <f t="shared" si="21"/>
        <v>2.3051929597071918E-2</v>
      </c>
    </row>
    <row r="181" spans="1:5" s="506" customFormat="1" x14ac:dyDescent="0.2">
      <c r="A181" s="512"/>
      <c r="B181" s="516" t="s">
        <v>696</v>
      </c>
      <c r="C181" s="543">
        <f t="shared" si="20"/>
        <v>1.4346956152817256</v>
      </c>
      <c r="D181" s="543">
        <f t="shared" si="20"/>
        <v>1.4664078698302705</v>
      </c>
      <c r="E181" s="544">
        <f t="shared" si="21"/>
        <v>3.1712254548544871E-2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788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789</v>
      </c>
      <c r="C185" s="513">
        <v>403549441</v>
      </c>
      <c r="D185" s="513">
        <v>384002145</v>
      </c>
      <c r="E185" s="514">
        <f>D185-C185</f>
        <v>-19547296</v>
      </c>
    </row>
    <row r="186" spans="1:5" s="506" customFormat="1" ht="25.5" x14ac:dyDescent="0.2">
      <c r="A186" s="512">
        <v>2</v>
      </c>
      <c r="B186" s="511" t="s">
        <v>790</v>
      </c>
      <c r="C186" s="513">
        <v>205121510</v>
      </c>
      <c r="D186" s="513">
        <v>196051082</v>
      </c>
      <c r="E186" s="514">
        <f>D186-C186</f>
        <v>-9070428</v>
      </c>
    </row>
    <row r="187" spans="1:5" s="506" customFormat="1" x14ac:dyDescent="0.2">
      <c r="A187" s="512"/>
      <c r="B187" s="511" t="s">
        <v>638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722</v>
      </c>
      <c r="C188" s="546">
        <f>+C185-C186</f>
        <v>198427931</v>
      </c>
      <c r="D188" s="546">
        <f>+D185-D186</f>
        <v>187951063</v>
      </c>
      <c r="E188" s="514">
        <f t="shared" ref="E188:E197" si="22">D188-C188</f>
        <v>-10476868</v>
      </c>
    </row>
    <row r="189" spans="1:5" s="506" customFormat="1" x14ac:dyDescent="0.2">
      <c r="A189" s="512">
        <v>4</v>
      </c>
      <c r="B189" s="511" t="s">
        <v>640</v>
      </c>
      <c r="C189" s="547">
        <f>IF(C185=0,0,+C188/C185)</f>
        <v>0.49170661842150837</v>
      </c>
      <c r="D189" s="547">
        <f>IF(D185=0,0,+D188/D185)</f>
        <v>0.48945315917441035</v>
      </c>
      <c r="E189" s="523">
        <f t="shared" si="22"/>
        <v>-2.2534592470980219E-3</v>
      </c>
    </row>
    <row r="190" spans="1:5" s="506" customFormat="1" x14ac:dyDescent="0.2">
      <c r="A190" s="512">
        <v>5</v>
      </c>
      <c r="B190" s="511" t="s">
        <v>737</v>
      </c>
      <c r="C190" s="513">
        <v>16384971</v>
      </c>
      <c r="D190" s="513">
        <v>18332698</v>
      </c>
      <c r="E190" s="546">
        <f t="shared" si="22"/>
        <v>1947727</v>
      </c>
    </row>
    <row r="191" spans="1:5" s="506" customFormat="1" x14ac:dyDescent="0.2">
      <c r="A191" s="512">
        <v>6</v>
      </c>
      <c r="B191" s="511" t="s">
        <v>723</v>
      </c>
      <c r="C191" s="513">
        <v>8377175</v>
      </c>
      <c r="D191" s="513">
        <v>9755242</v>
      </c>
      <c r="E191" s="546">
        <f t="shared" si="22"/>
        <v>1378067</v>
      </c>
    </row>
    <row r="192" spans="1:5" ht="29.25" x14ac:dyDescent="0.2">
      <c r="A192" s="512">
        <v>7</v>
      </c>
      <c r="B192" s="548" t="s">
        <v>791</v>
      </c>
      <c r="C192" s="513">
        <v>2132962</v>
      </c>
      <c r="D192" s="513">
        <v>0</v>
      </c>
      <c r="E192" s="546">
        <f t="shared" si="22"/>
        <v>-2132962</v>
      </c>
    </row>
    <row r="193" spans="1:5" s="506" customFormat="1" x14ac:dyDescent="0.2">
      <c r="A193" s="512">
        <v>8</v>
      </c>
      <c r="B193" s="511" t="s">
        <v>792</v>
      </c>
      <c r="C193" s="513">
        <v>5390523</v>
      </c>
      <c r="D193" s="513">
        <v>5784587</v>
      </c>
      <c r="E193" s="546">
        <f t="shared" si="22"/>
        <v>394064</v>
      </c>
    </row>
    <row r="194" spans="1:5" s="506" customFormat="1" x14ac:dyDescent="0.2">
      <c r="A194" s="512">
        <v>9</v>
      </c>
      <c r="B194" s="511" t="s">
        <v>793</v>
      </c>
      <c r="C194" s="513">
        <v>24670997</v>
      </c>
      <c r="D194" s="513">
        <v>22840000</v>
      </c>
      <c r="E194" s="546">
        <f t="shared" si="22"/>
        <v>-1830997</v>
      </c>
    </row>
    <row r="195" spans="1:5" s="506" customFormat="1" x14ac:dyDescent="0.2">
      <c r="A195" s="512">
        <v>10</v>
      </c>
      <c r="B195" s="511" t="s">
        <v>794</v>
      </c>
      <c r="C195" s="513">
        <f>+C193+C194</f>
        <v>30061520</v>
      </c>
      <c r="D195" s="513">
        <f>+D193+D194</f>
        <v>28624587</v>
      </c>
      <c r="E195" s="549">
        <f t="shared" si="22"/>
        <v>-1436933</v>
      </c>
    </row>
    <row r="196" spans="1:5" s="506" customFormat="1" x14ac:dyDescent="0.2">
      <c r="A196" s="512">
        <v>11</v>
      </c>
      <c r="B196" s="511" t="s">
        <v>795</v>
      </c>
      <c r="C196" s="513">
        <v>403549441</v>
      </c>
      <c r="D196" s="513">
        <v>384002145</v>
      </c>
      <c r="E196" s="546">
        <f t="shared" si="22"/>
        <v>-19547296</v>
      </c>
    </row>
    <row r="197" spans="1:5" s="506" customFormat="1" x14ac:dyDescent="0.2">
      <c r="A197" s="512">
        <v>12</v>
      </c>
      <c r="B197" s="511" t="s">
        <v>680</v>
      </c>
      <c r="C197" s="513">
        <v>491472461</v>
      </c>
      <c r="D197" s="513">
        <v>498321475</v>
      </c>
      <c r="E197" s="546">
        <f t="shared" si="22"/>
        <v>6849014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796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797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626</v>
      </c>
      <c r="C203" s="553">
        <v>9904.9691999999995</v>
      </c>
      <c r="D203" s="553">
        <v>8933.3267799999994</v>
      </c>
      <c r="E203" s="554">
        <f t="shared" ref="E203:E211" si="23">D203-C203</f>
        <v>-971.64242000000013</v>
      </c>
    </row>
    <row r="204" spans="1:5" s="506" customFormat="1" x14ac:dyDescent="0.2">
      <c r="A204" s="512">
        <v>2</v>
      </c>
      <c r="B204" s="511" t="s">
        <v>605</v>
      </c>
      <c r="C204" s="553">
        <v>20724.743600000002</v>
      </c>
      <c r="D204" s="553">
        <v>20296.965700000001</v>
      </c>
      <c r="E204" s="554">
        <f t="shared" si="23"/>
        <v>-427.77790000000095</v>
      </c>
    </row>
    <row r="205" spans="1:5" s="506" customFormat="1" x14ac:dyDescent="0.2">
      <c r="A205" s="512">
        <v>3</v>
      </c>
      <c r="B205" s="511" t="s">
        <v>751</v>
      </c>
      <c r="C205" s="553">
        <f>C206+C207</f>
        <v>3664.1849000000002</v>
      </c>
      <c r="D205" s="553">
        <f>D206+D207</f>
        <v>4161.2982400000001</v>
      </c>
      <c r="E205" s="554">
        <f t="shared" si="23"/>
        <v>497.11333999999988</v>
      </c>
    </row>
    <row r="206" spans="1:5" s="506" customFormat="1" x14ac:dyDescent="0.2">
      <c r="A206" s="512">
        <v>4</v>
      </c>
      <c r="B206" s="511" t="s">
        <v>114</v>
      </c>
      <c r="C206" s="553">
        <v>3173.9952000000003</v>
      </c>
      <c r="D206" s="553">
        <v>4161.2982400000001</v>
      </c>
      <c r="E206" s="554">
        <f t="shared" si="23"/>
        <v>987.30303999999978</v>
      </c>
    </row>
    <row r="207" spans="1:5" s="506" customFormat="1" x14ac:dyDescent="0.2">
      <c r="A207" s="512">
        <v>5</v>
      </c>
      <c r="B207" s="511" t="s">
        <v>718</v>
      </c>
      <c r="C207" s="553">
        <v>490.18970000000002</v>
      </c>
      <c r="D207" s="553">
        <v>0</v>
      </c>
      <c r="E207" s="554">
        <f t="shared" si="23"/>
        <v>-490.18970000000002</v>
      </c>
    </row>
    <row r="208" spans="1:5" s="506" customFormat="1" x14ac:dyDescent="0.2">
      <c r="A208" s="512">
        <v>6</v>
      </c>
      <c r="B208" s="511" t="s">
        <v>418</v>
      </c>
      <c r="C208" s="553">
        <v>29.760199999999998</v>
      </c>
      <c r="D208" s="553">
        <v>43.975120000000004</v>
      </c>
      <c r="E208" s="554">
        <f t="shared" si="23"/>
        <v>14.214920000000006</v>
      </c>
    </row>
    <row r="209" spans="1:5" s="506" customFormat="1" x14ac:dyDescent="0.2">
      <c r="A209" s="512">
        <v>7</v>
      </c>
      <c r="B209" s="511" t="s">
        <v>733</v>
      </c>
      <c r="C209" s="553">
        <v>332.24599999999998</v>
      </c>
      <c r="D209" s="553">
        <v>140.30305999999999</v>
      </c>
      <c r="E209" s="554">
        <f t="shared" si="23"/>
        <v>-191.94293999999999</v>
      </c>
    </row>
    <row r="210" spans="1:5" s="506" customFormat="1" x14ac:dyDescent="0.2">
      <c r="A210" s="512"/>
      <c r="B210" s="516" t="s">
        <v>798</v>
      </c>
      <c r="C210" s="555">
        <f>C204+C205+C208</f>
        <v>24418.688700000002</v>
      </c>
      <c r="D210" s="555">
        <f>D204+D205+D208</f>
        <v>24502.23906</v>
      </c>
      <c r="E210" s="556">
        <f t="shared" si="23"/>
        <v>83.550359999997454</v>
      </c>
    </row>
    <row r="211" spans="1:5" s="506" customFormat="1" x14ac:dyDescent="0.2">
      <c r="A211" s="512"/>
      <c r="B211" s="516" t="s">
        <v>697</v>
      </c>
      <c r="C211" s="555">
        <f>C210+C203</f>
        <v>34323.657900000006</v>
      </c>
      <c r="D211" s="555">
        <f>D210+D203</f>
        <v>33435.565839999996</v>
      </c>
      <c r="E211" s="556">
        <f t="shared" si="23"/>
        <v>-888.09206000000995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799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626</v>
      </c>
      <c r="C215" s="557">
        <f>IF(C14*C137=0,0,C25/C14*C137)</f>
        <v>5406.6577649245246</v>
      </c>
      <c r="D215" s="557">
        <f>IF(D14*D137=0,0,D25/D14*D137)</f>
        <v>4852.8288137994005</v>
      </c>
      <c r="E215" s="557">
        <f t="shared" ref="E215:E223" si="24">D215-C215</f>
        <v>-553.82895112512415</v>
      </c>
    </row>
    <row r="216" spans="1:5" s="506" customFormat="1" x14ac:dyDescent="0.2">
      <c r="A216" s="512">
        <v>2</v>
      </c>
      <c r="B216" s="511" t="s">
        <v>605</v>
      </c>
      <c r="C216" s="557">
        <f>IF(C15*C138=0,0,C26/C15*C138)</f>
        <v>3476.8203849380266</v>
      </c>
      <c r="D216" s="557">
        <f>IF(D15*D138=0,0,D26/D15*D138)</f>
        <v>3543.2205918996233</v>
      </c>
      <c r="E216" s="557">
        <f t="shared" si="24"/>
        <v>66.400206961596723</v>
      </c>
    </row>
    <row r="217" spans="1:5" s="506" customFormat="1" x14ac:dyDescent="0.2">
      <c r="A217" s="512">
        <v>3</v>
      </c>
      <c r="B217" s="511" t="s">
        <v>751</v>
      </c>
      <c r="C217" s="557">
        <f>C218+C219</f>
        <v>3236.4469580162977</v>
      </c>
      <c r="D217" s="557">
        <f>D218+D219</f>
        <v>3423.4665220267921</v>
      </c>
      <c r="E217" s="557">
        <f t="shared" si="24"/>
        <v>187.01956401049438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2723.6425398987772</v>
      </c>
      <c r="D218" s="557">
        <f t="shared" si="25"/>
        <v>3423.4665220267921</v>
      </c>
      <c r="E218" s="557">
        <f t="shared" si="24"/>
        <v>699.8239821280149</v>
      </c>
    </row>
    <row r="219" spans="1:5" s="506" customFormat="1" x14ac:dyDescent="0.2">
      <c r="A219" s="512">
        <v>5</v>
      </c>
      <c r="B219" s="511" t="s">
        <v>718</v>
      </c>
      <c r="C219" s="557">
        <f t="shared" si="25"/>
        <v>512.80441811752041</v>
      </c>
      <c r="D219" s="557">
        <f t="shared" si="25"/>
        <v>0</v>
      </c>
      <c r="E219" s="557">
        <f t="shared" si="24"/>
        <v>-512.80441811752041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54.544442429451145</v>
      </c>
      <c r="D220" s="557">
        <f t="shared" si="25"/>
        <v>23.40165795423281</v>
      </c>
      <c r="E220" s="557">
        <f t="shared" si="24"/>
        <v>-31.142784475218335</v>
      </c>
    </row>
    <row r="221" spans="1:5" s="506" customFormat="1" x14ac:dyDescent="0.2">
      <c r="A221" s="512">
        <v>7</v>
      </c>
      <c r="B221" s="511" t="s">
        <v>733</v>
      </c>
      <c r="C221" s="557">
        <f t="shared" si="25"/>
        <v>520.49828330238699</v>
      </c>
      <c r="D221" s="557">
        <f t="shared" si="25"/>
        <v>485.60202526434654</v>
      </c>
      <c r="E221" s="557">
        <f t="shared" si="24"/>
        <v>-34.896258038040457</v>
      </c>
    </row>
    <row r="222" spans="1:5" s="506" customFormat="1" x14ac:dyDescent="0.2">
      <c r="A222" s="512"/>
      <c r="B222" s="516" t="s">
        <v>800</v>
      </c>
      <c r="C222" s="558">
        <f>C216+C218+C219+C220</f>
        <v>6767.8117853837748</v>
      </c>
      <c r="D222" s="558">
        <f>D216+D218+D219+D220</f>
        <v>6990.088771880648</v>
      </c>
      <c r="E222" s="558">
        <f t="shared" si="24"/>
        <v>222.27698649687318</v>
      </c>
    </row>
    <row r="223" spans="1:5" s="506" customFormat="1" x14ac:dyDescent="0.2">
      <c r="A223" s="512"/>
      <c r="B223" s="516" t="s">
        <v>801</v>
      </c>
      <c r="C223" s="558">
        <f>C215+C222</f>
        <v>12174.469550308298</v>
      </c>
      <c r="D223" s="558">
        <f>D215+D222</f>
        <v>11842.917585680048</v>
      </c>
      <c r="E223" s="558">
        <f t="shared" si="24"/>
        <v>-331.55196462825006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802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626</v>
      </c>
      <c r="C227" s="560">
        <f t="shared" ref="C227:D235" si="26">IF(C203=0,0,C47/C203)</f>
        <v>10267.486848924276</v>
      </c>
      <c r="D227" s="560">
        <f t="shared" si="26"/>
        <v>10946.058104459044</v>
      </c>
      <c r="E227" s="560">
        <f t="shared" ref="E227:E235" si="27">D227-C227</f>
        <v>678.57125553476726</v>
      </c>
    </row>
    <row r="228" spans="1:5" s="506" customFormat="1" x14ac:dyDescent="0.2">
      <c r="A228" s="512">
        <v>2</v>
      </c>
      <c r="B228" s="511" t="s">
        <v>605</v>
      </c>
      <c r="C228" s="560">
        <f t="shared" si="26"/>
        <v>8686.1803202235988</v>
      </c>
      <c r="D228" s="560">
        <f t="shared" si="26"/>
        <v>8711.7286698671414</v>
      </c>
      <c r="E228" s="560">
        <f t="shared" si="27"/>
        <v>25.548349643542679</v>
      </c>
    </row>
    <row r="229" spans="1:5" s="506" customFormat="1" x14ac:dyDescent="0.2">
      <c r="A229" s="512">
        <v>3</v>
      </c>
      <c r="B229" s="511" t="s">
        <v>751</v>
      </c>
      <c r="C229" s="560">
        <f t="shared" si="26"/>
        <v>6321.4091625125138</v>
      </c>
      <c r="D229" s="560">
        <f t="shared" si="26"/>
        <v>7041.9324234736896</v>
      </c>
      <c r="E229" s="560">
        <f t="shared" si="27"/>
        <v>720.52326096117577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6923.9439933620561</v>
      </c>
      <c r="D230" s="560">
        <f t="shared" si="26"/>
        <v>7041.9324234736896</v>
      </c>
      <c r="E230" s="560">
        <f t="shared" si="27"/>
        <v>117.98843011163353</v>
      </c>
    </row>
    <row r="231" spans="1:5" s="506" customFormat="1" x14ac:dyDescent="0.2">
      <c r="A231" s="512">
        <v>5</v>
      </c>
      <c r="B231" s="511" t="s">
        <v>718</v>
      </c>
      <c r="C231" s="560">
        <f t="shared" si="26"/>
        <v>2419.9753687194975</v>
      </c>
      <c r="D231" s="560">
        <f t="shared" si="26"/>
        <v>0</v>
      </c>
      <c r="E231" s="560">
        <f t="shared" si="27"/>
        <v>-2419.9753687194975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5935.7800014784852</v>
      </c>
      <c r="D232" s="560">
        <f t="shared" si="26"/>
        <v>9111.5157843798934</v>
      </c>
      <c r="E232" s="560">
        <f t="shared" si="27"/>
        <v>3175.7357829014081</v>
      </c>
    </row>
    <row r="233" spans="1:5" s="506" customFormat="1" x14ac:dyDescent="0.2">
      <c r="A233" s="512">
        <v>7</v>
      </c>
      <c r="B233" s="511" t="s">
        <v>733</v>
      </c>
      <c r="C233" s="560">
        <f t="shared" si="26"/>
        <v>2777.6436736634905</v>
      </c>
      <c r="D233" s="560">
        <f t="shared" si="26"/>
        <v>4720.2035365443926</v>
      </c>
      <c r="E233" s="560">
        <f t="shared" si="27"/>
        <v>1942.5598628809021</v>
      </c>
    </row>
    <row r="234" spans="1:5" x14ac:dyDescent="0.2">
      <c r="A234" s="512"/>
      <c r="B234" s="516" t="s">
        <v>803</v>
      </c>
      <c r="C234" s="561">
        <f t="shared" si="26"/>
        <v>8327.9788074778953</v>
      </c>
      <c r="D234" s="561">
        <f t="shared" si="26"/>
        <v>8428.8590317916842</v>
      </c>
      <c r="E234" s="561">
        <f t="shared" si="27"/>
        <v>100.88022431378886</v>
      </c>
    </row>
    <row r="235" spans="1:5" s="506" customFormat="1" x14ac:dyDescent="0.2">
      <c r="A235" s="512"/>
      <c r="B235" s="516" t="s">
        <v>804</v>
      </c>
      <c r="C235" s="561">
        <f t="shared" si="26"/>
        <v>8887.673449280006</v>
      </c>
      <c r="D235" s="561">
        <f t="shared" si="26"/>
        <v>9101.4052059482074</v>
      </c>
      <c r="E235" s="561">
        <f t="shared" si="27"/>
        <v>213.73175666820134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805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626</v>
      </c>
      <c r="C239" s="560">
        <f t="shared" ref="C239:D247" si="28">IF(C215=0,0,C58/C215)</f>
        <v>15049.712509616536</v>
      </c>
      <c r="D239" s="560">
        <f t="shared" si="28"/>
        <v>16118.276576659257</v>
      </c>
      <c r="E239" s="562">
        <f t="shared" ref="E239:E247" si="29">D239-C239</f>
        <v>1068.5640670427201</v>
      </c>
    </row>
    <row r="240" spans="1:5" s="506" customFormat="1" x14ac:dyDescent="0.2">
      <c r="A240" s="512">
        <v>2</v>
      </c>
      <c r="B240" s="511" t="s">
        <v>605</v>
      </c>
      <c r="C240" s="560">
        <f t="shared" si="28"/>
        <v>12212.682652214968</v>
      </c>
      <c r="D240" s="560">
        <f t="shared" si="28"/>
        <v>13542.84859082784</v>
      </c>
      <c r="E240" s="562">
        <f t="shared" si="29"/>
        <v>1330.1659386128722</v>
      </c>
    </row>
    <row r="241" spans="1:5" x14ac:dyDescent="0.2">
      <c r="A241" s="512">
        <v>3</v>
      </c>
      <c r="B241" s="511" t="s">
        <v>751</v>
      </c>
      <c r="C241" s="560">
        <f t="shared" si="28"/>
        <v>5503.3872734676552</v>
      </c>
      <c r="D241" s="560">
        <f t="shared" si="28"/>
        <v>7915.8913416089536</v>
      </c>
      <c r="E241" s="562">
        <f t="shared" si="29"/>
        <v>2412.5040681412984</v>
      </c>
    </row>
    <row r="242" spans="1:5" x14ac:dyDescent="0.2">
      <c r="A242" s="512">
        <v>4</v>
      </c>
      <c r="B242" s="511" t="s">
        <v>114</v>
      </c>
      <c r="C242" s="560">
        <f t="shared" si="28"/>
        <v>5773.3681162816601</v>
      </c>
      <c r="D242" s="560">
        <f t="shared" si="28"/>
        <v>7915.8913416089536</v>
      </c>
      <c r="E242" s="562">
        <f t="shared" si="29"/>
        <v>2142.5232253272934</v>
      </c>
    </row>
    <row r="243" spans="1:5" x14ac:dyDescent="0.2">
      <c r="A243" s="512">
        <v>5</v>
      </c>
      <c r="B243" s="511" t="s">
        <v>718</v>
      </c>
      <c r="C243" s="560">
        <f t="shared" si="28"/>
        <v>4069.4462182300408</v>
      </c>
      <c r="D243" s="560">
        <f t="shared" si="28"/>
        <v>0</v>
      </c>
      <c r="E243" s="562">
        <f t="shared" si="29"/>
        <v>-4069.4462182300408</v>
      </c>
    </row>
    <row r="244" spans="1:5" x14ac:dyDescent="0.2">
      <c r="A244" s="512">
        <v>6</v>
      </c>
      <c r="B244" s="511" t="s">
        <v>418</v>
      </c>
      <c r="C244" s="560">
        <f t="shared" si="28"/>
        <v>3908.3541879767113</v>
      </c>
      <c r="D244" s="560">
        <f t="shared" si="28"/>
        <v>6486.6344212395134</v>
      </c>
      <c r="E244" s="562">
        <f t="shared" si="29"/>
        <v>2578.2802332628021</v>
      </c>
    </row>
    <row r="245" spans="1:5" x14ac:dyDescent="0.2">
      <c r="A245" s="512">
        <v>7</v>
      </c>
      <c r="B245" s="511" t="s">
        <v>733</v>
      </c>
      <c r="C245" s="560">
        <f t="shared" si="28"/>
        <v>7630.3844362396694</v>
      </c>
      <c r="D245" s="560">
        <f t="shared" si="28"/>
        <v>9386.0543467025891</v>
      </c>
      <c r="E245" s="562">
        <f t="shared" si="29"/>
        <v>1755.6699104629197</v>
      </c>
    </row>
    <row r="246" spans="1:5" ht="25.5" x14ac:dyDescent="0.2">
      <c r="A246" s="512"/>
      <c r="B246" s="516" t="s">
        <v>806</v>
      </c>
      <c r="C246" s="561">
        <f t="shared" si="28"/>
        <v>8937.2910946828433</v>
      </c>
      <c r="D246" s="561">
        <f t="shared" si="28"/>
        <v>10763.366454322997</v>
      </c>
      <c r="E246" s="563">
        <f t="shared" si="29"/>
        <v>1826.0753596401537</v>
      </c>
    </row>
    <row r="247" spans="1:5" x14ac:dyDescent="0.2">
      <c r="A247" s="512"/>
      <c r="B247" s="516" t="s">
        <v>807</v>
      </c>
      <c r="C247" s="561">
        <f t="shared" si="28"/>
        <v>11651.805313883902</v>
      </c>
      <c r="D247" s="561">
        <f t="shared" si="28"/>
        <v>12957.628294699323</v>
      </c>
      <c r="E247" s="563">
        <f t="shared" si="29"/>
        <v>1305.822980815421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735</v>
      </c>
      <c r="B249" s="550" t="s">
        <v>732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17538390.997856509</v>
      </c>
      <c r="D251" s="546">
        <f>((IF((IF(D15=0,0,D26/D15)*D138)=0,0,D59/(IF(D15=0,0,D26/D15)*D138)))-(IF((IF(D17=0,0,D28/D17)*D140)=0,0,D61/(IF(D17=0,0,D28/D17)*D140))))*(IF(D17=0,0,D28/D17)*D140)</f>
        <v>19263699.763576824</v>
      </c>
      <c r="E251" s="546">
        <f>D251-C251</f>
        <v>1725308.7657203153</v>
      </c>
    </row>
    <row r="252" spans="1:5" x14ac:dyDescent="0.2">
      <c r="A252" s="512">
        <v>2</v>
      </c>
      <c r="B252" s="511" t="s">
        <v>718</v>
      </c>
      <c r="C252" s="546">
        <f>IF(C231=0,0,(C228-C231)*C207)+IF(C243=0,0,(C240-C243)*C219)</f>
        <v>7247516.7464393424</v>
      </c>
      <c r="D252" s="546">
        <f>IF(D231=0,0,(D228-D231)*D207)+IF(D243=0,0,(D240-D243)*D219)</f>
        <v>0</v>
      </c>
      <c r="E252" s="546">
        <f>D252-C252</f>
        <v>-7247516.7464393424</v>
      </c>
    </row>
    <row r="253" spans="1:5" x14ac:dyDescent="0.2">
      <c r="A253" s="512">
        <v>3</v>
      </c>
      <c r="B253" s="511" t="s">
        <v>733</v>
      </c>
      <c r="C253" s="546">
        <f>IF(C233=0,0,(C228-C233)*C209+IF(C221=0,0,(C240-C245)*C221))</f>
        <v>4348166.0216677431</v>
      </c>
      <c r="D253" s="546">
        <f>IF(D233=0,0,(D228-D233)*D209+IF(D221=0,0,(D240-D245)*D221))</f>
        <v>2578570.8938264898</v>
      </c>
      <c r="E253" s="546">
        <f>D253-C253</f>
        <v>-1769595.1278412533</v>
      </c>
    </row>
    <row r="254" spans="1:5" ht="15" customHeight="1" x14ac:dyDescent="0.2">
      <c r="A254" s="512"/>
      <c r="B254" s="516" t="s">
        <v>734</v>
      </c>
      <c r="C254" s="564">
        <f>+C251+C252+C253</f>
        <v>29134073.765963592</v>
      </c>
      <c r="D254" s="564">
        <f>+D251+D252+D253</f>
        <v>21842270.657403313</v>
      </c>
      <c r="E254" s="564">
        <f>D254-C254</f>
        <v>-7291803.108560279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808</v>
      </c>
      <c r="B256" s="550" t="s">
        <v>809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700</v>
      </c>
      <c r="C258" s="546">
        <f>+C44</f>
        <v>1287870181</v>
      </c>
      <c r="D258" s="549">
        <f>+D44</f>
        <v>1368811124</v>
      </c>
      <c r="E258" s="546">
        <f t="shared" ref="E258:E271" si="30">D258-C258</f>
        <v>80940943</v>
      </c>
    </row>
    <row r="259" spans="1:5" x14ac:dyDescent="0.2">
      <c r="A259" s="512">
        <v>2</v>
      </c>
      <c r="B259" s="511" t="s">
        <v>717</v>
      </c>
      <c r="C259" s="546">
        <f>+(C43-C76)</f>
        <v>604091543</v>
      </c>
      <c r="D259" s="549">
        <f>+(D43-D76)</f>
        <v>684713475</v>
      </c>
      <c r="E259" s="546">
        <f t="shared" si="30"/>
        <v>80621932</v>
      </c>
    </row>
    <row r="260" spans="1:5" x14ac:dyDescent="0.2">
      <c r="A260" s="512">
        <v>3</v>
      </c>
      <c r="B260" s="511" t="s">
        <v>721</v>
      </c>
      <c r="C260" s="546">
        <f>C195</f>
        <v>30061520</v>
      </c>
      <c r="D260" s="546">
        <f>D195</f>
        <v>28624587</v>
      </c>
      <c r="E260" s="546">
        <f t="shared" si="30"/>
        <v>-1436933</v>
      </c>
    </row>
    <row r="261" spans="1:5" x14ac:dyDescent="0.2">
      <c r="A261" s="512">
        <v>4</v>
      </c>
      <c r="B261" s="511" t="s">
        <v>722</v>
      </c>
      <c r="C261" s="546">
        <f>C188</f>
        <v>198427931</v>
      </c>
      <c r="D261" s="546">
        <f>D188</f>
        <v>187951063</v>
      </c>
      <c r="E261" s="546">
        <f t="shared" si="30"/>
        <v>-10476868</v>
      </c>
    </row>
    <row r="262" spans="1:5" x14ac:dyDescent="0.2">
      <c r="A262" s="512">
        <v>5</v>
      </c>
      <c r="B262" s="511" t="s">
        <v>723</v>
      </c>
      <c r="C262" s="546">
        <f>C191</f>
        <v>8377175</v>
      </c>
      <c r="D262" s="546">
        <f>D191</f>
        <v>9755242</v>
      </c>
      <c r="E262" s="546">
        <f t="shared" si="30"/>
        <v>1378067</v>
      </c>
    </row>
    <row r="263" spans="1:5" x14ac:dyDescent="0.2">
      <c r="A263" s="512">
        <v>6</v>
      </c>
      <c r="B263" s="511" t="s">
        <v>724</v>
      </c>
      <c r="C263" s="546">
        <f>+C259+C260+C261+C262</f>
        <v>840958169</v>
      </c>
      <c r="D263" s="546">
        <f>+D259+D260+D261+D262</f>
        <v>911044367</v>
      </c>
      <c r="E263" s="546">
        <f t="shared" si="30"/>
        <v>70086198</v>
      </c>
    </row>
    <row r="264" spans="1:5" x14ac:dyDescent="0.2">
      <c r="A264" s="512">
        <v>7</v>
      </c>
      <c r="B264" s="511" t="s">
        <v>624</v>
      </c>
      <c r="C264" s="546">
        <f>+C258-C263</f>
        <v>446912012</v>
      </c>
      <c r="D264" s="546">
        <f>+D258-D263</f>
        <v>457766757</v>
      </c>
      <c r="E264" s="546">
        <f t="shared" si="30"/>
        <v>10854745</v>
      </c>
    </row>
    <row r="265" spans="1:5" x14ac:dyDescent="0.2">
      <c r="A265" s="512">
        <v>8</v>
      </c>
      <c r="B265" s="511" t="s">
        <v>810</v>
      </c>
      <c r="C265" s="565">
        <f>C192</f>
        <v>2132962</v>
      </c>
      <c r="D265" s="565">
        <f>D192</f>
        <v>0</v>
      </c>
      <c r="E265" s="546">
        <f t="shared" si="30"/>
        <v>-2132962</v>
      </c>
    </row>
    <row r="266" spans="1:5" x14ac:dyDescent="0.2">
      <c r="A266" s="512">
        <v>9</v>
      </c>
      <c r="B266" s="511" t="s">
        <v>811</v>
      </c>
      <c r="C266" s="546">
        <f>+C264+C265</f>
        <v>449044974</v>
      </c>
      <c r="D266" s="546">
        <f>+D264+D265</f>
        <v>457766757</v>
      </c>
      <c r="E266" s="565">
        <f t="shared" si="30"/>
        <v>8721783</v>
      </c>
    </row>
    <row r="267" spans="1:5" x14ac:dyDescent="0.2">
      <c r="A267" s="512">
        <v>10</v>
      </c>
      <c r="B267" s="511" t="s">
        <v>812</v>
      </c>
      <c r="C267" s="566">
        <f>IF(C258=0,0,C266/C258)</f>
        <v>0.34867254528040043</v>
      </c>
      <c r="D267" s="566">
        <f>IF(D258=0,0,D266/D258)</f>
        <v>0.33442653188139931</v>
      </c>
      <c r="E267" s="567">
        <f t="shared" si="30"/>
        <v>-1.4246013399001112E-2</v>
      </c>
    </row>
    <row r="268" spans="1:5" x14ac:dyDescent="0.2">
      <c r="A268" s="512">
        <v>11</v>
      </c>
      <c r="B268" s="511" t="s">
        <v>686</v>
      </c>
      <c r="C268" s="546">
        <f>+C260*C267</f>
        <v>10481626.693397664</v>
      </c>
      <c r="D268" s="568">
        <f>+D260*D267</f>
        <v>9572821.3569473885</v>
      </c>
      <c r="E268" s="546">
        <f t="shared" si="30"/>
        <v>-908805.33645027503</v>
      </c>
    </row>
    <row r="269" spans="1:5" x14ac:dyDescent="0.2">
      <c r="A269" s="512">
        <v>12</v>
      </c>
      <c r="B269" s="511" t="s">
        <v>813</v>
      </c>
      <c r="C269" s="546">
        <f>((C17+C18+C28+C29)*C267)-(C50+C51+C61+C62)</f>
        <v>21230729.400039636</v>
      </c>
      <c r="D269" s="568">
        <f>((D17+D18+D28+D29)*D267)-(D50+D51+D61+D62)</f>
        <v>19028828.431858316</v>
      </c>
      <c r="E269" s="546">
        <f t="shared" si="30"/>
        <v>-2201900.9681813195</v>
      </c>
    </row>
    <row r="270" spans="1:5" s="569" customFormat="1" x14ac:dyDescent="0.2">
      <c r="A270" s="570">
        <v>13</v>
      </c>
      <c r="B270" s="571" t="s">
        <v>814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815</v>
      </c>
      <c r="C271" s="546">
        <f>+C268+C269+C270</f>
        <v>31712356.093437299</v>
      </c>
      <c r="D271" s="546">
        <f>+D268+D269+D270</f>
        <v>28601649.788805705</v>
      </c>
      <c r="E271" s="549">
        <f t="shared" si="30"/>
        <v>-3110706.3046315946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816</v>
      </c>
      <c r="B273" s="550" t="s">
        <v>817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818</v>
      </c>
      <c r="C275" s="340"/>
      <c r="D275" s="340"/>
      <c r="E275" s="520"/>
    </row>
    <row r="276" spans="1:5" x14ac:dyDescent="0.2">
      <c r="A276" s="512">
        <v>1</v>
      </c>
      <c r="B276" s="511" t="s">
        <v>626</v>
      </c>
      <c r="C276" s="547">
        <f t="shared" ref="C276:D284" si="31">IF(C14=0,0,+C47/C14)</f>
        <v>0.42719727951753672</v>
      </c>
      <c r="D276" s="547">
        <f t="shared" si="31"/>
        <v>0.43448064863474062</v>
      </c>
      <c r="E276" s="574">
        <f t="shared" ref="E276:E284" si="32">D276-C276</f>
        <v>7.2833691172038972E-3</v>
      </c>
    </row>
    <row r="277" spans="1:5" x14ac:dyDescent="0.2">
      <c r="A277" s="512">
        <v>2</v>
      </c>
      <c r="B277" s="511" t="s">
        <v>605</v>
      </c>
      <c r="C277" s="547">
        <f t="shared" si="31"/>
        <v>0.33098885515848847</v>
      </c>
      <c r="D277" s="547">
        <f t="shared" si="31"/>
        <v>0.30614468362155933</v>
      </c>
      <c r="E277" s="574">
        <f t="shared" si="32"/>
        <v>-2.4844171536929138E-2</v>
      </c>
    </row>
    <row r="278" spans="1:5" x14ac:dyDescent="0.2">
      <c r="A278" s="512">
        <v>3</v>
      </c>
      <c r="B278" s="511" t="s">
        <v>751</v>
      </c>
      <c r="C278" s="547">
        <f t="shared" si="31"/>
        <v>0.24346378058226523</v>
      </c>
      <c r="D278" s="547">
        <f t="shared" si="31"/>
        <v>0.24349299214755449</v>
      </c>
      <c r="E278" s="574">
        <f t="shared" si="32"/>
        <v>2.9211565289261054E-5</v>
      </c>
    </row>
    <row r="279" spans="1:5" x14ac:dyDescent="0.2">
      <c r="A279" s="512">
        <v>4</v>
      </c>
      <c r="B279" s="511" t="s">
        <v>114</v>
      </c>
      <c r="C279" s="547">
        <f t="shared" si="31"/>
        <v>0.26211338271130219</v>
      </c>
      <c r="D279" s="547">
        <f t="shared" si="31"/>
        <v>0.24349299214755449</v>
      </c>
      <c r="E279" s="574">
        <f t="shared" si="32"/>
        <v>-1.8620390563747702E-2</v>
      </c>
    </row>
    <row r="280" spans="1:5" x14ac:dyDescent="0.2">
      <c r="A280" s="512">
        <v>5</v>
      </c>
      <c r="B280" s="511" t="s">
        <v>718</v>
      </c>
      <c r="C280" s="547">
        <f t="shared" si="31"/>
        <v>0.10502500198983594</v>
      </c>
      <c r="D280" s="547">
        <f t="shared" si="31"/>
        <v>0</v>
      </c>
      <c r="E280" s="574">
        <f t="shared" si="32"/>
        <v>-0.10502500198983594</v>
      </c>
    </row>
    <row r="281" spans="1:5" x14ac:dyDescent="0.2">
      <c r="A281" s="512">
        <v>6</v>
      </c>
      <c r="B281" s="511" t="s">
        <v>418</v>
      </c>
      <c r="C281" s="547">
        <f t="shared" si="31"/>
        <v>0.34821055453491767</v>
      </c>
      <c r="D281" s="547">
        <f t="shared" si="31"/>
        <v>0.31953299759560749</v>
      </c>
      <c r="E281" s="574">
        <f t="shared" si="32"/>
        <v>-2.8677556939310178E-2</v>
      </c>
    </row>
    <row r="282" spans="1:5" x14ac:dyDescent="0.2">
      <c r="A282" s="512">
        <v>7</v>
      </c>
      <c r="B282" s="511" t="s">
        <v>733</v>
      </c>
      <c r="C282" s="547">
        <f t="shared" si="31"/>
        <v>9.0338899230427663E-2</v>
      </c>
      <c r="D282" s="547">
        <f t="shared" si="31"/>
        <v>0.17342697520754652</v>
      </c>
      <c r="E282" s="574">
        <f t="shared" si="32"/>
        <v>8.3088075977118855E-2</v>
      </c>
    </row>
    <row r="283" spans="1:5" ht="29.25" customHeight="1" x14ac:dyDescent="0.2">
      <c r="A283" s="512"/>
      <c r="B283" s="516" t="s">
        <v>819</v>
      </c>
      <c r="C283" s="575">
        <f t="shared" si="31"/>
        <v>0.31798194843989619</v>
      </c>
      <c r="D283" s="575">
        <f t="shared" si="31"/>
        <v>0.29538468140957647</v>
      </c>
      <c r="E283" s="576">
        <f t="shared" si="32"/>
        <v>-2.2597267030319723E-2</v>
      </c>
    </row>
    <row r="284" spans="1:5" x14ac:dyDescent="0.2">
      <c r="A284" s="512"/>
      <c r="B284" s="516" t="s">
        <v>820</v>
      </c>
      <c r="C284" s="575">
        <f t="shared" si="31"/>
        <v>0.34760850317452352</v>
      </c>
      <c r="D284" s="575">
        <f t="shared" si="31"/>
        <v>0.32925595975823874</v>
      </c>
      <c r="E284" s="576">
        <f t="shared" si="32"/>
        <v>-1.8352543416284783E-2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821</v>
      </c>
      <c r="C286" s="520"/>
      <c r="D286" s="520"/>
      <c r="E286" s="520"/>
    </row>
    <row r="287" spans="1:5" x14ac:dyDescent="0.2">
      <c r="A287" s="512">
        <v>1</v>
      </c>
      <c r="B287" s="511" t="s">
        <v>626</v>
      </c>
      <c r="C287" s="547">
        <f t="shared" ref="C287:D295" si="33">IF(C25=0,0,+C58/C25)</f>
        <v>0.44739239048253143</v>
      </c>
      <c r="D287" s="547">
        <f t="shared" si="33"/>
        <v>0.44123431534066188</v>
      </c>
      <c r="E287" s="574">
        <f t="shared" ref="E287:E295" si="34">D287-C287</f>
        <v>-6.1580751418695567E-3</v>
      </c>
    </row>
    <row r="288" spans="1:5" x14ac:dyDescent="0.2">
      <c r="A288" s="512">
        <v>2</v>
      </c>
      <c r="B288" s="511" t="s">
        <v>605</v>
      </c>
      <c r="C288" s="547">
        <f t="shared" si="33"/>
        <v>0.29420092290198557</v>
      </c>
      <c r="D288" s="547">
        <f t="shared" si="33"/>
        <v>0.29745823296569912</v>
      </c>
      <c r="E288" s="574">
        <f t="shared" si="34"/>
        <v>3.2573100637135477E-3</v>
      </c>
    </row>
    <row r="289" spans="1:5" x14ac:dyDescent="0.2">
      <c r="A289" s="512">
        <v>3</v>
      </c>
      <c r="B289" s="511" t="s">
        <v>751</v>
      </c>
      <c r="C289" s="547">
        <f t="shared" si="33"/>
        <v>0.2139086837715109</v>
      </c>
      <c r="D289" s="547">
        <f t="shared" si="33"/>
        <v>0.25757771008933472</v>
      </c>
      <c r="E289" s="574">
        <f t="shared" si="34"/>
        <v>4.3669026317823822E-2</v>
      </c>
    </row>
    <row r="290" spans="1:5" x14ac:dyDescent="0.2">
      <c r="A290" s="512">
        <v>4</v>
      </c>
      <c r="B290" s="511" t="s">
        <v>114</v>
      </c>
      <c r="C290" s="547">
        <f t="shared" si="33"/>
        <v>0.22709589508979908</v>
      </c>
      <c r="D290" s="547">
        <f t="shared" si="33"/>
        <v>0.25757771008933472</v>
      </c>
      <c r="E290" s="574">
        <f t="shared" si="34"/>
        <v>3.0481814999535645E-2</v>
      </c>
    </row>
    <row r="291" spans="1:5" x14ac:dyDescent="0.2">
      <c r="A291" s="512">
        <v>5</v>
      </c>
      <c r="B291" s="511" t="s">
        <v>718</v>
      </c>
      <c r="C291" s="547">
        <f t="shared" si="33"/>
        <v>0.14880000171130378</v>
      </c>
      <c r="D291" s="547">
        <f t="shared" si="33"/>
        <v>0</v>
      </c>
      <c r="E291" s="574">
        <f t="shared" si="34"/>
        <v>-0.14880000171130378</v>
      </c>
    </row>
    <row r="292" spans="1:5" x14ac:dyDescent="0.2">
      <c r="A292" s="512">
        <v>6</v>
      </c>
      <c r="B292" s="511" t="s">
        <v>418</v>
      </c>
      <c r="C292" s="547">
        <f t="shared" si="33"/>
        <v>0.26193957594047046</v>
      </c>
      <c r="D292" s="547">
        <f t="shared" si="33"/>
        <v>0.19657173344107368</v>
      </c>
      <c r="E292" s="574">
        <f t="shared" si="34"/>
        <v>-6.5367842499396783E-2</v>
      </c>
    </row>
    <row r="293" spans="1:5" x14ac:dyDescent="0.2">
      <c r="A293" s="512">
        <v>7</v>
      </c>
      <c r="B293" s="511" t="s">
        <v>733</v>
      </c>
      <c r="C293" s="547">
        <f t="shared" si="33"/>
        <v>0.20242036862852827</v>
      </c>
      <c r="D293" s="547">
        <f t="shared" si="33"/>
        <v>0.27774758310041386</v>
      </c>
      <c r="E293" s="574">
        <f t="shared" si="34"/>
        <v>7.532721447188559E-2</v>
      </c>
    </row>
    <row r="294" spans="1:5" ht="29.25" customHeight="1" x14ac:dyDescent="0.2">
      <c r="A294" s="512"/>
      <c r="B294" s="516" t="s">
        <v>822</v>
      </c>
      <c r="C294" s="575">
        <f t="shared" si="33"/>
        <v>0.26481530386032598</v>
      </c>
      <c r="D294" s="575">
        <f t="shared" si="33"/>
        <v>0.28146967849239768</v>
      </c>
      <c r="E294" s="576">
        <f t="shared" si="34"/>
        <v>1.66543746320717E-2</v>
      </c>
    </row>
    <row r="295" spans="1:5" x14ac:dyDescent="0.2">
      <c r="A295" s="512"/>
      <c r="B295" s="516" t="s">
        <v>823</v>
      </c>
      <c r="C295" s="575">
        <f t="shared" si="33"/>
        <v>0.34574974318332796</v>
      </c>
      <c r="D295" s="575">
        <f t="shared" si="33"/>
        <v>0.34517578219283584</v>
      </c>
      <c r="E295" s="576">
        <f t="shared" si="34"/>
        <v>-5.7396099049211724E-4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824</v>
      </c>
      <c r="B297" s="501" t="s">
        <v>825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826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624</v>
      </c>
      <c r="C301" s="514">
        <f>+C48+C47+C50+C51+C52+C59+C58+C61+C62+C63</f>
        <v>446912012</v>
      </c>
      <c r="D301" s="514">
        <f>+D48+D47+D50+D51+D52+D59+D58+D61+D62+D63</f>
        <v>457766757</v>
      </c>
      <c r="E301" s="514">
        <f>D301-C301</f>
        <v>10854745</v>
      </c>
    </row>
    <row r="302" spans="1:5" ht="25.5" x14ac:dyDescent="0.2">
      <c r="A302" s="512">
        <v>2</v>
      </c>
      <c r="B302" s="511" t="s">
        <v>827</v>
      </c>
      <c r="C302" s="546">
        <f>C265</f>
        <v>2132962</v>
      </c>
      <c r="D302" s="546">
        <f>D265</f>
        <v>0</v>
      </c>
      <c r="E302" s="514">
        <f>D302-C302</f>
        <v>-2132962</v>
      </c>
    </row>
    <row r="303" spans="1:5" x14ac:dyDescent="0.2">
      <c r="A303" s="512"/>
      <c r="B303" s="516" t="s">
        <v>828</v>
      </c>
      <c r="C303" s="517">
        <f>+C301+C302</f>
        <v>449044974</v>
      </c>
      <c r="D303" s="517">
        <f>+D301+D302</f>
        <v>457766757</v>
      </c>
      <c r="E303" s="517">
        <f>D303-C303</f>
        <v>8721783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829</v>
      </c>
      <c r="C305" s="513">
        <v>21992092</v>
      </c>
      <c r="D305" s="578">
        <v>20190044</v>
      </c>
      <c r="E305" s="579">
        <f>D305-C305</f>
        <v>-1802048</v>
      </c>
    </row>
    <row r="306" spans="1:5" x14ac:dyDescent="0.2">
      <c r="A306" s="512">
        <v>4</v>
      </c>
      <c r="B306" s="516" t="s">
        <v>830</v>
      </c>
      <c r="C306" s="580">
        <f>+C303+C305</f>
        <v>471037066</v>
      </c>
      <c r="D306" s="580">
        <f>+D303+D305</f>
        <v>477956801</v>
      </c>
      <c r="E306" s="580">
        <f>D306-C306</f>
        <v>6919735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831</v>
      </c>
      <c r="C308" s="513">
        <v>471037065</v>
      </c>
      <c r="D308" s="513">
        <v>477956801</v>
      </c>
      <c r="E308" s="514">
        <f>D308-C308</f>
        <v>6919736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832</v>
      </c>
      <c r="C310" s="581">
        <f>C306-C308</f>
        <v>1</v>
      </c>
      <c r="D310" s="582">
        <f>D306-D308</f>
        <v>0</v>
      </c>
      <c r="E310" s="580">
        <f>D310-C310</f>
        <v>-1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833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834</v>
      </c>
      <c r="C314" s="514">
        <f>+C14+C15+C16+C19+C25+C26+C27+C30</f>
        <v>1287870181</v>
      </c>
      <c r="D314" s="514">
        <f>+D14+D15+D16+D19+D25+D26+D27+D30</f>
        <v>1368811124</v>
      </c>
      <c r="E314" s="514">
        <f>D314-C314</f>
        <v>80940943</v>
      </c>
    </row>
    <row r="315" spans="1:5" x14ac:dyDescent="0.2">
      <c r="A315" s="512">
        <v>2</v>
      </c>
      <c r="B315" s="583" t="s">
        <v>835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836</v>
      </c>
      <c r="C316" s="581">
        <f>C314+C315</f>
        <v>1287870181</v>
      </c>
      <c r="D316" s="581">
        <f>D314+D315</f>
        <v>1368811124</v>
      </c>
      <c r="E316" s="517">
        <f>D316-C316</f>
        <v>80940943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837</v>
      </c>
      <c r="C318" s="513">
        <v>1287870180</v>
      </c>
      <c r="D318" s="513">
        <v>1368811124</v>
      </c>
      <c r="E318" s="514">
        <f>D318-C318</f>
        <v>80940944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832</v>
      </c>
      <c r="C320" s="581">
        <f>C316-C318</f>
        <v>1</v>
      </c>
      <c r="D320" s="581">
        <f>D316-D318</f>
        <v>0</v>
      </c>
      <c r="E320" s="517">
        <f>D320-C320</f>
        <v>-1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838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839</v>
      </c>
      <c r="C324" s="513">
        <f>+C193+C194</f>
        <v>30061520</v>
      </c>
      <c r="D324" s="513">
        <f>+D193+D194</f>
        <v>28624587</v>
      </c>
      <c r="E324" s="514">
        <f>D324-C324</f>
        <v>-1436933</v>
      </c>
    </row>
    <row r="325" spans="1:5" x14ac:dyDescent="0.2">
      <c r="A325" s="512">
        <v>2</v>
      </c>
      <c r="B325" s="511" t="s">
        <v>840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841</v>
      </c>
      <c r="C326" s="581">
        <f>C324+C325</f>
        <v>30061520</v>
      </c>
      <c r="D326" s="581">
        <f>D324+D325</f>
        <v>28624587</v>
      </c>
      <c r="E326" s="517">
        <f>D326-C326</f>
        <v>-1436933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842</v>
      </c>
      <c r="C328" s="513">
        <v>30061520</v>
      </c>
      <c r="D328" s="513">
        <v>28624587</v>
      </c>
      <c r="E328" s="514">
        <f>D328-C328</f>
        <v>-1436933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843</v>
      </c>
      <c r="C330" s="581">
        <f>C326-C328</f>
        <v>0</v>
      </c>
      <c r="D330" s="581">
        <f>D326-D328</f>
        <v>0</v>
      </c>
      <c r="E330" s="517">
        <f>D330-C330</f>
        <v>0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FILING&amp;RHOSPITAL OF SAINT RAPHAEL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596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844</v>
      </c>
      <c r="B5" s="696"/>
      <c r="C5" s="697"/>
      <c r="D5" s="585"/>
    </row>
    <row r="6" spans="1:58" s="338" customFormat="1" ht="15.75" customHeight="1" x14ac:dyDescent="0.25">
      <c r="A6" s="695" t="s">
        <v>845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846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847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750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626</v>
      </c>
      <c r="C14" s="513">
        <v>225061149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605</v>
      </c>
      <c r="C15" s="515">
        <v>577575465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751</v>
      </c>
      <c r="C16" s="515">
        <v>120346712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120346712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718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1253955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733</v>
      </c>
      <c r="C20" s="515">
        <v>3818662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752</v>
      </c>
      <c r="C21" s="517">
        <f>SUM(C15+C16+C19)</f>
        <v>699176132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692</v>
      </c>
      <c r="C22" s="517">
        <f>SUM(C14+C21)</f>
        <v>924237281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753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626</v>
      </c>
      <c r="C25" s="513">
        <v>177273694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605</v>
      </c>
      <c r="C26" s="515">
        <v>161317774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751</v>
      </c>
      <c r="C27" s="515">
        <v>105210148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105210148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718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772227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733</v>
      </c>
      <c r="C31" s="518">
        <v>16410177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754</v>
      </c>
      <c r="C32" s="517">
        <f>SUM(C26+C27+C30)</f>
        <v>267300149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698</v>
      </c>
      <c r="C33" s="517">
        <f>SUM(C25+C32)</f>
        <v>444573843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623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848</v>
      </c>
      <c r="C36" s="514">
        <f>SUM(C14+C25)</f>
        <v>402334843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849</v>
      </c>
      <c r="C37" s="518">
        <f>SUM(C21+C32)</f>
        <v>966476281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623</v>
      </c>
      <c r="C38" s="517">
        <f>SUM(+C36+C37)</f>
        <v>1368811124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763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626</v>
      </c>
      <c r="C41" s="513">
        <v>97784714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605</v>
      </c>
      <c r="C42" s="515">
        <v>176821658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751</v>
      </c>
      <c r="C43" s="515">
        <v>29303581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29303581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718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400680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733</v>
      </c>
      <c r="C47" s="515">
        <v>662259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764</v>
      </c>
      <c r="C48" s="517">
        <f>SUM(C42+C43+C46)</f>
        <v>206525919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693</v>
      </c>
      <c r="C49" s="517">
        <f>SUM(C41+C48)</f>
        <v>304310633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765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626</v>
      </c>
      <c r="C52" s="513">
        <v>78219237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605</v>
      </c>
      <c r="C53" s="515">
        <v>47985300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751</v>
      </c>
      <c r="C54" s="515">
        <v>27099789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27099789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718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151798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733</v>
      </c>
      <c r="C58" s="515">
        <v>4557887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766</v>
      </c>
      <c r="C59" s="517">
        <f>SUM(C53+C54+C57)</f>
        <v>75236887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699</v>
      </c>
      <c r="C60" s="517">
        <f>SUM(C52+C59)</f>
        <v>153456124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624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850</v>
      </c>
      <c r="C63" s="514">
        <f>SUM(C41+C52)</f>
        <v>176003951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851</v>
      </c>
      <c r="C64" s="518">
        <f>SUM(C48+C59)</f>
        <v>281762806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624</v>
      </c>
      <c r="C65" s="517">
        <f>SUM(+C63+C64)</f>
        <v>457766757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852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853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626</v>
      </c>
      <c r="C70" s="530">
        <v>6161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605</v>
      </c>
      <c r="C71" s="530">
        <v>12686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751</v>
      </c>
      <c r="C72" s="530">
        <v>3916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3916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718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38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733</v>
      </c>
      <c r="C76" s="545">
        <v>113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781</v>
      </c>
      <c r="C77" s="532">
        <f>SUM(C71+C72+C75)</f>
        <v>16640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695</v>
      </c>
      <c r="C78" s="596">
        <f>SUM(C70+C77)</f>
        <v>22801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786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626</v>
      </c>
      <c r="C81" s="541">
        <v>1.44998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605</v>
      </c>
      <c r="C82" s="541">
        <v>1.59995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751</v>
      </c>
      <c r="C83" s="541">
        <f>((C73*C84)+(C74*C85))/(C73+C74)</f>
        <v>1.06264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1.06264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718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1.15724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733</v>
      </c>
      <c r="C87" s="541">
        <v>1.2416199999999999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787</v>
      </c>
      <c r="C88" s="543">
        <f>((C71*C82)+(C73*C84)+(C74*C85)+(C75*C86))/(C71+C73+C74+C75)</f>
        <v>1.4724903281249999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696</v>
      </c>
      <c r="C89" s="543">
        <f>((C70*C81)+(C71*C82)+(C73*C84)+(C74*C85)+(C75*C86))/(C70+C71+C73+C74+C75)</f>
        <v>1.4664078698302707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788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789</v>
      </c>
      <c r="C92" s="513">
        <v>384002145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790</v>
      </c>
      <c r="C93" s="546">
        <v>196051082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638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722</v>
      </c>
      <c r="C95" s="513">
        <f>+C92-C93</f>
        <v>187951063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640</v>
      </c>
      <c r="C96" s="597">
        <f>(+C92-C93)/C92</f>
        <v>0.48945315917441035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737</v>
      </c>
      <c r="C98" s="513">
        <v>18332698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723</v>
      </c>
      <c r="C99" s="513">
        <v>9755242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854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792</v>
      </c>
      <c r="C103" s="513">
        <v>5784587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793</v>
      </c>
      <c r="C104" s="513">
        <v>22840000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794</v>
      </c>
      <c r="C105" s="578">
        <f>+C103+C104</f>
        <v>28624587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795</v>
      </c>
      <c r="C107" s="513">
        <v>23533832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680</v>
      </c>
      <c r="C108" s="513">
        <v>498321475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825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826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624</v>
      </c>
      <c r="C114" s="514">
        <f>+C65</f>
        <v>457766757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827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828</v>
      </c>
      <c r="C116" s="517">
        <f>+C114+C115</f>
        <v>457766757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829</v>
      </c>
      <c r="C118" s="578">
        <v>20190044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830</v>
      </c>
      <c r="C119" s="580">
        <f>+C116+C118</f>
        <v>477956801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831</v>
      </c>
      <c r="C121" s="513">
        <v>477956801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832</v>
      </c>
      <c r="C123" s="582">
        <f>C119-C121</f>
        <v>0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833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834</v>
      </c>
      <c r="C127" s="514">
        <f>+C38</f>
        <v>1368811124</v>
      </c>
      <c r="D127" s="588"/>
      <c r="AR127" s="507"/>
    </row>
    <row r="128" spans="1:58" s="506" customFormat="1" x14ac:dyDescent="0.2">
      <c r="A128" s="512">
        <v>2</v>
      </c>
      <c r="B128" s="583" t="s">
        <v>835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836</v>
      </c>
      <c r="C129" s="581">
        <f>C127+C128</f>
        <v>1368811124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837</v>
      </c>
      <c r="C131" s="513">
        <v>1368811124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832</v>
      </c>
      <c r="C133" s="581">
        <f>C129-C131</f>
        <v>0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838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839</v>
      </c>
      <c r="C137" s="513">
        <f>C105</f>
        <v>28624587</v>
      </c>
      <c r="D137" s="588"/>
      <c r="AR137" s="507"/>
    </row>
    <row r="138" spans="1:44" s="506" customFormat="1" x14ac:dyDescent="0.2">
      <c r="A138" s="512">
        <v>2</v>
      </c>
      <c r="B138" s="511" t="s">
        <v>855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841</v>
      </c>
      <c r="C139" s="581">
        <f>C137+C138</f>
        <v>28624587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856</v>
      </c>
      <c r="C141" s="513">
        <v>28624587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843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FILING&amp;RHOSPITAL OF SAINT RAPHAEL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857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600</v>
      </c>
      <c r="D8" s="35" t="s">
        <v>600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602</v>
      </c>
      <c r="D9" s="607" t="s">
        <v>603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858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859</v>
      </c>
      <c r="C12" s="49">
        <v>1940</v>
      </c>
      <c r="D12" s="49">
        <v>1565</v>
      </c>
      <c r="E12" s="49">
        <f>+D12-C12</f>
        <v>-375</v>
      </c>
      <c r="F12" s="70">
        <f>IF(C12=0,0,+E12/C12)</f>
        <v>-0.19329896907216496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860</v>
      </c>
      <c r="C13" s="49">
        <v>1940</v>
      </c>
      <c r="D13" s="49">
        <v>1565</v>
      </c>
      <c r="E13" s="49">
        <f>+D13-C13</f>
        <v>-375</v>
      </c>
      <c r="F13" s="70">
        <f>IF(C13=0,0,+E13/C13)</f>
        <v>-0.19329896907216496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861</v>
      </c>
      <c r="C15" s="51">
        <v>5390523</v>
      </c>
      <c r="D15" s="51">
        <v>5784587</v>
      </c>
      <c r="E15" s="51">
        <f>+D15-C15</f>
        <v>394064</v>
      </c>
      <c r="F15" s="70">
        <f>IF(C15=0,0,+E15/C15)</f>
        <v>7.3103110774223573E-2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862</v>
      </c>
      <c r="C16" s="27">
        <f>IF(C13=0,0,+C15/+C13)</f>
        <v>2778.6201030927837</v>
      </c>
      <c r="D16" s="27">
        <f>IF(D13=0,0,+D15/+D13)</f>
        <v>3696.2217252396167</v>
      </c>
      <c r="E16" s="27">
        <f>+D16-C16</f>
        <v>917.60162214683305</v>
      </c>
      <c r="F16" s="28">
        <f>IF(C16=0,0,+E16/C16)</f>
        <v>0.330236444026833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863</v>
      </c>
      <c r="C18" s="210">
        <v>0.38522099999999998</v>
      </c>
      <c r="D18" s="210">
        <v>0.37569599999999997</v>
      </c>
      <c r="E18" s="210">
        <f>+D18-C18</f>
        <v>-9.5250000000000057E-3</v>
      </c>
      <c r="F18" s="70">
        <f>IF(C18=0,0,+E18/C18)</f>
        <v>-2.4726066335947434E-2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864</v>
      </c>
      <c r="C19" s="27">
        <f>+C15*C18</f>
        <v>2076542.6605829999</v>
      </c>
      <c r="D19" s="27">
        <f>+D15*D18</f>
        <v>2173246.1975519997</v>
      </c>
      <c r="E19" s="27">
        <f>+D19-C19</f>
        <v>96703.536968999775</v>
      </c>
      <c r="F19" s="28">
        <f>IF(C19=0,0,+E19/C19)</f>
        <v>4.656949207190849E-2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865</v>
      </c>
      <c r="C20" s="27">
        <f>IF(C13=0,0,+C19/C13)</f>
        <v>1070.382814733505</v>
      </c>
      <c r="D20" s="27">
        <f>IF(D13=0,0,+D19/D13)</f>
        <v>1388.6557172856228</v>
      </c>
      <c r="E20" s="27">
        <f>+D20-C20</f>
        <v>318.27290255211778</v>
      </c>
      <c r="F20" s="28">
        <f>IF(C20=0,0,+E20/C20)</f>
        <v>0.29734492946933078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866</v>
      </c>
      <c r="C22" s="51">
        <v>3013236</v>
      </c>
      <c r="D22" s="51">
        <v>2681732</v>
      </c>
      <c r="E22" s="51">
        <f>+D22-C22</f>
        <v>-331504</v>
      </c>
      <c r="F22" s="70">
        <f>IF(C22=0,0,+E22/C22)</f>
        <v>-0.11001594299284888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867</v>
      </c>
      <c r="C23" s="49">
        <v>1678565</v>
      </c>
      <c r="D23" s="49">
        <v>2319364</v>
      </c>
      <c r="E23" s="49">
        <f>+D23-C23</f>
        <v>640799</v>
      </c>
      <c r="F23" s="70">
        <f>IF(C23=0,0,+E23/C23)</f>
        <v>0.3817540577814979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868</v>
      </c>
      <c r="C24" s="49">
        <v>698722</v>
      </c>
      <c r="D24" s="49">
        <v>783491</v>
      </c>
      <c r="E24" s="49">
        <f>+D24-C24</f>
        <v>84769</v>
      </c>
      <c r="F24" s="70">
        <f>IF(C24=0,0,+E24/C24)</f>
        <v>0.12132006720841765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861</v>
      </c>
      <c r="C25" s="27">
        <f>+C22+C23+C24</f>
        <v>5390523</v>
      </c>
      <c r="D25" s="27">
        <f>+D22+D23+D24</f>
        <v>5784587</v>
      </c>
      <c r="E25" s="27">
        <f>+E22+E23+E24</f>
        <v>394064</v>
      </c>
      <c r="F25" s="28">
        <f>IF(C25=0,0,+E25/C25)</f>
        <v>7.3103110774223573E-2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869</v>
      </c>
      <c r="C27" s="49">
        <v>442</v>
      </c>
      <c r="D27" s="49">
        <v>476</v>
      </c>
      <c r="E27" s="49">
        <f>+D27-C27</f>
        <v>34</v>
      </c>
      <c r="F27" s="70">
        <f>IF(C27=0,0,+E27/C27)</f>
        <v>7.6923076923076927E-2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870</v>
      </c>
      <c r="C28" s="49">
        <v>83</v>
      </c>
      <c r="D28" s="49">
        <v>79</v>
      </c>
      <c r="E28" s="49">
        <f>+D28-C28</f>
        <v>-4</v>
      </c>
      <c r="F28" s="70">
        <f>IF(C28=0,0,+E28/C28)</f>
        <v>-4.8192771084337352E-2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871</v>
      </c>
      <c r="C29" s="49">
        <v>312</v>
      </c>
      <c r="D29" s="49">
        <v>436</v>
      </c>
      <c r="E29" s="49">
        <f>+D29-C29</f>
        <v>124</v>
      </c>
      <c r="F29" s="70">
        <f>IF(C29=0,0,+E29/C29)</f>
        <v>0.39743589743589741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872</v>
      </c>
      <c r="C30" s="49">
        <v>2552</v>
      </c>
      <c r="D30" s="49">
        <v>2342</v>
      </c>
      <c r="E30" s="49">
        <f>+D30-C30</f>
        <v>-210</v>
      </c>
      <c r="F30" s="70">
        <f>IF(C30=0,0,+E30/C30)</f>
        <v>-8.2288401253918494E-2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873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874</v>
      </c>
      <c r="C33" s="51">
        <v>9654518</v>
      </c>
      <c r="D33" s="51">
        <v>6471756</v>
      </c>
      <c r="E33" s="51">
        <f>+D33-C33</f>
        <v>-3182762</v>
      </c>
      <c r="F33" s="70">
        <f>IF(C33=0,0,+E33/C33)</f>
        <v>-0.32966555140298043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875</v>
      </c>
      <c r="C34" s="49">
        <v>3996449</v>
      </c>
      <c r="D34" s="49">
        <v>4906346</v>
      </c>
      <c r="E34" s="49">
        <f>+D34-C34</f>
        <v>909897</v>
      </c>
      <c r="F34" s="70">
        <f>IF(C34=0,0,+E34/C34)</f>
        <v>0.22767636969719868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876</v>
      </c>
      <c r="C35" s="49">
        <v>11020030</v>
      </c>
      <c r="D35" s="49">
        <v>11461898</v>
      </c>
      <c r="E35" s="49">
        <f>+D35-C35</f>
        <v>441868</v>
      </c>
      <c r="F35" s="70">
        <f>IF(C35=0,0,+E35/C35)</f>
        <v>4.0096805544086539E-2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877</v>
      </c>
      <c r="C36" s="27">
        <f>+C33+C34+C35</f>
        <v>24670997</v>
      </c>
      <c r="D36" s="27">
        <f>+D33+D34+D35</f>
        <v>22840000</v>
      </c>
      <c r="E36" s="27">
        <f>+E33+E34+E35</f>
        <v>-1830997</v>
      </c>
      <c r="F36" s="28">
        <f>IF(C36=0,0,+E36/C36)</f>
        <v>-7.42165790867714E-2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878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879</v>
      </c>
      <c r="C39" s="51">
        <f>+C25</f>
        <v>5390523</v>
      </c>
      <c r="D39" s="51">
        <f>+D25</f>
        <v>5784587</v>
      </c>
      <c r="E39" s="51">
        <f>+D39-C39</f>
        <v>394064</v>
      </c>
      <c r="F39" s="70">
        <f>IF(C39=0,0,+E39/C39)</f>
        <v>7.3103110774223573E-2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880</v>
      </c>
      <c r="C40" s="49">
        <f>+C36</f>
        <v>24670997</v>
      </c>
      <c r="D40" s="49">
        <f>+D36</f>
        <v>22840000</v>
      </c>
      <c r="E40" s="49">
        <f>+D40-C40</f>
        <v>-1830997</v>
      </c>
      <c r="F40" s="70">
        <f>IF(C40=0,0,+E40/C40)</f>
        <v>-7.42165790867714E-2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881</v>
      </c>
      <c r="C41" s="27">
        <f>+C39+C40</f>
        <v>30061520</v>
      </c>
      <c r="D41" s="27">
        <f>+D39+D40</f>
        <v>28624587</v>
      </c>
      <c r="E41" s="27">
        <f>+E39+E40</f>
        <v>-1436933</v>
      </c>
      <c r="F41" s="28">
        <f>IF(C41=0,0,+E41/C41)</f>
        <v>-4.7799745322259155E-2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882</v>
      </c>
      <c r="C43" s="51">
        <f t="shared" ref="C43:D45" si="0">+C22+C33</f>
        <v>12667754</v>
      </c>
      <c r="D43" s="51">
        <f t="shared" si="0"/>
        <v>9153488</v>
      </c>
      <c r="E43" s="51">
        <f>+D43-C43</f>
        <v>-3514266</v>
      </c>
      <c r="F43" s="70">
        <f>IF(C43=0,0,+E43/C43)</f>
        <v>-0.27741823846595065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883</v>
      </c>
      <c r="C44" s="49">
        <f t="shared" si="0"/>
        <v>5675014</v>
      </c>
      <c r="D44" s="49">
        <f t="shared" si="0"/>
        <v>7225710</v>
      </c>
      <c r="E44" s="49">
        <f>+D44-C44</f>
        <v>1550696</v>
      </c>
      <c r="F44" s="70">
        <f>IF(C44=0,0,+E44/C44)</f>
        <v>0.27324972237953948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884</v>
      </c>
      <c r="C45" s="49">
        <f t="shared" si="0"/>
        <v>11718752</v>
      </c>
      <c r="D45" s="49">
        <f t="shared" si="0"/>
        <v>12245389</v>
      </c>
      <c r="E45" s="49">
        <f>+D45-C45</f>
        <v>526637</v>
      </c>
      <c r="F45" s="70">
        <f>IF(C45=0,0,+E45/C45)</f>
        <v>4.4939682996960766E-2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881</v>
      </c>
      <c r="C46" s="27">
        <f>+C43+C44+C45</f>
        <v>30061520</v>
      </c>
      <c r="D46" s="27">
        <f>+D43+D44+D45</f>
        <v>28624587</v>
      </c>
      <c r="E46" s="27">
        <f>+E43+E44+E45</f>
        <v>-1436933</v>
      </c>
      <c r="F46" s="28">
        <f>IF(C46=0,0,+E46/C46)</f>
        <v>-4.7799745322259155E-2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885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FILING&amp;RHOSPITAL OF SAINT RAPHAEL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596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597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886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887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602</v>
      </c>
      <c r="D9" s="35" t="s">
        <v>603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888</v>
      </c>
      <c r="D10" s="35" t="s">
        <v>888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889</v>
      </c>
      <c r="D11" s="605" t="s">
        <v>889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890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403549441</v>
      </c>
      <c r="D15" s="51">
        <v>384002145</v>
      </c>
      <c r="E15" s="51">
        <f>+D15-C15</f>
        <v>-19547296</v>
      </c>
      <c r="F15" s="70">
        <f>+E15/C15</f>
        <v>-4.8438416744083661E-2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891</v>
      </c>
      <c r="C17" s="51">
        <v>198427931</v>
      </c>
      <c r="D17" s="51">
        <v>187951063</v>
      </c>
      <c r="E17" s="51">
        <f>+D17-C17</f>
        <v>-10476868</v>
      </c>
      <c r="F17" s="70">
        <f>+E17/C17</f>
        <v>-5.2799361194770508E-2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892</v>
      </c>
      <c r="C19" s="27">
        <f>+C15-C17</f>
        <v>205121510</v>
      </c>
      <c r="D19" s="27">
        <f>+D15-D17</f>
        <v>196051082</v>
      </c>
      <c r="E19" s="27">
        <f>+D19-C19</f>
        <v>-9070428</v>
      </c>
      <c r="F19" s="28">
        <f>+E19/C19</f>
        <v>-4.4219779778337243E-2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893</v>
      </c>
      <c r="C21" s="628">
        <f>+C17/C15</f>
        <v>0.49170661842150837</v>
      </c>
      <c r="D21" s="628">
        <f>+D17/D15</f>
        <v>0.48945315917441035</v>
      </c>
      <c r="E21" s="628">
        <f>+D21-C21</f>
        <v>-2.2534592470980219E-3</v>
      </c>
      <c r="F21" s="28">
        <f>+E21/C21</f>
        <v>-4.5829345440420262E-3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894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FILING&amp;R&amp;12HOSPITAL OF SAINT RAPHAEL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9.42578125" bestFit="1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895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896</v>
      </c>
      <c r="B6" s="632" t="s">
        <v>897</v>
      </c>
      <c r="C6" s="632" t="s">
        <v>898</v>
      </c>
      <c r="D6" s="632" t="s">
        <v>899</v>
      </c>
      <c r="E6" s="632" t="s">
        <v>900</v>
      </c>
    </row>
    <row r="7" spans="1:6" ht="37.5" customHeight="1" x14ac:dyDescent="0.25">
      <c r="A7" s="633" t="s">
        <v>8</v>
      </c>
      <c r="B7" s="634" t="s">
        <v>901</v>
      </c>
      <c r="C7" s="631" t="s">
        <v>902</v>
      </c>
      <c r="D7" s="631" t="s">
        <v>903</v>
      </c>
      <c r="E7" s="631" t="s">
        <v>904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905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906</v>
      </c>
      <c r="C10" s="641">
        <v>881481067</v>
      </c>
      <c r="D10" s="641">
        <v>877589185</v>
      </c>
      <c r="E10" s="641">
        <v>924237281</v>
      </c>
    </row>
    <row r="11" spans="1:6" ht="26.1" customHeight="1" x14ac:dyDescent="0.25">
      <c r="A11" s="639">
        <v>2</v>
      </c>
      <c r="B11" s="640" t="s">
        <v>907</v>
      </c>
      <c r="C11" s="641">
        <v>355651878</v>
      </c>
      <c r="D11" s="641">
        <v>410280996</v>
      </c>
      <c r="E11" s="641">
        <v>444573843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1237132945</v>
      </c>
      <c r="D12" s="641">
        <f>+D11+D10</f>
        <v>1287870181</v>
      </c>
      <c r="E12" s="641">
        <f>+E11+E10</f>
        <v>1368811124</v>
      </c>
    </row>
    <row r="13" spans="1:6" ht="26.1" customHeight="1" x14ac:dyDescent="0.25">
      <c r="A13" s="639">
        <v>4</v>
      </c>
      <c r="B13" s="640" t="s">
        <v>484</v>
      </c>
      <c r="C13" s="641">
        <v>456208821</v>
      </c>
      <c r="D13" s="641">
        <v>468749267</v>
      </c>
      <c r="E13" s="641">
        <v>477956801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908</v>
      </c>
      <c r="C16" s="641">
        <v>483940125</v>
      </c>
      <c r="D16" s="641">
        <v>491472461</v>
      </c>
      <c r="E16" s="641">
        <v>498321475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909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130965</v>
      </c>
      <c r="D19" s="644">
        <v>124273</v>
      </c>
      <c r="E19" s="644">
        <v>121615</v>
      </c>
    </row>
    <row r="20" spans="1:5" ht="26.1" customHeight="1" x14ac:dyDescent="0.25">
      <c r="A20" s="639">
        <v>2</v>
      </c>
      <c r="B20" s="640" t="s">
        <v>373</v>
      </c>
      <c r="C20" s="645">
        <v>24505</v>
      </c>
      <c r="D20" s="645">
        <v>23924</v>
      </c>
      <c r="E20" s="645">
        <v>22801</v>
      </c>
    </row>
    <row r="21" spans="1:5" ht="26.1" customHeight="1" x14ac:dyDescent="0.25">
      <c r="A21" s="639">
        <v>3</v>
      </c>
      <c r="B21" s="640" t="s">
        <v>910</v>
      </c>
      <c r="C21" s="646">
        <f>IF(C20=0,0,+C19/C20)</f>
        <v>5.34441950622322</v>
      </c>
      <c r="D21" s="646">
        <f>IF(D20=0,0,+D19/D20)</f>
        <v>5.1944908878114031</v>
      </c>
      <c r="E21" s="646">
        <f>IF(E20=0,0,+E19/E20)</f>
        <v>5.3337572913468705</v>
      </c>
    </row>
    <row r="22" spans="1:5" ht="26.1" customHeight="1" x14ac:dyDescent="0.25">
      <c r="A22" s="639">
        <v>4</v>
      </c>
      <c r="B22" s="640" t="s">
        <v>911</v>
      </c>
      <c r="C22" s="645">
        <f>IF(C10=0,0,C19*(C12/C10))</f>
        <v>183805.55431932493</v>
      </c>
      <c r="D22" s="645">
        <f>IF(D10=0,0,D19*(D12/D10))</f>
        <v>182371.76772342858</v>
      </c>
      <c r="E22" s="645">
        <f>IF(E10=0,0,E19*(E12/E10))</f>
        <v>180113.88229778624</v>
      </c>
    </row>
    <row r="23" spans="1:5" ht="26.1" customHeight="1" x14ac:dyDescent="0.25">
      <c r="A23" s="639">
        <v>0</v>
      </c>
      <c r="B23" s="640" t="s">
        <v>912</v>
      </c>
      <c r="C23" s="645">
        <f>IF(C10=0,0,C20*(C12/C10))</f>
        <v>34392.052140610525</v>
      </c>
      <c r="D23" s="645">
        <f>IF(D10=0,0,D20*(D12/D10))</f>
        <v>35108.689506291033</v>
      </c>
      <c r="E23" s="645">
        <f>IF(E10=0,0,E20*(E12/E10))</f>
        <v>33768.668587524764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913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1.4607728545194858</v>
      </c>
      <c r="D26" s="647">
        <v>1.4346956152817254</v>
      </c>
      <c r="E26" s="647">
        <v>1.4664078698302707</v>
      </c>
    </row>
    <row r="27" spans="1:5" ht="26.1" customHeight="1" x14ac:dyDescent="0.25">
      <c r="A27" s="639">
        <v>2</v>
      </c>
      <c r="B27" s="640" t="s">
        <v>914</v>
      </c>
      <c r="C27" s="645">
        <f>C19*C26</f>
        <v>191310.11689214446</v>
      </c>
      <c r="D27" s="645">
        <f>D19*D26</f>
        <v>178293.92819790586</v>
      </c>
      <c r="E27" s="645">
        <f>E19*E26</f>
        <v>178337.19308940836</v>
      </c>
    </row>
    <row r="28" spans="1:5" ht="26.1" customHeight="1" x14ac:dyDescent="0.25">
      <c r="A28" s="639">
        <v>3</v>
      </c>
      <c r="B28" s="640" t="s">
        <v>915</v>
      </c>
      <c r="C28" s="645">
        <f>C20*C26</f>
        <v>35796.238799999999</v>
      </c>
      <c r="D28" s="645">
        <f>D20*D26</f>
        <v>34323.657899999998</v>
      </c>
      <c r="E28" s="645">
        <f>E20*E26</f>
        <v>33435.565840000003</v>
      </c>
    </row>
    <row r="29" spans="1:5" ht="26.1" customHeight="1" x14ac:dyDescent="0.25">
      <c r="A29" s="639">
        <v>4</v>
      </c>
      <c r="B29" s="640" t="s">
        <v>916</v>
      </c>
      <c r="C29" s="645">
        <f>C22*C26</f>
        <v>268498.1642595767</v>
      </c>
      <c r="D29" s="645">
        <f>D22*D26</f>
        <v>261647.97550398027</v>
      </c>
      <c r="E29" s="645">
        <f>E22*E26</f>
        <v>264120.41446715681</v>
      </c>
    </row>
    <row r="30" spans="1:5" ht="26.1" customHeight="1" x14ac:dyDescent="0.25">
      <c r="A30" s="639">
        <v>5</v>
      </c>
      <c r="B30" s="640" t="s">
        <v>917</v>
      </c>
      <c r="C30" s="645">
        <f>C23*C26</f>
        <v>50238.976178222627</v>
      </c>
      <c r="D30" s="645">
        <f>D23*D26</f>
        <v>50370.282892963267</v>
      </c>
      <c r="E30" s="645">
        <f>E23*E26</f>
        <v>49518.641370436562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918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919</v>
      </c>
      <c r="C33" s="641">
        <f>IF(C19=0,0,C12/C19)</f>
        <v>9446.286756003512</v>
      </c>
      <c r="D33" s="641">
        <f>IF(D19=0,0,D12/D19)</f>
        <v>10363.234017043123</v>
      </c>
      <c r="E33" s="641">
        <f>IF(E19=0,0,E12/E19)</f>
        <v>11255.282029354932</v>
      </c>
    </row>
    <row r="34" spans="1:5" ht="26.1" customHeight="1" x14ac:dyDescent="0.25">
      <c r="A34" s="639">
        <v>2</v>
      </c>
      <c r="B34" s="640" t="s">
        <v>920</v>
      </c>
      <c r="C34" s="641">
        <f>IF(C20=0,0,C12/C20)</f>
        <v>50484.919200163233</v>
      </c>
      <c r="D34" s="641">
        <f>IF(D20=0,0,D12/D20)</f>
        <v>53831.724669787662</v>
      </c>
      <c r="E34" s="641">
        <f>IF(E20=0,0,E12/E20)</f>
        <v>60032.942590237268</v>
      </c>
    </row>
    <row r="35" spans="1:5" ht="26.1" customHeight="1" x14ac:dyDescent="0.25">
      <c r="A35" s="639">
        <v>3</v>
      </c>
      <c r="B35" s="640" t="s">
        <v>921</v>
      </c>
      <c r="C35" s="641">
        <f>IF(C22=0,0,C12/C22)</f>
        <v>6730.6613751765735</v>
      </c>
      <c r="D35" s="641">
        <f>IF(D22=0,0,D12/D22)</f>
        <v>7061.7848205161217</v>
      </c>
      <c r="E35" s="641">
        <f>IF(E22=0,0,E12/E22)</f>
        <v>7599.6980717839087</v>
      </c>
    </row>
    <row r="36" spans="1:5" ht="26.1" customHeight="1" x14ac:dyDescent="0.25">
      <c r="A36" s="639">
        <v>4</v>
      </c>
      <c r="B36" s="640" t="s">
        <v>922</v>
      </c>
      <c r="C36" s="641">
        <f>IF(C23=0,0,C12/C23)</f>
        <v>35971.477943276885</v>
      </c>
      <c r="D36" s="641">
        <f>IF(D23=0,0,D12/D23)</f>
        <v>36682.376901855874</v>
      </c>
      <c r="E36" s="641">
        <f>IF(E23=0,0,E12/E23)</f>
        <v>40534.945002412176</v>
      </c>
    </row>
    <row r="37" spans="1:5" ht="26.1" customHeight="1" x14ac:dyDescent="0.25">
      <c r="A37" s="639">
        <v>5</v>
      </c>
      <c r="B37" s="640" t="s">
        <v>923</v>
      </c>
      <c r="C37" s="641">
        <f>IF(C29=0,0,C12/C29)</f>
        <v>4607.6029920412175</v>
      </c>
      <c r="D37" s="641">
        <f>IF(D29=0,0,D12/D29)</f>
        <v>4922.1484650104185</v>
      </c>
      <c r="E37" s="641">
        <f>IF(E29=0,0,E12/E29)</f>
        <v>5182.5267909013173</v>
      </c>
    </row>
    <row r="38" spans="1:5" ht="26.1" customHeight="1" x14ac:dyDescent="0.25">
      <c r="A38" s="639">
        <v>6</v>
      </c>
      <c r="B38" s="640" t="s">
        <v>924</v>
      </c>
      <c r="C38" s="641">
        <f>IF(C30=0,0,C12/C30)</f>
        <v>24624.963307597558</v>
      </c>
      <c r="D38" s="641">
        <f>IF(D30=0,0,D12/D30)</f>
        <v>25568.055349951501</v>
      </c>
      <c r="E38" s="641">
        <f>IF(E30=0,0,E12/E30)</f>
        <v>27642.3400585704</v>
      </c>
    </row>
    <row r="39" spans="1:5" ht="26.1" customHeight="1" x14ac:dyDescent="0.25">
      <c r="A39" s="639">
        <v>7</v>
      </c>
      <c r="B39" s="640" t="s">
        <v>925</v>
      </c>
      <c r="C39" s="641">
        <f>IF(C22=0,0,C10/C22)</f>
        <v>4795.7259521581436</v>
      </c>
      <c r="D39" s="641">
        <f>IF(D22=0,0,D10/D22)</f>
        <v>4812.0890418240961</v>
      </c>
      <c r="E39" s="641">
        <f>IF(E22=0,0,E10/E22)</f>
        <v>5131.4050266927134</v>
      </c>
    </row>
    <row r="40" spans="1:5" ht="26.1" customHeight="1" x14ac:dyDescent="0.25">
      <c r="A40" s="639">
        <v>8</v>
      </c>
      <c r="B40" s="640" t="s">
        <v>926</v>
      </c>
      <c r="C40" s="641">
        <f>IF(C23=0,0,C10/C23)</f>
        <v>25630.371325214906</v>
      </c>
      <c r="D40" s="641">
        <f>IF(D23=0,0,D10/D23)</f>
        <v>24996.352679092368</v>
      </c>
      <c r="E40" s="641">
        <f>IF(E23=0,0,E10/E23)</f>
        <v>27369.668975976241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927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928</v>
      </c>
      <c r="C43" s="641">
        <f>IF(C19=0,0,C13/C19)</f>
        <v>3483.4407742526628</v>
      </c>
      <c r="D43" s="641">
        <f>IF(D19=0,0,D13/D19)</f>
        <v>3771.9316907131879</v>
      </c>
      <c r="E43" s="641">
        <f>IF(E19=0,0,E13/E19)</f>
        <v>3930.0810015211941</v>
      </c>
    </row>
    <row r="44" spans="1:5" ht="26.1" customHeight="1" x14ac:dyDescent="0.25">
      <c r="A44" s="639">
        <v>2</v>
      </c>
      <c r="B44" s="640" t="s">
        <v>929</v>
      </c>
      <c r="C44" s="641">
        <f>IF(C20=0,0,C13/C20)</f>
        <v>18616.968822689247</v>
      </c>
      <c r="D44" s="641">
        <f>IF(D20=0,0,D13/D20)</f>
        <v>19593.264796856714</v>
      </c>
      <c r="E44" s="641">
        <f>IF(E20=0,0,E13/E20)</f>
        <v>20962.098197447482</v>
      </c>
    </row>
    <row r="45" spans="1:5" ht="26.1" customHeight="1" x14ac:dyDescent="0.25">
      <c r="A45" s="639">
        <v>3</v>
      </c>
      <c r="B45" s="640" t="s">
        <v>930</v>
      </c>
      <c r="C45" s="641">
        <f>IF(C22=0,0,C13/C22)</f>
        <v>2482.0186892036436</v>
      </c>
      <c r="D45" s="641">
        <f>IF(D22=0,0,D13/D22)</f>
        <v>2570.2951331308591</v>
      </c>
      <c r="E45" s="641">
        <f>IF(E22=0,0,E13/E22)</f>
        <v>2653.6366597760825</v>
      </c>
    </row>
    <row r="46" spans="1:5" ht="26.1" customHeight="1" x14ac:dyDescent="0.25">
      <c r="A46" s="639">
        <v>4</v>
      </c>
      <c r="B46" s="640" t="s">
        <v>931</v>
      </c>
      <c r="C46" s="641">
        <f>IF(C23=0,0,C13/C23)</f>
        <v>13264.949097390541</v>
      </c>
      <c r="D46" s="641">
        <f>IF(D23=0,0,D13/D23)</f>
        <v>13351.374648034243</v>
      </c>
      <c r="E46" s="641">
        <f>IF(E23=0,0,E13/E23)</f>
        <v>14153.853882666037</v>
      </c>
    </row>
    <row r="47" spans="1:5" ht="26.1" customHeight="1" x14ac:dyDescent="0.25">
      <c r="A47" s="639">
        <v>5</v>
      </c>
      <c r="B47" s="640" t="s">
        <v>932</v>
      </c>
      <c r="C47" s="641">
        <f>IF(C29=0,0,C13/C29)</f>
        <v>1699.1133710655458</v>
      </c>
      <c r="D47" s="641">
        <f>IF(D29=0,0,D13/D29)</f>
        <v>1791.5264434861613</v>
      </c>
      <c r="E47" s="641">
        <f>IF(E29=0,0,E13/E29)</f>
        <v>1809.6170338224031</v>
      </c>
    </row>
    <row r="48" spans="1:5" ht="26.1" customHeight="1" x14ac:dyDescent="0.25">
      <c r="A48" s="639">
        <v>6</v>
      </c>
      <c r="B48" s="640" t="s">
        <v>933</v>
      </c>
      <c r="C48" s="641">
        <f>IF(C30=0,0,C13/C30)</f>
        <v>9080.7746436073958</v>
      </c>
      <c r="D48" s="641">
        <f>IF(D30=0,0,D13/D30)</f>
        <v>9306.0677859620337</v>
      </c>
      <c r="E48" s="641">
        <f>IF(E30=0,0,E13/E30)</f>
        <v>9652.0580486957388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934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935</v>
      </c>
      <c r="C51" s="641">
        <f>IF(C19=0,0,C16/C19)</f>
        <v>3695.1866911006759</v>
      </c>
      <c r="D51" s="641">
        <f>IF(D19=0,0,D16/D19)</f>
        <v>3954.7806925076243</v>
      </c>
      <c r="E51" s="641">
        <f>IF(E19=0,0,E16/E19)</f>
        <v>4097.5329934629772</v>
      </c>
    </row>
    <row r="52" spans="1:6" ht="26.1" customHeight="1" x14ac:dyDescent="0.25">
      <c r="A52" s="639">
        <v>2</v>
      </c>
      <c r="B52" s="640" t="s">
        <v>936</v>
      </c>
      <c r="C52" s="641">
        <f>IF(C20=0,0,C16/C20)</f>
        <v>19748.627831054888</v>
      </c>
      <c r="D52" s="641">
        <f>IF(D20=0,0,D16/D20)</f>
        <v>20543.072270523324</v>
      </c>
      <c r="E52" s="641">
        <f>IF(E20=0,0,E16/E20)</f>
        <v>21855.246480417525</v>
      </c>
    </row>
    <row r="53" spans="1:6" ht="26.1" customHeight="1" x14ac:dyDescent="0.25">
      <c r="A53" s="639">
        <v>3</v>
      </c>
      <c r="B53" s="640" t="s">
        <v>937</v>
      </c>
      <c r="C53" s="641">
        <f>IF(C22=0,0,C16/C22)</f>
        <v>2632.8917360095224</v>
      </c>
      <c r="D53" s="641">
        <f>IF(D22=0,0,D16/D22)</f>
        <v>2694.8933331903131</v>
      </c>
      <c r="E53" s="641">
        <f>IF(E22=0,0,E16/E22)</f>
        <v>2766.702203309982</v>
      </c>
    </row>
    <row r="54" spans="1:6" ht="26.1" customHeight="1" x14ac:dyDescent="0.25">
      <c r="A54" s="639">
        <v>4</v>
      </c>
      <c r="B54" s="640" t="s">
        <v>938</v>
      </c>
      <c r="C54" s="641">
        <f>IF(C23=0,0,C16/C23)</f>
        <v>14071.277951703209</v>
      </c>
      <c r="D54" s="641">
        <f>IF(D23=0,0,D16/D23)</f>
        <v>13998.598862880779</v>
      </c>
      <c r="E54" s="641">
        <f>IF(E23=0,0,E16/E23)</f>
        <v>14756.91804989007</v>
      </c>
    </row>
    <row r="55" spans="1:6" ht="26.1" customHeight="1" x14ac:dyDescent="0.25">
      <c r="A55" s="639">
        <v>5</v>
      </c>
      <c r="B55" s="640" t="s">
        <v>939</v>
      </c>
      <c r="C55" s="641">
        <f>IF(C29=0,0,C16/C29)</f>
        <v>1802.3964012362478</v>
      </c>
      <c r="D55" s="641">
        <f>IF(D29=0,0,D16/D29)</f>
        <v>1878.3728788779547</v>
      </c>
      <c r="E55" s="641">
        <f>IF(E29=0,0,E16/E29)</f>
        <v>1886.7207822815451</v>
      </c>
    </row>
    <row r="56" spans="1:6" ht="26.1" customHeight="1" x14ac:dyDescent="0.25">
      <c r="A56" s="639">
        <v>6</v>
      </c>
      <c r="B56" s="640" t="s">
        <v>940</v>
      </c>
      <c r="C56" s="641">
        <f>IF(C30=0,0,C16/C30)</f>
        <v>9632.7624847135376</v>
      </c>
      <c r="D56" s="641">
        <f>IF(D30=0,0,D16/D30)</f>
        <v>9757.1908032436077</v>
      </c>
      <c r="E56" s="641">
        <f>IF(E30=0,0,E16/E30)</f>
        <v>10063.310729229863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941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942</v>
      </c>
      <c r="C59" s="649">
        <v>75153400</v>
      </c>
      <c r="D59" s="649">
        <v>79362108</v>
      </c>
      <c r="E59" s="649">
        <v>80449741</v>
      </c>
    </row>
    <row r="60" spans="1:6" ht="26.1" customHeight="1" x14ac:dyDescent="0.25">
      <c r="A60" s="639">
        <v>2</v>
      </c>
      <c r="B60" s="640" t="s">
        <v>943</v>
      </c>
      <c r="C60" s="649">
        <v>20068757</v>
      </c>
      <c r="D60" s="649">
        <v>19868052</v>
      </c>
      <c r="E60" s="649">
        <v>19560604</v>
      </c>
    </row>
    <row r="61" spans="1:6" ht="26.1" customHeight="1" x14ac:dyDescent="0.25">
      <c r="A61" s="650">
        <v>3</v>
      </c>
      <c r="B61" s="651" t="s">
        <v>944</v>
      </c>
      <c r="C61" s="652">
        <f>C59+C60</f>
        <v>95222157</v>
      </c>
      <c r="D61" s="652">
        <f>D59+D60</f>
        <v>99230160</v>
      </c>
      <c r="E61" s="652">
        <f>E59+E60</f>
        <v>100010345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945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946</v>
      </c>
      <c r="C64" s="641">
        <v>41231009</v>
      </c>
      <c r="D64" s="641">
        <v>42366674</v>
      </c>
      <c r="E64" s="649">
        <v>43539278</v>
      </c>
      <c r="F64" s="653"/>
    </row>
    <row r="65" spans="1:6" ht="26.1" customHeight="1" x14ac:dyDescent="0.25">
      <c r="A65" s="639">
        <v>2</v>
      </c>
      <c r="B65" s="640" t="s">
        <v>947</v>
      </c>
      <c r="C65" s="649">
        <v>11010215</v>
      </c>
      <c r="D65" s="649">
        <v>10606363</v>
      </c>
      <c r="E65" s="649">
        <v>10586169</v>
      </c>
      <c r="F65" s="653"/>
    </row>
    <row r="66" spans="1:6" ht="26.1" customHeight="1" x14ac:dyDescent="0.25">
      <c r="A66" s="650">
        <v>3</v>
      </c>
      <c r="B66" s="651" t="s">
        <v>948</v>
      </c>
      <c r="C66" s="654">
        <f>C64+C65</f>
        <v>52241224</v>
      </c>
      <c r="D66" s="654">
        <f>D64+D65</f>
        <v>52973037</v>
      </c>
      <c r="E66" s="654">
        <f>E64+E65</f>
        <v>54125447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949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950</v>
      </c>
      <c r="C69" s="649">
        <v>98707479</v>
      </c>
      <c r="D69" s="649">
        <v>104026175</v>
      </c>
      <c r="E69" s="649">
        <v>108672668</v>
      </c>
    </row>
    <row r="70" spans="1:6" ht="26.1" customHeight="1" x14ac:dyDescent="0.25">
      <c r="A70" s="639">
        <v>2</v>
      </c>
      <c r="B70" s="640" t="s">
        <v>951</v>
      </c>
      <c r="C70" s="649">
        <v>26358574</v>
      </c>
      <c r="D70" s="649">
        <v>26042623</v>
      </c>
      <c r="E70" s="649">
        <v>26422747</v>
      </c>
    </row>
    <row r="71" spans="1:6" ht="26.1" customHeight="1" x14ac:dyDescent="0.25">
      <c r="A71" s="650">
        <v>3</v>
      </c>
      <c r="B71" s="651" t="s">
        <v>952</v>
      </c>
      <c r="C71" s="652">
        <f>C69+C70</f>
        <v>125066053</v>
      </c>
      <c r="D71" s="652">
        <f>D69+D70</f>
        <v>130068798</v>
      </c>
      <c r="E71" s="652">
        <f>E69+E70</f>
        <v>135095415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953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954</v>
      </c>
      <c r="C75" s="641">
        <f t="shared" ref="C75:E76" si="0">+C59+C64+C69</f>
        <v>215091888</v>
      </c>
      <c r="D75" s="641">
        <f t="shared" si="0"/>
        <v>225754957</v>
      </c>
      <c r="E75" s="641">
        <f t="shared" si="0"/>
        <v>232661687</v>
      </c>
    </row>
    <row r="76" spans="1:6" ht="26.1" customHeight="1" x14ac:dyDescent="0.25">
      <c r="A76" s="639">
        <v>2</v>
      </c>
      <c r="B76" s="640" t="s">
        <v>955</v>
      </c>
      <c r="C76" s="641">
        <f t="shared" si="0"/>
        <v>57437546</v>
      </c>
      <c r="D76" s="641">
        <f t="shared" si="0"/>
        <v>56517038</v>
      </c>
      <c r="E76" s="641">
        <f t="shared" si="0"/>
        <v>56569520</v>
      </c>
    </row>
    <row r="77" spans="1:6" ht="26.1" customHeight="1" x14ac:dyDescent="0.25">
      <c r="A77" s="650">
        <v>3</v>
      </c>
      <c r="B77" s="651" t="s">
        <v>953</v>
      </c>
      <c r="C77" s="654">
        <f>C75+C76</f>
        <v>272529434</v>
      </c>
      <c r="D77" s="654">
        <f>D75+D76</f>
        <v>282271995</v>
      </c>
      <c r="E77" s="654">
        <f>E75+E76</f>
        <v>289231207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956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871.3</v>
      </c>
      <c r="D80" s="646">
        <v>915.6</v>
      </c>
      <c r="E80" s="646">
        <v>917.4</v>
      </c>
    </row>
    <row r="81" spans="1:5" ht="26.1" customHeight="1" x14ac:dyDescent="0.25">
      <c r="A81" s="639">
        <v>2</v>
      </c>
      <c r="B81" s="640" t="s">
        <v>584</v>
      </c>
      <c r="C81" s="646">
        <v>308.39999999999998</v>
      </c>
      <c r="D81" s="646">
        <v>299.8</v>
      </c>
      <c r="E81" s="646">
        <v>289</v>
      </c>
    </row>
    <row r="82" spans="1:5" ht="26.1" customHeight="1" x14ac:dyDescent="0.25">
      <c r="A82" s="639">
        <v>3</v>
      </c>
      <c r="B82" s="640" t="s">
        <v>957</v>
      </c>
      <c r="C82" s="646">
        <v>1859.2</v>
      </c>
      <c r="D82" s="646">
        <v>1890.7</v>
      </c>
      <c r="E82" s="646">
        <v>1921.8</v>
      </c>
    </row>
    <row r="83" spans="1:5" ht="26.1" customHeight="1" x14ac:dyDescent="0.25">
      <c r="A83" s="650">
        <v>4</v>
      </c>
      <c r="B83" s="651" t="s">
        <v>956</v>
      </c>
      <c r="C83" s="656">
        <f>C80+C81+C82</f>
        <v>3038.8999999999996</v>
      </c>
      <c r="D83" s="656">
        <f>D80+D81+D82</f>
        <v>3106.1000000000004</v>
      </c>
      <c r="E83" s="656">
        <f>E80+E81+E82</f>
        <v>3128.2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958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959</v>
      </c>
      <c r="C86" s="649">
        <f>IF(C80=0,0,C59/C80)</f>
        <v>86254.332606450131</v>
      </c>
      <c r="D86" s="649">
        <f>IF(D80=0,0,D59/D80)</f>
        <v>86677.706422018353</v>
      </c>
      <c r="E86" s="649">
        <f>IF(E80=0,0,E59/E80)</f>
        <v>87693.199258774795</v>
      </c>
    </row>
    <row r="87" spans="1:5" ht="26.1" customHeight="1" x14ac:dyDescent="0.25">
      <c r="A87" s="639">
        <v>2</v>
      </c>
      <c r="B87" s="640" t="s">
        <v>960</v>
      </c>
      <c r="C87" s="649">
        <f>IF(C80=0,0,C60/C80)</f>
        <v>23033.119476644097</v>
      </c>
      <c r="D87" s="649">
        <f>IF(D80=0,0,D60/D80)</f>
        <v>21699.488859764089</v>
      </c>
      <c r="E87" s="649">
        <f>IF(E80=0,0,E60/E80)</f>
        <v>21321.783300632222</v>
      </c>
    </row>
    <row r="88" spans="1:5" ht="26.1" customHeight="1" x14ac:dyDescent="0.25">
      <c r="A88" s="650">
        <v>3</v>
      </c>
      <c r="B88" s="651" t="s">
        <v>961</v>
      </c>
      <c r="C88" s="652">
        <f>+C86+C87</f>
        <v>109287.45208309422</v>
      </c>
      <c r="D88" s="652">
        <f>+D86+D87</f>
        <v>108377.19528178245</v>
      </c>
      <c r="E88" s="652">
        <f>+E86+E87</f>
        <v>109014.98255940701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962</v>
      </c>
    </row>
    <row r="91" spans="1:5" ht="26.1" customHeight="1" x14ac:dyDescent="0.25">
      <c r="A91" s="639">
        <v>1</v>
      </c>
      <c r="B91" s="640" t="s">
        <v>963</v>
      </c>
      <c r="C91" s="641">
        <f>IF(C81=0,0,C64/C81)</f>
        <v>133693.28469520106</v>
      </c>
      <c r="D91" s="641">
        <f>IF(D81=0,0,D64/D81)</f>
        <v>141316.45763842561</v>
      </c>
      <c r="E91" s="641">
        <f>IF(E81=0,0,E64/E81)</f>
        <v>150654.9411764706</v>
      </c>
    </row>
    <row r="92" spans="1:5" ht="26.1" customHeight="1" x14ac:dyDescent="0.25">
      <c r="A92" s="639">
        <v>2</v>
      </c>
      <c r="B92" s="640" t="s">
        <v>964</v>
      </c>
      <c r="C92" s="641">
        <f>IF(C81=0,0,C65/C81)</f>
        <v>35701.086251621273</v>
      </c>
      <c r="D92" s="641">
        <f>IF(D81=0,0,D65/D81)</f>
        <v>35378.128752501667</v>
      </c>
      <c r="E92" s="641">
        <f>IF(E81=0,0,E65/E81)</f>
        <v>36630.342560553632</v>
      </c>
    </row>
    <row r="93" spans="1:5" ht="26.1" customHeight="1" x14ac:dyDescent="0.25">
      <c r="A93" s="650">
        <v>3</v>
      </c>
      <c r="B93" s="651" t="s">
        <v>965</v>
      </c>
      <c r="C93" s="654">
        <f>+C91+C92</f>
        <v>169394.37094682234</v>
      </c>
      <c r="D93" s="654">
        <f>+D91+D92</f>
        <v>176694.58639092726</v>
      </c>
      <c r="E93" s="654">
        <f>+E91+E92</f>
        <v>187285.28373702423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966</v>
      </c>
      <c r="B95" s="642" t="s">
        <v>967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968</v>
      </c>
      <c r="C96" s="649">
        <f>IF(C82=0,0,C69/C82)</f>
        <v>53091.372095524959</v>
      </c>
      <c r="D96" s="649">
        <f>IF(D82=0,0,D69/D82)</f>
        <v>55019.92648225525</v>
      </c>
      <c r="E96" s="649">
        <f>IF(E82=0,0,E69/E82)</f>
        <v>56547.33479030076</v>
      </c>
    </row>
    <row r="97" spans="1:5" ht="26.1" customHeight="1" x14ac:dyDescent="0.25">
      <c r="A97" s="639">
        <v>2</v>
      </c>
      <c r="B97" s="640" t="s">
        <v>969</v>
      </c>
      <c r="C97" s="649">
        <f>IF(C82=0,0,C70/C82)</f>
        <v>14177.374139414802</v>
      </c>
      <c r="D97" s="649">
        <f>IF(D82=0,0,D70/D82)</f>
        <v>13774.064103242185</v>
      </c>
      <c r="E97" s="649">
        <f>IF(E82=0,0,E70/E82)</f>
        <v>13748.957747944636</v>
      </c>
    </row>
    <row r="98" spans="1:5" ht="26.1" customHeight="1" x14ac:dyDescent="0.25">
      <c r="A98" s="650">
        <v>3</v>
      </c>
      <c r="B98" s="651" t="s">
        <v>970</v>
      </c>
      <c r="C98" s="654">
        <f>+C96+C97</f>
        <v>67268.746234939754</v>
      </c>
      <c r="D98" s="654">
        <f>+D96+D97</f>
        <v>68793.990585497435</v>
      </c>
      <c r="E98" s="654">
        <f>+E96+E97</f>
        <v>70296.292538245398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971</v>
      </c>
      <c r="B100" s="642" t="s">
        <v>972</v>
      </c>
    </row>
    <row r="101" spans="1:5" ht="26.1" customHeight="1" x14ac:dyDescent="0.25">
      <c r="A101" s="639">
        <v>1</v>
      </c>
      <c r="B101" s="640" t="s">
        <v>973</v>
      </c>
      <c r="C101" s="641">
        <f>IF(C83=0,0,C75/C83)</f>
        <v>70779.52153739841</v>
      </c>
      <c r="D101" s="641">
        <f>IF(D83=0,0,D75/D83)</f>
        <v>72681.161907214831</v>
      </c>
      <c r="E101" s="641">
        <f>IF(E83=0,0,E75/E83)</f>
        <v>74375.579246851223</v>
      </c>
    </row>
    <row r="102" spans="1:5" ht="26.1" customHeight="1" x14ac:dyDescent="0.25">
      <c r="A102" s="639">
        <v>2</v>
      </c>
      <c r="B102" s="640" t="s">
        <v>974</v>
      </c>
      <c r="C102" s="658">
        <f>IF(C83=0,0,C76/C83)</f>
        <v>18900.768699200369</v>
      </c>
      <c r="D102" s="658">
        <f>IF(D83=0,0,D76/D83)</f>
        <v>18195.498535140527</v>
      </c>
      <c r="E102" s="658">
        <f>IF(E83=0,0,E76/E83)</f>
        <v>18083.728661850266</v>
      </c>
    </row>
    <row r="103" spans="1:5" ht="26.1" customHeight="1" x14ac:dyDescent="0.25">
      <c r="A103" s="650">
        <v>3</v>
      </c>
      <c r="B103" s="651" t="s">
        <v>972</v>
      </c>
      <c r="C103" s="654">
        <f>+C101+C102</f>
        <v>89680.290236598783</v>
      </c>
      <c r="D103" s="654">
        <f>+D101+D102</f>
        <v>90876.660442355351</v>
      </c>
      <c r="E103" s="654">
        <f>+E101+E102</f>
        <v>92459.307908701492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975</v>
      </c>
      <c r="B107" s="634" t="s">
        <v>976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977</v>
      </c>
      <c r="C108" s="641">
        <f>IF(C19=0,0,C77/C19)</f>
        <v>2080.9333333333334</v>
      </c>
      <c r="D108" s="641">
        <f>IF(D19=0,0,D77/D19)</f>
        <v>2271.3863429707176</v>
      </c>
      <c r="E108" s="641">
        <f>IF(E19=0,0,E77/E19)</f>
        <v>2378.2527402047444</v>
      </c>
    </row>
    <row r="109" spans="1:5" ht="26.1" customHeight="1" x14ac:dyDescent="0.25">
      <c r="A109" s="639">
        <v>2</v>
      </c>
      <c r="B109" s="640" t="s">
        <v>978</v>
      </c>
      <c r="C109" s="641">
        <f>IF(C20=0,0,C77/C20)</f>
        <v>11121.380697816772</v>
      </c>
      <c r="D109" s="641">
        <f>IF(D20=0,0,D77/D20)</f>
        <v>11798.695661260659</v>
      </c>
      <c r="E109" s="641">
        <f>IF(E20=0,0,E77/E20)</f>
        <v>12685.02289373273</v>
      </c>
    </row>
    <row r="110" spans="1:5" ht="26.1" customHeight="1" x14ac:dyDescent="0.25">
      <c r="A110" s="639">
        <v>3</v>
      </c>
      <c r="B110" s="640" t="s">
        <v>979</v>
      </c>
      <c r="C110" s="641">
        <f>IF(C22=0,0,C77/C22)</f>
        <v>1482.7051065417495</v>
      </c>
      <c r="D110" s="641">
        <f>IF(D22=0,0,D77/D22)</f>
        <v>1547.7834015847927</v>
      </c>
      <c r="E110" s="641">
        <f>IF(E22=0,0,E77/E22)</f>
        <v>1605.8240670300343</v>
      </c>
    </row>
    <row r="111" spans="1:5" ht="26.1" customHeight="1" x14ac:dyDescent="0.25">
      <c r="A111" s="639">
        <v>4</v>
      </c>
      <c r="B111" s="640" t="s">
        <v>980</v>
      </c>
      <c r="C111" s="641">
        <f>IF(C23=0,0,C77/C23)</f>
        <v>7924.1980933785035</v>
      </c>
      <c r="D111" s="641">
        <f>IF(D23=0,0,D77/D23)</f>
        <v>8039.9467758379424</v>
      </c>
      <c r="E111" s="641">
        <f>IF(E23=0,0,E77/E23)</f>
        <v>8565.0758261417304</v>
      </c>
    </row>
    <row r="112" spans="1:5" ht="26.1" customHeight="1" x14ac:dyDescent="0.25">
      <c r="A112" s="639">
        <v>5</v>
      </c>
      <c r="B112" s="640" t="s">
        <v>981</v>
      </c>
      <c r="C112" s="641">
        <f>IF(C29=0,0,C77/C29)</f>
        <v>1015.0141426536011</v>
      </c>
      <c r="D112" s="641">
        <f>IF(D29=0,0,D77/D29)</f>
        <v>1078.8235393615953</v>
      </c>
      <c r="E112" s="641">
        <f>IF(E29=0,0,E77/E29)</f>
        <v>1095.0732739970226</v>
      </c>
    </row>
    <row r="113" spans="1:7" ht="25.5" customHeight="1" x14ac:dyDescent="0.25">
      <c r="A113" s="639">
        <v>6</v>
      </c>
      <c r="B113" s="640" t="s">
        <v>982</v>
      </c>
      <c r="C113" s="641">
        <f>IF(C30=0,0,C77/C30)</f>
        <v>5424.6613830903443</v>
      </c>
      <c r="D113" s="641">
        <f>IF(D30=0,0,D77/D30)</f>
        <v>5603.9390447702535</v>
      </c>
      <c r="E113" s="641">
        <f>IF(E30=0,0,E77/E30)</f>
        <v>5840.8550597407093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FILING&amp;R&amp;12HOSPITAL OF SAINT RAPHAEL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1287870180</v>
      </c>
      <c r="D12" s="51">
        <v>1368811125</v>
      </c>
      <c r="E12" s="51">
        <f t="shared" ref="E12:E19" si="0">D12-C12</f>
        <v>80940945</v>
      </c>
      <c r="F12" s="70">
        <f t="shared" ref="F12:F19" si="1">IF(C12=0,0,E12/C12)</f>
        <v>6.2848683242281447E-2</v>
      </c>
    </row>
    <row r="13" spans="1:8" ht="23.1" customHeight="1" x14ac:dyDescent="0.2">
      <c r="A13" s="25">
        <v>2</v>
      </c>
      <c r="B13" s="48" t="s">
        <v>72</v>
      </c>
      <c r="C13" s="51">
        <v>813730390</v>
      </c>
      <c r="D13" s="51">
        <v>885069737</v>
      </c>
      <c r="E13" s="51">
        <f t="shared" si="0"/>
        <v>71339347</v>
      </c>
      <c r="F13" s="70">
        <f t="shared" si="1"/>
        <v>8.7669512994346929E-2</v>
      </c>
    </row>
    <row r="14" spans="1:8" ht="23.1" customHeight="1" x14ac:dyDescent="0.2">
      <c r="A14" s="25">
        <v>3</v>
      </c>
      <c r="B14" s="48" t="s">
        <v>73</v>
      </c>
      <c r="C14" s="51">
        <v>5390523</v>
      </c>
      <c r="D14" s="51">
        <v>5784587</v>
      </c>
      <c r="E14" s="51">
        <f t="shared" si="0"/>
        <v>394064</v>
      </c>
      <c r="F14" s="70">
        <f t="shared" si="1"/>
        <v>7.3103110774223573E-2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468749267</v>
      </c>
      <c r="D16" s="27">
        <f>D12-D13-D14-D15</f>
        <v>477956801</v>
      </c>
      <c r="E16" s="27">
        <f t="shared" si="0"/>
        <v>9207534</v>
      </c>
      <c r="F16" s="28">
        <f t="shared" si="1"/>
        <v>1.9642769916054077E-2</v>
      </c>
    </row>
    <row r="17" spans="1:7" ht="23.1" customHeight="1" x14ac:dyDescent="0.2">
      <c r="A17" s="25">
        <v>5</v>
      </c>
      <c r="B17" s="48" t="s">
        <v>76</v>
      </c>
      <c r="C17" s="51">
        <v>18946255</v>
      </c>
      <c r="D17" s="51">
        <v>17978078</v>
      </c>
      <c r="E17" s="51">
        <f t="shared" si="0"/>
        <v>-968177</v>
      </c>
      <c r="F17" s="70">
        <f t="shared" si="1"/>
        <v>-5.1101233462760846E-2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3635690</v>
      </c>
      <c r="D18" s="51">
        <v>5555754</v>
      </c>
      <c r="E18" s="51">
        <f t="shared" si="0"/>
        <v>1920064</v>
      </c>
      <c r="F18" s="70">
        <f t="shared" si="1"/>
        <v>0.52811543338403444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491331212</v>
      </c>
      <c r="D19" s="27">
        <f>SUM(D16:D18)</f>
        <v>501490633</v>
      </c>
      <c r="E19" s="27">
        <f t="shared" si="0"/>
        <v>10159421</v>
      </c>
      <c r="F19" s="28">
        <f t="shared" si="1"/>
        <v>2.0677336899981025E-2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225754957</v>
      </c>
      <c r="D22" s="51">
        <v>232661687</v>
      </c>
      <c r="E22" s="51">
        <f t="shared" ref="E22:E31" si="2">D22-C22</f>
        <v>6906730</v>
      </c>
      <c r="F22" s="70">
        <f t="shared" ref="F22:F31" si="3">IF(C22=0,0,E22/C22)</f>
        <v>3.059392401292876E-2</v>
      </c>
    </row>
    <row r="23" spans="1:7" ht="23.1" customHeight="1" x14ac:dyDescent="0.2">
      <c r="A23" s="25">
        <v>2</v>
      </c>
      <c r="B23" s="48" t="s">
        <v>81</v>
      </c>
      <c r="C23" s="51">
        <v>56517038</v>
      </c>
      <c r="D23" s="51">
        <v>56569520</v>
      </c>
      <c r="E23" s="51">
        <f t="shared" si="2"/>
        <v>52482</v>
      </c>
      <c r="F23" s="70">
        <f t="shared" si="3"/>
        <v>9.2860492795110742E-4</v>
      </c>
    </row>
    <row r="24" spans="1:7" ht="23.1" customHeight="1" x14ac:dyDescent="0.2">
      <c r="A24" s="25">
        <v>3</v>
      </c>
      <c r="B24" s="48" t="s">
        <v>82</v>
      </c>
      <c r="C24" s="51">
        <v>6082959</v>
      </c>
      <c r="D24" s="51">
        <v>6150524</v>
      </c>
      <c r="E24" s="51">
        <f t="shared" si="2"/>
        <v>67565</v>
      </c>
      <c r="F24" s="70">
        <f t="shared" si="3"/>
        <v>1.1107258819268714E-2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66635835</v>
      </c>
      <c r="D25" s="51">
        <v>64255511</v>
      </c>
      <c r="E25" s="51">
        <f t="shared" si="2"/>
        <v>-2380324</v>
      </c>
      <c r="F25" s="70">
        <f t="shared" si="3"/>
        <v>-3.5721380245328956E-2</v>
      </c>
    </row>
    <row r="26" spans="1:7" ht="23.1" customHeight="1" x14ac:dyDescent="0.2">
      <c r="A26" s="25">
        <v>5</v>
      </c>
      <c r="B26" s="48" t="s">
        <v>84</v>
      </c>
      <c r="C26" s="51">
        <v>14606590</v>
      </c>
      <c r="D26" s="51">
        <v>13478326</v>
      </c>
      <c r="E26" s="51">
        <f t="shared" si="2"/>
        <v>-1128264</v>
      </c>
      <c r="F26" s="70">
        <f t="shared" si="3"/>
        <v>-7.7243490780531249E-2</v>
      </c>
    </row>
    <row r="27" spans="1:7" ht="23.1" customHeight="1" x14ac:dyDescent="0.2">
      <c r="A27" s="25">
        <v>6</v>
      </c>
      <c r="B27" s="48" t="s">
        <v>85</v>
      </c>
      <c r="C27" s="51">
        <v>24670997</v>
      </c>
      <c r="D27" s="51">
        <v>22840000</v>
      </c>
      <c r="E27" s="51">
        <f t="shared" si="2"/>
        <v>-1830997</v>
      </c>
      <c r="F27" s="70">
        <f t="shared" si="3"/>
        <v>-7.42165790867714E-2</v>
      </c>
    </row>
    <row r="28" spans="1:7" ht="23.1" customHeight="1" x14ac:dyDescent="0.2">
      <c r="A28" s="25">
        <v>7</v>
      </c>
      <c r="B28" s="48" t="s">
        <v>86</v>
      </c>
      <c r="C28" s="51">
        <v>2904989</v>
      </c>
      <c r="D28" s="51">
        <v>2512441</v>
      </c>
      <c r="E28" s="51">
        <f t="shared" si="2"/>
        <v>-392548</v>
      </c>
      <c r="F28" s="70">
        <f t="shared" si="3"/>
        <v>-0.13512891098727051</v>
      </c>
    </row>
    <row r="29" spans="1:7" ht="23.1" customHeight="1" x14ac:dyDescent="0.2">
      <c r="A29" s="25">
        <v>8</v>
      </c>
      <c r="B29" s="48" t="s">
        <v>87</v>
      </c>
      <c r="C29" s="51">
        <v>5290004</v>
      </c>
      <c r="D29" s="51">
        <v>3114995</v>
      </c>
      <c r="E29" s="51">
        <f t="shared" si="2"/>
        <v>-2175009</v>
      </c>
      <c r="F29" s="70">
        <f t="shared" si="3"/>
        <v>-0.41115450952400034</v>
      </c>
    </row>
    <row r="30" spans="1:7" ht="23.1" customHeight="1" x14ac:dyDescent="0.2">
      <c r="A30" s="25">
        <v>9</v>
      </c>
      <c r="B30" s="48" t="s">
        <v>88</v>
      </c>
      <c r="C30" s="51">
        <v>89009092</v>
      </c>
      <c r="D30" s="51">
        <v>96738471</v>
      </c>
      <c r="E30" s="51">
        <f t="shared" si="2"/>
        <v>7729379</v>
      </c>
      <c r="F30" s="70">
        <f t="shared" si="3"/>
        <v>8.6838083911697464E-2</v>
      </c>
    </row>
    <row r="31" spans="1:7" ht="23.1" customHeight="1" x14ac:dyDescent="0.25">
      <c r="A31" s="29"/>
      <c r="B31" s="71" t="s">
        <v>89</v>
      </c>
      <c r="C31" s="27">
        <f>SUM(C22:C30)</f>
        <v>491472461</v>
      </c>
      <c r="D31" s="27">
        <f>SUM(D22:D30)</f>
        <v>498321475</v>
      </c>
      <c r="E31" s="27">
        <f t="shared" si="2"/>
        <v>6849014</v>
      </c>
      <c r="F31" s="28">
        <f t="shared" si="3"/>
        <v>1.3935702493002959E-2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-141249</v>
      </c>
      <c r="D33" s="27">
        <f>+D19-D31</f>
        <v>3169158</v>
      </c>
      <c r="E33" s="27">
        <f>D33-C33</f>
        <v>3310407</v>
      </c>
      <c r="F33" s="28">
        <f>IF(C33=0,0,E33/C33)</f>
        <v>-23.436675657880762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233861</v>
      </c>
      <c r="D38" s="51">
        <v>304901</v>
      </c>
      <c r="E38" s="51">
        <f>D38-C38</f>
        <v>71040</v>
      </c>
      <c r="F38" s="70">
        <f>IF(C38=0,0,E38/C38)</f>
        <v>0.3037701882742313</v>
      </c>
    </row>
    <row r="39" spans="1:6" ht="23.1" customHeight="1" x14ac:dyDescent="0.25">
      <c r="A39" s="20"/>
      <c r="B39" s="71" t="s">
        <v>95</v>
      </c>
      <c r="C39" s="27">
        <f>SUM(C36:C38)</f>
        <v>233861</v>
      </c>
      <c r="D39" s="27">
        <f>SUM(D36:D38)</f>
        <v>304901</v>
      </c>
      <c r="E39" s="27">
        <f>D39-C39</f>
        <v>71040</v>
      </c>
      <c r="F39" s="28">
        <f>IF(C39=0,0,E39/C39)</f>
        <v>0.3037701882742313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92612</v>
      </c>
      <c r="D41" s="27">
        <f>D33+D39</f>
        <v>3474059</v>
      </c>
      <c r="E41" s="27">
        <f>D41-C41</f>
        <v>3381447</v>
      </c>
      <c r="F41" s="28">
        <f>IF(C41=0,0,E41/C41)</f>
        <v>36.511974690104957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116079</v>
      </c>
      <c r="D44" s="51">
        <v>-234346</v>
      </c>
      <c r="E44" s="51">
        <f>D44-C44</f>
        <v>-350425</v>
      </c>
      <c r="F44" s="70">
        <f>IF(C44=0,0,E44/C44)</f>
        <v>-3.0188492319885594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116079</v>
      </c>
      <c r="D46" s="27">
        <f>SUM(D44:D45)</f>
        <v>-234346</v>
      </c>
      <c r="E46" s="27">
        <f>D46-C46</f>
        <v>-350425</v>
      </c>
      <c r="F46" s="28">
        <f>IF(C46=0,0,E46/C46)</f>
        <v>-3.0188492319885594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208691</v>
      </c>
      <c r="D48" s="27">
        <f>D41+D46</f>
        <v>3239713</v>
      </c>
      <c r="E48" s="27">
        <f>D48-C48</f>
        <v>3031022</v>
      </c>
      <c r="F48" s="28">
        <f>IF(C48=0,0,E48/C48)</f>
        <v>14.523970846850128</v>
      </c>
    </row>
    <row r="49" spans="1:6" ht="23.1" customHeight="1" x14ac:dyDescent="0.2">
      <c r="A49" s="44"/>
      <c r="B49" s="48" t="s">
        <v>102</v>
      </c>
      <c r="C49" s="51">
        <v>4788000</v>
      </c>
      <c r="D49" s="51">
        <v>5031000</v>
      </c>
      <c r="E49" s="51">
        <f>D49-C49</f>
        <v>243000</v>
      </c>
      <c r="F49" s="70">
        <f>IF(C49=0,0,E49/C49)</f>
        <v>5.0751879699248117E-2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FILING&amp;RHOSPITAL OF SAINT RAPHAEL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workbookViewId="0">
      <selection activeCell="A41" sqref="A41"/>
    </sheetView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22" style="75" bestFit="1" customWidth="1"/>
    <col min="5" max="5" width="20" style="75" bestFit="1" customWidth="1"/>
    <col min="6" max="6" width="18.425781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70" t="s">
        <v>0</v>
      </c>
      <c r="B2" s="670"/>
      <c r="C2" s="670"/>
      <c r="D2" s="670"/>
      <c r="E2" s="670"/>
      <c r="F2" s="670"/>
    </row>
    <row r="3" spans="1:6" ht="18" customHeight="1" x14ac:dyDescent="0.25">
      <c r="A3" s="670" t="s">
        <v>1</v>
      </c>
      <c r="B3" s="670"/>
      <c r="C3" s="670"/>
      <c r="D3" s="670"/>
      <c r="E3" s="670"/>
      <c r="F3" s="670"/>
    </row>
    <row r="4" spans="1:6" ht="18" customHeight="1" x14ac:dyDescent="0.25">
      <c r="A4" s="670" t="s">
        <v>2</v>
      </c>
      <c r="B4" s="670"/>
      <c r="C4" s="670"/>
      <c r="D4" s="670"/>
      <c r="E4" s="670"/>
      <c r="F4" s="670"/>
    </row>
    <row r="5" spans="1:6" ht="18" customHeight="1" x14ac:dyDescent="0.25">
      <c r="A5" s="670" t="s">
        <v>103</v>
      </c>
      <c r="B5" s="670"/>
      <c r="C5" s="670"/>
      <c r="D5" s="670"/>
      <c r="E5" s="670"/>
      <c r="F5" s="67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71"/>
      <c r="D9" s="672"/>
      <c r="E9" s="672"/>
      <c r="F9" s="673"/>
    </row>
    <row r="10" spans="1:6" ht="18" customHeight="1" x14ac:dyDescent="0.25">
      <c r="A10" s="660" t="s">
        <v>12</v>
      </c>
      <c r="B10" s="662" t="s">
        <v>109</v>
      </c>
      <c r="C10" s="664"/>
      <c r="D10" s="665"/>
      <c r="E10" s="665"/>
      <c r="F10" s="666"/>
    </row>
    <row r="11" spans="1:6" ht="18" customHeight="1" x14ac:dyDescent="0.25">
      <c r="A11" s="661"/>
      <c r="B11" s="663"/>
      <c r="C11" s="667"/>
      <c r="D11" s="668"/>
      <c r="E11" s="668"/>
      <c r="F11" s="669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427584616</v>
      </c>
      <c r="D14" s="97">
        <v>450260841</v>
      </c>
      <c r="E14" s="97">
        <f t="shared" ref="E14:E25" si="0">D14-C14</f>
        <v>22676225</v>
      </c>
      <c r="F14" s="98">
        <f t="shared" ref="F14:F25" si="1">IF(C14=0,0,E14/C14)</f>
        <v>5.3033304172945266E-2</v>
      </c>
    </row>
    <row r="15" spans="1:6" ht="18" customHeight="1" x14ac:dyDescent="0.25">
      <c r="A15" s="99">
        <v>2</v>
      </c>
      <c r="B15" s="100" t="s">
        <v>113</v>
      </c>
      <c r="C15" s="97">
        <v>116297322</v>
      </c>
      <c r="D15" s="97">
        <v>127314624</v>
      </c>
      <c r="E15" s="97">
        <f t="shared" si="0"/>
        <v>11017302</v>
      </c>
      <c r="F15" s="98">
        <f t="shared" si="1"/>
        <v>9.4733926891283016E-2</v>
      </c>
    </row>
    <row r="16" spans="1:6" ht="18" customHeight="1" x14ac:dyDescent="0.25">
      <c r="A16" s="99">
        <v>3</v>
      </c>
      <c r="B16" s="100" t="s">
        <v>114</v>
      </c>
      <c r="C16" s="97">
        <v>54414531</v>
      </c>
      <c r="D16" s="97">
        <v>85246769</v>
      </c>
      <c r="E16" s="97">
        <f t="shared" si="0"/>
        <v>30832238</v>
      </c>
      <c r="F16" s="98">
        <f t="shared" si="1"/>
        <v>0.56661772937085497</v>
      </c>
    </row>
    <row r="17" spans="1:6" ht="18" customHeight="1" x14ac:dyDescent="0.25">
      <c r="A17" s="99">
        <v>4</v>
      </c>
      <c r="B17" s="100" t="s">
        <v>115</v>
      </c>
      <c r="C17" s="97">
        <v>29429204</v>
      </c>
      <c r="D17" s="97">
        <v>35099943</v>
      </c>
      <c r="E17" s="97">
        <f t="shared" si="0"/>
        <v>5670739</v>
      </c>
      <c r="F17" s="98">
        <f t="shared" si="1"/>
        <v>0.19269087264473753</v>
      </c>
    </row>
    <row r="18" spans="1:6" ht="18" customHeight="1" x14ac:dyDescent="0.25">
      <c r="A18" s="99">
        <v>5</v>
      </c>
      <c r="B18" s="100" t="s">
        <v>116</v>
      </c>
      <c r="C18" s="97">
        <v>507308</v>
      </c>
      <c r="D18" s="97">
        <v>1253955</v>
      </c>
      <c r="E18" s="97">
        <f t="shared" si="0"/>
        <v>746647</v>
      </c>
      <c r="F18" s="98">
        <f t="shared" si="1"/>
        <v>1.4717824280318859</v>
      </c>
    </row>
    <row r="19" spans="1:6" ht="18" customHeight="1" x14ac:dyDescent="0.25">
      <c r="A19" s="99">
        <v>6</v>
      </c>
      <c r="B19" s="100" t="s">
        <v>117</v>
      </c>
      <c r="C19" s="97">
        <v>8066743</v>
      </c>
      <c r="D19" s="97">
        <v>9169476</v>
      </c>
      <c r="E19" s="97">
        <f t="shared" si="0"/>
        <v>1102733</v>
      </c>
      <c r="F19" s="98">
        <f t="shared" si="1"/>
        <v>0.13670114443958362</v>
      </c>
    </row>
    <row r="20" spans="1:6" ht="18" customHeight="1" x14ac:dyDescent="0.25">
      <c r="A20" s="99">
        <v>7</v>
      </c>
      <c r="B20" s="100" t="s">
        <v>118</v>
      </c>
      <c r="C20" s="97">
        <v>219779016</v>
      </c>
      <c r="D20" s="97">
        <v>212073011</v>
      </c>
      <c r="E20" s="97">
        <f t="shared" si="0"/>
        <v>-7706005</v>
      </c>
      <c r="F20" s="98">
        <f t="shared" si="1"/>
        <v>-3.506251479440603E-2</v>
      </c>
    </row>
    <row r="21" spans="1:6" ht="18" customHeight="1" x14ac:dyDescent="0.25">
      <c r="A21" s="99">
        <v>8</v>
      </c>
      <c r="B21" s="100" t="s">
        <v>119</v>
      </c>
      <c r="C21" s="97">
        <v>0</v>
      </c>
      <c r="D21" s="97">
        <v>0</v>
      </c>
      <c r="E21" s="97">
        <f t="shared" si="0"/>
        <v>0</v>
      </c>
      <c r="F21" s="98">
        <f t="shared" si="1"/>
        <v>0</v>
      </c>
    </row>
    <row r="22" spans="1:6" ht="18" customHeight="1" x14ac:dyDescent="0.25">
      <c r="A22" s="99">
        <v>9</v>
      </c>
      <c r="B22" s="100" t="s">
        <v>120</v>
      </c>
      <c r="C22" s="97">
        <v>10215544</v>
      </c>
      <c r="D22" s="97">
        <v>3818662</v>
      </c>
      <c r="E22" s="97">
        <f t="shared" si="0"/>
        <v>-6396882</v>
      </c>
      <c r="F22" s="98">
        <f t="shared" si="1"/>
        <v>-0.62619102810383864</v>
      </c>
    </row>
    <row r="23" spans="1:6" ht="18" customHeight="1" x14ac:dyDescent="0.25">
      <c r="A23" s="99">
        <v>10</v>
      </c>
      <c r="B23" s="100" t="s">
        <v>121</v>
      </c>
      <c r="C23" s="97">
        <v>11294901</v>
      </c>
      <c r="D23" s="97">
        <v>0</v>
      </c>
      <c r="E23" s="97">
        <f t="shared" si="0"/>
        <v>-11294901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877589185</v>
      </c>
      <c r="D25" s="103">
        <f>SUM(D14:D24)</f>
        <v>924237281</v>
      </c>
      <c r="E25" s="103">
        <f t="shared" si="0"/>
        <v>46648096</v>
      </c>
      <c r="F25" s="104">
        <f t="shared" si="1"/>
        <v>5.3154820954180289E-2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114906608</v>
      </c>
      <c r="D27" s="97">
        <v>126806811</v>
      </c>
      <c r="E27" s="97">
        <f t="shared" ref="E27:E38" si="2">D27-C27</f>
        <v>11900203</v>
      </c>
      <c r="F27" s="98">
        <f t="shared" ref="F27:F38" si="3">IF(C27=0,0,E27/C27)</f>
        <v>0.10356413096799447</v>
      </c>
    </row>
    <row r="28" spans="1:6" ht="18" customHeight="1" x14ac:dyDescent="0.25">
      <c r="A28" s="99">
        <v>2</v>
      </c>
      <c r="B28" s="100" t="s">
        <v>113</v>
      </c>
      <c r="C28" s="97">
        <v>29420961</v>
      </c>
      <c r="D28" s="97">
        <v>34510963</v>
      </c>
      <c r="E28" s="97">
        <f t="shared" si="2"/>
        <v>5090002</v>
      </c>
      <c r="F28" s="98">
        <f t="shared" si="3"/>
        <v>0.17300597353023242</v>
      </c>
    </row>
    <row r="29" spans="1:6" ht="18" customHeight="1" x14ac:dyDescent="0.25">
      <c r="A29" s="99">
        <v>3</v>
      </c>
      <c r="B29" s="100" t="s">
        <v>114</v>
      </c>
      <c r="C29" s="97">
        <v>31810292</v>
      </c>
      <c r="D29" s="97">
        <v>60836844</v>
      </c>
      <c r="E29" s="97">
        <f t="shared" si="2"/>
        <v>29026552</v>
      </c>
      <c r="F29" s="98">
        <f t="shared" si="3"/>
        <v>0.91248932892536794</v>
      </c>
    </row>
    <row r="30" spans="1:6" ht="18" customHeight="1" x14ac:dyDescent="0.25">
      <c r="A30" s="99">
        <v>4</v>
      </c>
      <c r="B30" s="100" t="s">
        <v>115</v>
      </c>
      <c r="C30" s="97">
        <v>37431783</v>
      </c>
      <c r="D30" s="97">
        <v>44373304</v>
      </c>
      <c r="E30" s="97">
        <f t="shared" si="2"/>
        <v>6941521</v>
      </c>
      <c r="F30" s="98">
        <f t="shared" si="3"/>
        <v>0.18544457259757036</v>
      </c>
    </row>
    <row r="31" spans="1:6" ht="18" customHeight="1" x14ac:dyDescent="0.25">
      <c r="A31" s="99">
        <v>5</v>
      </c>
      <c r="B31" s="100" t="s">
        <v>116</v>
      </c>
      <c r="C31" s="97">
        <v>813848</v>
      </c>
      <c r="D31" s="97">
        <v>772227</v>
      </c>
      <c r="E31" s="97">
        <f t="shared" si="2"/>
        <v>-41621</v>
      </c>
      <c r="F31" s="98">
        <f t="shared" si="3"/>
        <v>-5.1140999302080978E-2</v>
      </c>
    </row>
    <row r="32" spans="1:6" ht="18" customHeight="1" x14ac:dyDescent="0.25">
      <c r="A32" s="99">
        <v>6</v>
      </c>
      <c r="B32" s="100" t="s">
        <v>117</v>
      </c>
      <c r="C32" s="97">
        <v>8318226</v>
      </c>
      <c r="D32" s="97">
        <v>9163222</v>
      </c>
      <c r="E32" s="97">
        <f t="shared" si="2"/>
        <v>844996</v>
      </c>
      <c r="F32" s="98">
        <f t="shared" si="3"/>
        <v>0.10158367902002181</v>
      </c>
    </row>
    <row r="33" spans="1:6" ht="18" customHeight="1" x14ac:dyDescent="0.25">
      <c r="A33" s="99">
        <v>7</v>
      </c>
      <c r="B33" s="100" t="s">
        <v>118</v>
      </c>
      <c r="C33" s="97">
        <v>153934318</v>
      </c>
      <c r="D33" s="97">
        <v>151700295</v>
      </c>
      <c r="E33" s="97">
        <f t="shared" si="2"/>
        <v>-2234023</v>
      </c>
      <c r="F33" s="98">
        <f t="shared" si="3"/>
        <v>-1.4512832674517712E-2</v>
      </c>
    </row>
    <row r="34" spans="1:6" ht="18" customHeight="1" x14ac:dyDescent="0.25">
      <c r="A34" s="99">
        <v>8</v>
      </c>
      <c r="B34" s="100" t="s">
        <v>119</v>
      </c>
      <c r="C34" s="97">
        <v>0</v>
      </c>
      <c r="D34" s="97">
        <v>0</v>
      </c>
      <c r="E34" s="97">
        <f t="shared" si="2"/>
        <v>0</v>
      </c>
      <c r="F34" s="98">
        <f t="shared" si="3"/>
        <v>0</v>
      </c>
    </row>
    <row r="35" spans="1:6" ht="18" customHeight="1" x14ac:dyDescent="0.25">
      <c r="A35" s="99">
        <v>9</v>
      </c>
      <c r="B35" s="100" t="s">
        <v>120</v>
      </c>
      <c r="C35" s="97">
        <v>19620565</v>
      </c>
      <c r="D35" s="97">
        <v>16410177</v>
      </c>
      <c r="E35" s="97">
        <f t="shared" si="2"/>
        <v>-3210388</v>
      </c>
      <c r="F35" s="98">
        <f t="shared" si="3"/>
        <v>-0.16362362653674856</v>
      </c>
    </row>
    <row r="36" spans="1:6" ht="18" customHeight="1" x14ac:dyDescent="0.25">
      <c r="A36" s="99">
        <v>10</v>
      </c>
      <c r="B36" s="100" t="s">
        <v>121</v>
      </c>
      <c r="C36" s="97">
        <v>14024395</v>
      </c>
      <c r="D36" s="97">
        <v>0</v>
      </c>
      <c r="E36" s="97">
        <f t="shared" si="2"/>
        <v>-14024395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410280996</v>
      </c>
      <c r="D38" s="103">
        <f>SUM(D27:D37)</f>
        <v>444573843</v>
      </c>
      <c r="E38" s="103">
        <f t="shared" si="2"/>
        <v>34292847</v>
      </c>
      <c r="F38" s="104">
        <f t="shared" si="3"/>
        <v>8.3583805573095568E-2</v>
      </c>
    </row>
    <row r="39" spans="1:6" ht="18" customHeight="1" x14ac:dyDescent="0.25">
      <c r="A39" s="660" t="s">
        <v>127</v>
      </c>
      <c r="B39" s="662" t="s">
        <v>128</v>
      </c>
      <c r="C39" s="664"/>
      <c r="D39" s="665"/>
      <c r="E39" s="665"/>
      <c r="F39" s="666"/>
    </row>
    <row r="40" spans="1:6" ht="18" customHeight="1" x14ac:dyDescent="0.25">
      <c r="A40" s="661"/>
      <c r="B40" s="663"/>
      <c r="C40" s="667"/>
      <c r="D40" s="668"/>
      <c r="E40" s="668"/>
      <c r="F40" s="669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542491224</v>
      </c>
      <c r="D41" s="103">
        <f t="shared" si="4"/>
        <v>577067652</v>
      </c>
      <c r="E41" s="107">
        <f t="shared" ref="E41:E52" si="5">D41-C41</f>
        <v>34576428</v>
      </c>
      <c r="F41" s="108">
        <f t="shared" ref="F41:F52" si="6">IF(C41=0,0,E41/C41)</f>
        <v>6.3736382212885342E-2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145718283</v>
      </c>
      <c r="D42" s="103">
        <f t="shared" si="4"/>
        <v>161825587</v>
      </c>
      <c r="E42" s="107">
        <f t="shared" si="5"/>
        <v>16107304</v>
      </c>
      <c r="F42" s="108">
        <f t="shared" si="6"/>
        <v>0.11053728927069502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86224823</v>
      </c>
      <c r="D43" s="103">
        <f t="shared" si="4"/>
        <v>146083613</v>
      </c>
      <c r="E43" s="107">
        <f t="shared" si="5"/>
        <v>59858790</v>
      </c>
      <c r="F43" s="108">
        <f t="shared" si="6"/>
        <v>0.69421760367081298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66860987</v>
      </c>
      <c r="D44" s="103">
        <f t="shared" si="4"/>
        <v>79473247</v>
      </c>
      <c r="E44" s="107">
        <f t="shared" si="5"/>
        <v>12612260</v>
      </c>
      <c r="F44" s="108">
        <f t="shared" si="6"/>
        <v>0.18863406847404152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1321156</v>
      </c>
      <c r="D45" s="103">
        <f t="shared" si="4"/>
        <v>2026182</v>
      </c>
      <c r="E45" s="107">
        <f t="shared" si="5"/>
        <v>705026</v>
      </c>
      <c r="F45" s="108">
        <f t="shared" si="6"/>
        <v>0.53364326392946781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16384969</v>
      </c>
      <c r="D46" s="103">
        <f t="shared" si="4"/>
        <v>18332698</v>
      </c>
      <c r="E46" s="107">
        <f t="shared" si="5"/>
        <v>1947729</v>
      </c>
      <c r="F46" s="108">
        <f t="shared" si="6"/>
        <v>0.11887291333904873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373713334</v>
      </c>
      <c r="D47" s="103">
        <f t="shared" si="4"/>
        <v>363773306</v>
      </c>
      <c r="E47" s="107">
        <f t="shared" si="5"/>
        <v>-9940028</v>
      </c>
      <c r="F47" s="108">
        <f t="shared" si="6"/>
        <v>-2.659800198619619E-2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0</v>
      </c>
      <c r="D48" s="103">
        <f t="shared" si="4"/>
        <v>0</v>
      </c>
      <c r="E48" s="107">
        <f t="shared" si="5"/>
        <v>0</v>
      </c>
      <c r="F48" s="108">
        <f t="shared" si="6"/>
        <v>0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29836109</v>
      </c>
      <c r="D49" s="103">
        <f t="shared" si="4"/>
        <v>20228839</v>
      </c>
      <c r="E49" s="107">
        <f t="shared" si="5"/>
        <v>-9607270</v>
      </c>
      <c r="F49" s="108">
        <f t="shared" si="6"/>
        <v>-0.32200143792208291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25319296</v>
      </c>
      <c r="D50" s="103">
        <f t="shared" si="4"/>
        <v>0</v>
      </c>
      <c r="E50" s="107">
        <f t="shared" si="5"/>
        <v>-25319296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1287870181</v>
      </c>
      <c r="D52" s="112">
        <f>SUM(D41:D51)</f>
        <v>1368811124</v>
      </c>
      <c r="E52" s="111">
        <f t="shared" si="5"/>
        <v>80940943</v>
      </c>
      <c r="F52" s="113">
        <f t="shared" si="6"/>
        <v>6.2848681640529425E-2</v>
      </c>
    </row>
    <row r="53" spans="1:6" ht="18" customHeight="1" x14ac:dyDescent="0.25">
      <c r="A53" s="660" t="s">
        <v>44</v>
      </c>
      <c r="B53" s="662" t="s">
        <v>129</v>
      </c>
      <c r="C53" s="664"/>
      <c r="D53" s="665"/>
      <c r="E53" s="665"/>
      <c r="F53" s="666"/>
    </row>
    <row r="54" spans="1:6" ht="18" customHeight="1" x14ac:dyDescent="0.25">
      <c r="A54" s="661"/>
      <c r="B54" s="663"/>
      <c r="C54" s="667"/>
      <c r="D54" s="668"/>
      <c r="E54" s="668"/>
      <c r="F54" s="669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141897502</v>
      </c>
      <c r="D57" s="97">
        <v>138409210</v>
      </c>
      <c r="E57" s="97">
        <f t="shared" ref="E57:E68" si="7">D57-C57</f>
        <v>-3488292</v>
      </c>
      <c r="F57" s="98">
        <f t="shared" ref="F57:F68" si="8">IF(C57=0,0,E57/C57)</f>
        <v>-2.4583181175381087E-2</v>
      </c>
    </row>
    <row r="58" spans="1:6" ht="18" customHeight="1" x14ac:dyDescent="0.25">
      <c r="A58" s="99">
        <v>2</v>
      </c>
      <c r="B58" s="100" t="s">
        <v>113</v>
      </c>
      <c r="C58" s="97">
        <v>38121358</v>
      </c>
      <c r="D58" s="97">
        <v>38412448</v>
      </c>
      <c r="E58" s="97">
        <f t="shared" si="7"/>
        <v>291090</v>
      </c>
      <c r="F58" s="98">
        <f t="shared" si="8"/>
        <v>7.6358769800383289E-3</v>
      </c>
    </row>
    <row r="59" spans="1:6" ht="18" customHeight="1" x14ac:dyDescent="0.25">
      <c r="A59" s="99">
        <v>3</v>
      </c>
      <c r="B59" s="100" t="s">
        <v>114</v>
      </c>
      <c r="C59" s="97">
        <v>13440069</v>
      </c>
      <c r="D59" s="97">
        <v>19112938</v>
      </c>
      <c r="E59" s="97">
        <f t="shared" si="7"/>
        <v>5672869</v>
      </c>
      <c r="F59" s="98">
        <f t="shared" si="8"/>
        <v>0.42208630030098804</v>
      </c>
    </row>
    <row r="60" spans="1:6" ht="18" customHeight="1" x14ac:dyDescent="0.25">
      <c r="A60" s="99">
        <v>4</v>
      </c>
      <c r="B60" s="100" t="s">
        <v>115</v>
      </c>
      <c r="C60" s="97">
        <v>8536496</v>
      </c>
      <c r="D60" s="97">
        <v>10190643</v>
      </c>
      <c r="E60" s="97">
        <f t="shared" si="7"/>
        <v>1654147</v>
      </c>
      <c r="F60" s="98">
        <f t="shared" si="8"/>
        <v>0.19377353424636995</v>
      </c>
    </row>
    <row r="61" spans="1:6" ht="18" customHeight="1" x14ac:dyDescent="0.25">
      <c r="A61" s="99">
        <v>5</v>
      </c>
      <c r="B61" s="100" t="s">
        <v>116</v>
      </c>
      <c r="C61" s="97">
        <v>176650</v>
      </c>
      <c r="D61" s="97">
        <v>400680</v>
      </c>
      <c r="E61" s="97">
        <f t="shared" si="7"/>
        <v>224030</v>
      </c>
      <c r="F61" s="98">
        <f t="shared" si="8"/>
        <v>1.2682139824511747</v>
      </c>
    </row>
    <row r="62" spans="1:6" ht="18" customHeight="1" x14ac:dyDescent="0.25">
      <c r="A62" s="99">
        <v>6</v>
      </c>
      <c r="B62" s="100" t="s">
        <v>117</v>
      </c>
      <c r="C62" s="97">
        <v>3616651</v>
      </c>
      <c r="D62" s="97">
        <v>3843648</v>
      </c>
      <c r="E62" s="97">
        <f t="shared" si="7"/>
        <v>226997</v>
      </c>
      <c r="F62" s="98">
        <f t="shared" si="8"/>
        <v>6.2764419348175976E-2</v>
      </c>
    </row>
    <row r="63" spans="1:6" ht="18" customHeight="1" x14ac:dyDescent="0.25">
      <c r="A63" s="99">
        <v>7</v>
      </c>
      <c r="B63" s="100" t="s">
        <v>118</v>
      </c>
      <c r="C63" s="97">
        <v>97159629</v>
      </c>
      <c r="D63" s="97">
        <v>93278807</v>
      </c>
      <c r="E63" s="97">
        <f t="shared" si="7"/>
        <v>-3880822</v>
      </c>
      <c r="F63" s="98">
        <f t="shared" si="8"/>
        <v>-3.9942742062137764E-2</v>
      </c>
    </row>
    <row r="64" spans="1:6" ht="18" customHeight="1" x14ac:dyDescent="0.25">
      <c r="A64" s="99">
        <v>8</v>
      </c>
      <c r="B64" s="100" t="s">
        <v>119</v>
      </c>
      <c r="C64" s="97">
        <v>0</v>
      </c>
      <c r="D64" s="97">
        <v>0</v>
      </c>
      <c r="E64" s="97">
        <f t="shared" si="7"/>
        <v>0</v>
      </c>
      <c r="F64" s="98">
        <f t="shared" si="8"/>
        <v>0</v>
      </c>
    </row>
    <row r="65" spans="1:6" ht="18" customHeight="1" x14ac:dyDescent="0.25">
      <c r="A65" s="99">
        <v>9</v>
      </c>
      <c r="B65" s="100" t="s">
        <v>120</v>
      </c>
      <c r="C65" s="97">
        <v>922861</v>
      </c>
      <c r="D65" s="97">
        <v>662259</v>
      </c>
      <c r="E65" s="97">
        <f t="shared" si="7"/>
        <v>-260602</v>
      </c>
      <c r="F65" s="98">
        <f t="shared" si="8"/>
        <v>-0.28238488786501975</v>
      </c>
    </row>
    <row r="66" spans="1:6" ht="18" customHeight="1" x14ac:dyDescent="0.25">
      <c r="A66" s="99">
        <v>10</v>
      </c>
      <c r="B66" s="100" t="s">
        <v>121</v>
      </c>
      <c r="C66" s="97">
        <v>1186247</v>
      </c>
      <c r="D66" s="97">
        <v>0</v>
      </c>
      <c r="E66" s="97">
        <f t="shared" si="7"/>
        <v>-1186247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305057463</v>
      </c>
      <c r="D68" s="103">
        <f>SUM(D57:D67)</f>
        <v>304310633</v>
      </c>
      <c r="E68" s="103">
        <f t="shared" si="7"/>
        <v>-746830</v>
      </c>
      <c r="F68" s="104">
        <f t="shared" si="8"/>
        <v>-2.4481617091269129E-3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34082087</v>
      </c>
      <c r="D70" s="97">
        <v>38433011</v>
      </c>
      <c r="E70" s="97">
        <f t="shared" ref="E70:E81" si="9">D70-C70</f>
        <v>4350924</v>
      </c>
      <c r="F70" s="98">
        <f t="shared" ref="F70:F81" si="10">IF(C70=0,0,E70/C70)</f>
        <v>0.12766014006125856</v>
      </c>
    </row>
    <row r="71" spans="1:6" ht="18" customHeight="1" x14ac:dyDescent="0.25">
      <c r="A71" s="99">
        <v>2</v>
      </c>
      <c r="B71" s="100" t="s">
        <v>113</v>
      </c>
      <c r="C71" s="97">
        <v>8379217</v>
      </c>
      <c r="D71" s="97">
        <v>9552289</v>
      </c>
      <c r="E71" s="97">
        <f t="shared" si="9"/>
        <v>1173072</v>
      </c>
      <c r="F71" s="98">
        <f t="shared" si="10"/>
        <v>0.13999780647762194</v>
      </c>
    </row>
    <row r="72" spans="1:6" ht="18" customHeight="1" x14ac:dyDescent="0.25">
      <c r="A72" s="99">
        <v>3</v>
      </c>
      <c r="B72" s="100" t="s">
        <v>114</v>
      </c>
      <c r="C72" s="97">
        <v>5168102</v>
      </c>
      <c r="D72" s="97">
        <v>13728538</v>
      </c>
      <c r="E72" s="97">
        <f t="shared" si="9"/>
        <v>8560436</v>
      </c>
      <c r="F72" s="98">
        <f t="shared" si="10"/>
        <v>1.6563984224769557</v>
      </c>
    </row>
    <row r="73" spans="1:6" ht="18" customHeight="1" x14ac:dyDescent="0.25">
      <c r="A73" s="99">
        <v>4</v>
      </c>
      <c r="B73" s="100" t="s">
        <v>115</v>
      </c>
      <c r="C73" s="97">
        <v>10556489</v>
      </c>
      <c r="D73" s="97">
        <v>13371251</v>
      </c>
      <c r="E73" s="97">
        <f t="shared" si="9"/>
        <v>2814762</v>
      </c>
      <c r="F73" s="98">
        <f t="shared" si="10"/>
        <v>0.2666380839311252</v>
      </c>
    </row>
    <row r="74" spans="1:6" ht="18" customHeight="1" x14ac:dyDescent="0.25">
      <c r="A74" s="99">
        <v>5</v>
      </c>
      <c r="B74" s="100" t="s">
        <v>116</v>
      </c>
      <c r="C74" s="97">
        <v>213179</v>
      </c>
      <c r="D74" s="97">
        <v>151798</v>
      </c>
      <c r="E74" s="97">
        <f t="shared" si="9"/>
        <v>-61381</v>
      </c>
      <c r="F74" s="98">
        <f t="shared" si="10"/>
        <v>-0.28793173811679384</v>
      </c>
    </row>
    <row r="75" spans="1:6" ht="18" customHeight="1" x14ac:dyDescent="0.25">
      <c r="A75" s="99">
        <v>6</v>
      </c>
      <c r="B75" s="100" t="s">
        <v>117</v>
      </c>
      <c r="C75" s="97">
        <v>4391145</v>
      </c>
      <c r="D75" s="97">
        <v>4733808</v>
      </c>
      <c r="E75" s="97">
        <f t="shared" si="9"/>
        <v>342663</v>
      </c>
      <c r="F75" s="98">
        <f t="shared" si="10"/>
        <v>7.803499998292017E-2</v>
      </c>
    </row>
    <row r="76" spans="1:6" ht="18" customHeight="1" x14ac:dyDescent="0.25">
      <c r="A76" s="99">
        <v>7</v>
      </c>
      <c r="B76" s="100" t="s">
        <v>118</v>
      </c>
      <c r="C76" s="97">
        <v>73005898</v>
      </c>
      <c r="D76" s="97">
        <v>68927542</v>
      </c>
      <c r="E76" s="97">
        <f t="shared" si="9"/>
        <v>-4078356</v>
      </c>
      <c r="F76" s="98">
        <f t="shared" si="10"/>
        <v>-5.5863376956201541E-2</v>
      </c>
    </row>
    <row r="77" spans="1:6" ht="18" customHeight="1" x14ac:dyDescent="0.25">
      <c r="A77" s="99">
        <v>8</v>
      </c>
      <c r="B77" s="100" t="s">
        <v>119</v>
      </c>
      <c r="C77" s="97">
        <v>0</v>
      </c>
      <c r="D77" s="97">
        <v>0</v>
      </c>
      <c r="E77" s="97">
        <f t="shared" si="9"/>
        <v>0</v>
      </c>
      <c r="F77" s="98">
        <f t="shared" si="10"/>
        <v>0</v>
      </c>
    </row>
    <row r="78" spans="1:6" ht="18" customHeight="1" x14ac:dyDescent="0.25">
      <c r="A78" s="99">
        <v>9</v>
      </c>
      <c r="B78" s="100" t="s">
        <v>120</v>
      </c>
      <c r="C78" s="97">
        <v>3971602</v>
      </c>
      <c r="D78" s="97">
        <v>4557887</v>
      </c>
      <c r="E78" s="97">
        <f t="shared" si="9"/>
        <v>586285</v>
      </c>
      <c r="F78" s="98">
        <f t="shared" si="10"/>
        <v>0.14761927302886846</v>
      </c>
    </row>
    <row r="79" spans="1:6" ht="18" customHeight="1" x14ac:dyDescent="0.25">
      <c r="A79" s="99">
        <v>10</v>
      </c>
      <c r="B79" s="100" t="s">
        <v>121</v>
      </c>
      <c r="C79" s="97">
        <v>2086830</v>
      </c>
      <c r="D79" s="97">
        <v>0</v>
      </c>
      <c r="E79" s="97">
        <f t="shared" si="9"/>
        <v>-2086830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141854549</v>
      </c>
      <c r="D81" s="103">
        <f>SUM(D70:D80)</f>
        <v>153456124</v>
      </c>
      <c r="E81" s="103">
        <f t="shared" si="9"/>
        <v>11601575</v>
      </c>
      <c r="F81" s="104">
        <f t="shared" si="10"/>
        <v>8.1785005005373501E-2</v>
      </c>
    </row>
    <row r="82" spans="1:6" ht="18" customHeight="1" x14ac:dyDescent="0.25">
      <c r="A82" s="660" t="s">
        <v>127</v>
      </c>
      <c r="B82" s="662" t="s">
        <v>134</v>
      </c>
      <c r="C82" s="664"/>
      <c r="D82" s="665"/>
      <c r="E82" s="665"/>
      <c r="F82" s="666"/>
    </row>
    <row r="83" spans="1:6" ht="18" customHeight="1" x14ac:dyDescent="0.25">
      <c r="A83" s="661"/>
      <c r="B83" s="663"/>
      <c r="C83" s="667"/>
      <c r="D83" s="668"/>
      <c r="E83" s="668"/>
      <c r="F83" s="669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175979589</v>
      </c>
      <c r="D84" s="103">
        <f t="shared" si="11"/>
        <v>176842221</v>
      </c>
      <c r="E84" s="103">
        <f t="shared" ref="E84:E95" si="12">D84-C84</f>
        <v>862632</v>
      </c>
      <c r="F84" s="104">
        <f t="shared" ref="F84:F95" si="13">IF(C84=0,0,E84/C84)</f>
        <v>4.9018866614127616E-3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46500575</v>
      </c>
      <c r="D85" s="103">
        <f t="shared" si="11"/>
        <v>47964737</v>
      </c>
      <c r="E85" s="103">
        <f t="shared" si="12"/>
        <v>1464162</v>
      </c>
      <c r="F85" s="104">
        <f t="shared" si="13"/>
        <v>3.1486965483760149E-2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18608171</v>
      </c>
      <c r="D86" s="103">
        <f t="shared" si="11"/>
        <v>32841476</v>
      </c>
      <c r="E86" s="103">
        <f t="shared" si="12"/>
        <v>14233305</v>
      </c>
      <c r="F86" s="104">
        <f t="shared" si="13"/>
        <v>0.76489543222705769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19092985</v>
      </c>
      <c r="D87" s="103">
        <f t="shared" si="11"/>
        <v>23561894</v>
      </c>
      <c r="E87" s="103">
        <f t="shared" si="12"/>
        <v>4468909</v>
      </c>
      <c r="F87" s="104">
        <f t="shared" si="13"/>
        <v>0.23406025825715571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389829</v>
      </c>
      <c r="D88" s="103">
        <f t="shared" si="11"/>
        <v>552478</v>
      </c>
      <c r="E88" s="103">
        <f t="shared" si="12"/>
        <v>162649</v>
      </c>
      <c r="F88" s="104">
        <f t="shared" si="13"/>
        <v>0.4172316579833722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8007796</v>
      </c>
      <c r="D89" s="103">
        <f t="shared" si="11"/>
        <v>8577456</v>
      </c>
      <c r="E89" s="103">
        <f t="shared" si="12"/>
        <v>569660</v>
      </c>
      <c r="F89" s="104">
        <f t="shared" si="13"/>
        <v>7.1138175847636473E-2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170165527</v>
      </c>
      <c r="D90" s="103">
        <f t="shared" si="11"/>
        <v>162206349</v>
      </c>
      <c r="E90" s="103">
        <f t="shared" si="12"/>
        <v>-7959178</v>
      </c>
      <c r="F90" s="104">
        <f t="shared" si="13"/>
        <v>-4.677315165015767E-2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0</v>
      </c>
      <c r="D91" s="103">
        <f t="shared" si="11"/>
        <v>0</v>
      </c>
      <c r="E91" s="103">
        <f t="shared" si="12"/>
        <v>0</v>
      </c>
      <c r="F91" s="104">
        <f t="shared" si="13"/>
        <v>0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4894463</v>
      </c>
      <c r="D92" s="103">
        <f t="shared" si="11"/>
        <v>5220146</v>
      </c>
      <c r="E92" s="103">
        <f t="shared" si="12"/>
        <v>325683</v>
      </c>
      <c r="F92" s="104">
        <f t="shared" si="13"/>
        <v>6.6541109821445177E-2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3273077</v>
      </c>
      <c r="D93" s="103">
        <f t="shared" si="11"/>
        <v>0</v>
      </c>
      <c r="E93" s="103">
        <f t="shared" si="12"/>
        <v>-3273077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446912012</v>
      </c>
      <c r="D95" s="112">
        <f>SUM(D84:D94)</f>
        <v>457766757</v>
      </c>
      <c r="E95" s="112">
        <f t="shared" si="12"/>
        <v>10854745</v>
      </c>
      <c r="F95" s="113">
        <f t="shared" si="13"/>
        <v>2.4288326803800477E-2</v>
      </c>
    </row>
    <row r="96" spans="1:6" ht="18" customHeight="1" x14ac:dyDescent="0.25">
      <c r="A96" s="660" t="s">
        <v>135</v>
      </c>
      <c r="B96" s="662" t="s">
        <v>136</v>
      </c>
      <c r="C96" s="664"/>
      <c r="D96" s="665"/>
      <c r="E96" s="665"/>
      <c r="F96" s="666"/>
    </row>
    <row r="97" spans="1:6" ht="18" customHeight="1" x14ac:dyDescent="0.25">
      <c r="A97" s="661"/>
      <c r="B97" s="663"/>
      <c r="C97" s="667"/>
      <c r="D97" s="668"/>
      <c r="E97" s="668"/>
      <c r="F97" s="669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10368</v>
      </c>
      <c r="D100" s="117">
        <v>9994</v>
      </c>
      <c r="E100" s="117">
        <f t="shared" ref="E100:E111" si="14">D100-C100</f>
        <v>-374</v>
      </c>
      <c r="F100" s="98">
        <f t="shared" ref="F100:F111" si="15">IF(C100=0,0,E100/C100)</f>
        <v>-3.6072530864197531E-2</v>
      </c>
    </row>
    <row r="101" spans="1:6" ht="18" customHeight="1" x14ac:dyDescent="0.25">
      <c r="A101" s="99">
        <v>2</v>
      </c>
      <c r="B101" s="100" t="s">
        <v>113</v>
      </c>
      <c r="C101" s="117">
        <v>2734</v>
      </c>
      <c r="D101" s="117">
        <v>2692</v>
      </c>
      <c r="E101" s="117">
        <f t="shared" si="14"/>
        <v>-42</v>
      </c>
      <c r="F101" s="98">
        <f t="shared" si="15"/>
        <v>-1.5362106803218726E-2</v>
      </c>
    </row>
    <row r="102" spans="1:6" ht="18" customHeight="1" x14ac:dyDescent="0.25">
      <c r="A102" s="99">
        <v>3</v>
      </c>
      <c r="B102" s="100" t="s">
        <v>114</v>
      </c>
      <c r="C102" s="117">
        <v>1727</v>
      </c>
      <c r="D102" s="117">
        <v>2270</v>
      </c>
      <c r="E102" s="117">
        <f t="shared" si="14"/>
        <v>543</v>
      </c>
      <c r="F102" s="98">
        <f t="shared" si="15"/>
        <v>0.31441806601042271</v>
      </c>
    </row>
    <row r="103" spans="1:6" ht="18" customHeight="1" x14ac:dyDescent="0.25">
      <c r="A103" s="99">
        <v>4</v>
      </c>
      <c r="B103" s="100" t="s">
        <v>115</v>
      </c>
      <c r="C103" s="117">
        <v>1571</v>
      </c>
      <c r="D103" s="117">
        <v>1646</v>
      </c>
      <c r="E103" s="117">
        <f t="shared" si="14"/>
        <v>75</v>
      </c>
      <c r="F103" s="98">
        <f t="shared" si="15"/>
        <v>4.7740292807129214E-2</v>
      </c>
    </row>
    <row r="104" spans="1:6" ht="18" customHeight="1" x14ac:dyDescent="0.25">
      <c r="A104" s="99">
        <v>5</v>
      </c>
      <c r="B104" s="100" t="s">
        <v>116</v>
      </c>
      <c r="C104" s="117">
        <v>34</v>
      </c>
      <c r="D104" s="117">
        <v>38</v>
      </c>
      <c r="E104" s="117">
        <f t="shared" si="14"/>
        <v>4</v>
      </c>
      <c r="F104" s="98">
        <f t="shared" si="15"/>
        <v>0.11764705882352941</v>
      </c>
    </row>
    <row r="105" spans="1:6" ht="18" customHeight="1" x14ac:dyDescent="0.25">
      <c r="A105" s="99">
        <v>6</v>
      </c>
      <c r="B105" s="100" t="s">
        <v>117</v>
      </c>
      <c r="C105" s="117">
        <v>330</v>
      </c>
      <c r="D105" s="117">
        <v>299</v>
      </c>
      <c r="E105" s="117">
        <f t="shared" si="14"/>
        <v>-31</v>
      </c>
      <c r="F105" s="98">
        <f t="shared" si="15"/>
        <v>-9.3939393939393934E-2</v>
      </c>
    </row>
    <row r="106" spans="1:6" ht="18" customHeight="1" x14ac:dyDescent="0.25">
      <c r="A106" s="99">
        <v>7</v>
      </c>
      <c r="B106" s="100" t="s">
        <v>118</v>
      </c>
      <c r="C106" s="117">
        <v>6476</v>
      </c>
      <c r="D106" s="117">
        <v>5749</v>
      </c>
      <c r="E106" s="117">
        <f t="shared" si="14"/>
        <v>-727</v>
      </c>
      <c r="F106" s="98">
        <f t="shared" si="15"/>
        <v>-0.11226065472513898</v>
      </c>
    </row>
    <row r="107" spans="1:6" ht="18" customHeight="1" x14ac:dyDescent="0.25">
      <c r="A107" s="99">
        <v>8</v>
      </c>
      <c r="B107" s="100" t="s">
        <v>119</v>
      </c>
      <c r="C107" s="117">
        <v>0</v>
      </c>
      <c r="D107" s="117">
        <v>0</v>
      </c>
      <c r="E107" s="117">
        <f t="shared" si="14"/>
        <v>0</v>
      </c>
      <c r="F107" s="98">
        <f t="shared" si="15"/>
        <v>0</v>
      </c>
    </row>
    <row r="108" spans="1:6" ht="18" customHeight="1" x14ac:dyDescent="0.25">
      <c r="A108" s="99">
        <v>9</v>
      </c>
      <c r="B108" s="100" t="s">
        <v>120</v>
      </c>
      <c r="C108" s="117">
        <v>271</v>
      </c>
      <c r="D108" s="117">
        <v>113</v>
      </c>
      <c r="E108" s="117">
        <f t="shared" si="14"/>
        <v>-158</v>
      </c>
      <c r="F108" s="98">
        <f t="shared" si="15"/>
        <v>-0.58302583025830257</v>
      </c>
    </row>
    <row r="109" spans="1:6" ht="18" customHeight="1" x14ac:dyDescent="0.25">
      <c r="A109" s="99">
        <v>10</v>
      </c>
      <c r="B109" s="100" t="s">
        <v>121</v>
      </c>
      <c r="C109" s="117">
        <v>413</v>
      </c>
      <c r="D109" s="117">
        <v>0</v>
      </c>
      <c r="E109" s="117">
        <f t="shared" si="14"/>
        <v>-413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23924</v>
      </c>
      <c r="D111" s="118">
        <f>SUM(D100:D110)</f>
        <v>22801</v>
      </c>
      <c r="E111" s="118">
        <f t="shared" si="14"/>
        <v>-1123</v>
      </c>
      <c r="F111" s="104">
        <f t="shared" si="15"/>
        <v>-4.6940310984785155E-2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63242</v>
      </c>
      <c r="D113" s="117">
        <v>59889</v>
      </c>
      <c r="E113" s="117">
        <f t="shared" ref="E113:E124" si="16">D113-C113</f>
        <v>-3353</v>
      </c>
      <c r="F113" s="98">
        <f t="shared" ref="F113:F124" si="17">IF(C113=0,0,E113/C113)</f>
        <v>-5.301856361278897E-2</v>
      </c>
    </row>
    <row r="114" spans="1:6" ht="18" customHeight="1" x14ac:dyDescent="0.25">
      <c r="A114" s="99">
        <v>2</v>
      </c>
      <c r="B114" s="100" t="s">
        <v>113</v>
      </c>
      <c r="C114" s="117">
        <v>14855</v>
      </c>
      <c r="D114" s="117">
        <v>15361</v>
      </c>
      <c r="E114" s="117">
        <f t="shared" si="16"/>
        <v>506</v>
      </c>
      <c r="F114" s="98">
        <f t="shared" si="17"/>
        <v>3.4062605183439919E-2</v>
      </c>
    </row>
    <row r="115" spans="1:6" ht="18" customHeight="1" x14ac:dyDescent="0.25">
      <c r="A115" s="99">
        <v>3</v>
      </c>
      <c r="B115" s="100" t="s">
        <v>114</v>
      </c>
      <c r="C115" s="117">
        <v>8553</v>
      </c>
      <c r="D115" s="117">
        <v>12559</v>
      </c>
      <c r="E115" s="117">
        <f t="shared" si="16"/>
        <v>4006</v>
      </c>
      <c r="F115" s="98">
        <f t="shared" si="17"/>
        <v>0.46837367005728986</v>
      </c>
    </row>
    <row r="116" spans="1:6" ht="18" customHeight="1" x14ac:dyDescent="0.25">
      <c r="A116" s="99">
        <v>4</v>
      </c>
      <c r="B116" s="100" t="s">
        <v>115</v>
      </c>
      <c r="C116" s="117">
        <v>7698</v>
      </c>
      <c r="D116" s="117">
        <v>8024</v>
      </c>
      <c r="E116" s="117">
        <f t="shared" si="16"/>
        <v>326</v>
      </c>
      <c r="F116" s="98">
        <f t="shared" si="17"/>
        <v>4.2348661990127309E-2</v>
      </c>
    </row>
    <row r="117" spans="1:6" ht="18" customHeight="1" x14ac:dyDescent="0.25">
      <c r="A117" s="99">
        <v>5</v>
      </c>
      <c r="B117" s="100" t="s">
        <v>116</v>
      </c>
      <c r="C117" s="117">
        <v>83</v>
      </c>
      <c r="D117" s="117">
        <v>228</v>
      </c>
      <c r="E117" s="117">
        <f t="shared" si="16"/>
        <v>145</v>
      </c>
      <c r="F117" s="98">
        <f t="shared" si="17"/>
        <v>1.7469879518072289</v>
      </c>
    </row>
    <row r="118" spans="1:6" ht="18" customHeight="1" x14ac:dyDescent="0.25">
      <c r="A118" s="99">
        <v>6</v>
      </c>
      <c r="B118" s="100" t="s">
        <v>117</v>
      </c>
      <c r="C118" s="117">
        <v>1134</v>
      </c>
      <c r="D118" s="117">
        <v>1390</v>
      </c>
      <c r="E118" s="117">
        <f t="shared" si="16"/>
        <v>256</v>
      </c>
      <c r="F118" s="98">
        <f t="shared" si="17"/>
        <v>0.2257495590828924</v>
      </c>
    </row>
    <row r="119" spans="1:6" ht="18" customHeight="1" x14ac:dyDescent="0.25">
      <c r="A119" s="99">
        <v>7</v>
      </c>
      <c r="B119" s="100" t="s">
        <v>118</v>
      </c>
      <c r="C119" s="117">
        <v>25959</v>
      </c>
      <c r="D119" s="117">
        <v>23752</v>
      </c>
      <c r="E119" s="117">
        <f t="shared" si="16"/>
        <v>-2207</v>
      </c>
      <c r="F119" s="98">
        <f t="shared" si="17"/>
        <v>-8.5018683308293846E-2</v>
      </c>
    </row>
    <row r="120" spans="1:6" ht="18" customHeight="1" x14ac:dyDescent="0.25">
      <c r="A120" s="99">
        <v>8</v>
      </c>
      <c r="B120" s="100" t="s">
        <v>119</v>
      </c>
      <c r="C120" s="117">
        <v>0</v>
      </c>
      <c r="D120" s="117">
        <v>0</v>
      </c>
      <c r="E120" s="117">
        <f t="shared" si="16"/>
        <v>0</v>
      </c>
      <c r="F120" s="98">
        <f t="shared" si="17"/>
        <v>0</v>
      </c>
    </row>
    <row r="121" spans="1:6" ht="18" customHeight="1" x14ac:dyDescent="0.25">
      <c r="A121" s="99">
        <v>9</v>
      </c>
      <c r="B121" s="100" t="s">
        <v>120</v>
      </c>
      <c r="C121" s="117">
        <v>945</v>
      </c>
      <c r="D121" s="117">
        <v>412</v>
      </c>
      <c r="E121" s="117">
        <f t="shared" si="16"/>
        <v>-533</v>
      </c>
      <c r="F121" s="98">
        <f t="shared" si="17"/>
        <v>-0.56402116402116398</v>
      </c>
    </row>
    <row r="122" spans="1:6" ht="18" customHeight="1" x14ac:dyDescent="0.25">
      <c r="A122" s="99">
        <v>10</v>
      </c>
      <c r="B122" s="100" t="s">
        <v>121</v>
      </c>
      <c r="C122" s="117">
        <v>1804</v>
      </c>
      <c r="D122" s="117">
        <v>0</v>
      </c>
      <c r="E122" s="117">
        <f t="shared" si="16"/>
        <v>-1804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124273</v>
      </c>
      <c r="D124" s="118">
        <f>SUM(D113:D123)</f>
        <v>121615</v>
      </c>
      <c r="E124" s="118">
        <f t="shared" si="16"/>
        <v>-2658</v>
      </c>
      <c r="F124" s="104">
        <f t="shared" si="17"/>
        <v>-2.1388394904766121E-2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23852</v>
      </c>
      <c r="D126" s="117">
        <v>23684</v>
      </c>
      <c r="E126" s="117">
        <f t="shared" ref="E126:E137" si="18">D126-C126</f>
        <v>-168</v>
      </c>
      <c r="F126" s="98">
        <f t="shared" ref="F126:F137" si="19">IF(C126=0,0,E126/C126)</f>
        <v>-7.0434345128291128E-3</v>
      </c>
    </row>
    <row r="127" spans="1:6" ht="18" customHeight="1" x14ac:dyDescent="0.25">
      <c r="A127" s="99">
        <v>2</v>
      </c>
      <c r="B127" s="100" t="s">
        <v>113</v>
      </c>
      <c r="C127" s="117">
        <v>5792</v>
      </c>
      <c r="D127" s="117">
        <v>5798</v>
      </c>
      <c r="E127" s="117">
        <f t="shared" si="18"/>
        <v>6</v>
      </c>
      <c r="F127" s="98">
        <f t="shared" si="19"/>
        <v>1.0359116022099447E-3</v>
      </c>
    </row>
    <row r="128" spans="1:6" ht="18" customHeight="1" x14ac:dyDescent="0.25">
      <c r="A128" s="99">
        <v>3</v>
      </c>
      <c r="B128" s="100" t="s">
        <v>114</v>
      </c>
      <c r="C128" s="117">
        <v>15872</v>
      </c>
      <c r="D128" s="117">
        <v>28673</v>
      </c>
      <c r="E128" s="117">
        <f t="shared" si="18"/>
        <v>12801</v>
      </c>
      <c r="F128" s="98">
        <f t="shared" si="19"/>
        <v>0.80651461693548387</v>
      </c>
    </row>
    <row r="129" spans="1:6" ht="18" customHeight="1" x14ac:dyDescent="0.25">
      <c r="A129" s="99">
        <v>4</v>
      </c>
      <c r="B129" s="100" t="s">
        <v>115</v>
      </c>
      <c r="C129" s="117">
        <v>26621</v>
      </c>
      <c r="D129" s="117">
        <v>30949</v>
      </c>
      <c r="E129" s="117">
        <f t="shared" si="18"/>
        <v>4328</v>
      </c>
      <c r="F129" s="98">
        <f t="shared" si="19"/>
        <v>0.16257841553660643</v>
      </c>
    </row>
    <row r="130" spans="1:6" ht="18" customHeight="1" x14ac:dyDescent="0.25">
      <c r="A130" s="99">
        <v>5</v>
      </c>
      <c r="B130" s="100" t="s">
        <v>116</v>
      </c>
      <c r="C130" s="117">
        <v>210</v>
      </c>
      <c r="D130" s="117">
        <v>240</v>
      </c>
      <c r="E130" s="117">
        <f t="shared" si="18"/>
        <v>30</v>
      </c>
      <c r="F130" s="98">
        <f t="shared" si="19"/>
        <v>0.14285714285714285</v>
      </c>
    </row>
    <row r="131" spans="1:6" ht="18" customHeight="1" x14ac:dyDescent="0.25">
      <c r="A131" s="99">
        <v>6</v>
      </c>
      <c r="B131" s="100" t="s">
        <v>117</v>
      </c>
      <c r="C131" s="117">
        <v>1907</v>
      </c>
      <c r="D131" s="117">
        <v>1931</v>
      </c>
      <c r="E131" s="117">
        <f t="shared" si="18"/>
        <v>24</v>
      </c>
      <c r="F131" s="98">
        <f t="shared" si="19"/>
        <v>1.2585212375458836E-2</v>
      </c>
    </row>
    <row r="132" spans="1:6" ht="18" customHeight="1" x14ac:dyDescent="0.25">
      <c r="A132" s="99">
        <v>7</v>
      </c>
      <c r="B132" s="100" t="s">
        <v>118</v>
      </c>
      <c r="C132" s="117">
        <v>27975</v>
      </c>
      <c r="D132" s="117">
        <v>26113</v>
      </c>
      <c r="E132" s="117">
        <f t="shared" si="18"/>
        <v>-1862</v>
      </c>
      <c r="F132" s="98">
        <f t="shared" si="19"/>
        <v>-6.6559428060768547E-2</v>
      </c>
    </row>
    <row r="133" spans="1:6" ht="18" customHeight="1" x14ac:dyDescent="0.25">
      <c r="A133" s="99">
        <v>8</v>
      </c>
      <c r="B133" s="100" t="s">
        <v>119</v>
      </c>
      <c r="C133" s="117">
        <v>0</v>
      </c>
      <c r="D133" s="117">
        <v>0</v>
      </c>
      <c r="E133" s="117">
        <f t="shared" si="18"/>
        <v>0</v>
      </c>
      <c r="F133" s="98">
        <f t="shared" si="19"/>
        <v>0</v>
      </c>
    </row>
    <row r="134" spans="1:6" ht="18" customHeight="1" x14ac:dyDescent="0.25">
      <c r="A134" s="99">
        <v>9</v>
      </c>
      <c r="B134" s="100" t="s">
        <v>120</v>
      </c>
      <c r="C134" s="117">
        <v>9349</v>
      </c>
      <c r="D134" s="117">
        <v>8009</v>
      </c>
      <c r="E134" s="117">
        <f t="shared" si="18"/>
        <v>-1340</v>
      </c>
      <c r="F134" s="98">
        <f t="shared" si="19"/>
        <v>-0.14333083752272971</v>
      </c>
    </row>
    <row r="135" spans="1:6" ht="18" customHeight="1" x14ac:dyDescent="0.25">
      <c r="A135" s="99">
        <v>10</v>
      </c>
      <c r="B135" s="100" t="s">
        <v>121</v>
      </c>
      <c r="C135" s="117">
        <v>8182</v>
      </c>
      <c r="D135" s="117">
        <v>0</v>
      </c>
      <c r="E135" s="117">
        <f t="shared" si="18"/>
        <v>-8182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119760</v>
      </c>
      <c r="D137" s="118">
        <f>SUM(D126:D136)</f>
        <v>125397</v>
      </c>
      <c r="E137" s="118">
        <f t="shared" si="18"/>
        <v>5637</v>
      </c>
      <c r="F137" s="104">
        <f t="shared" si="19"/>
        <v>4.7069138276553103E-2</v>
      </c>
    </row>
    <row r="138" spans="1:6" ht="18" customHeight="1" x14ac:dyDescent="0.25">
      <c r="A138" s="660" t="s">
        <v>144</v>
      </c>
      <c r="B138" s="662" t="s">
        <v>145</v>
      </c>
      <c r="C138" s="664"/>
      <c r="D138" s="665"/>
      <c r="E138" s="665"/>
      <c r="F138" s="666"/>
    </row>
    <row r="139" spans="1:6" ht="18" customHeight="1" x14ac:dyDescent="0.25">
      <c r="A139" s="661"/>
      <c r="B139" s="663"/>
      <c r="C139" s="667"/>
      <c r="D139" s="668"/>
      <c r="E139" s="668"/>
      <c r="F139" s="669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18854442</v>
      </c>
      <c r="D142" s="97">
        <v>27446844</v>
      </c>
      <c r="E142" s="97">
        <f t="shared" ref="E142:E153" si="20">D142-C142</f>
        <v>8592402</v>
      </c>
      <c r="F142" s="98">
        <f t="shared" ref="F142:F153" si="21">IF(C142=0,0,E142/C142)</f>
        <v>0.4557229537739701</v>
      </c>
    </row>
    <row r="143" spans="1:6" ht="18" customHeight="1" x14ac:dyDescent="0.25">
      <c r="A143" s="99">
        <v>2</v>
      </c>
      <c r="B143" s="100" t="s">
        <v>113</v>
      </c>
      <c r="C143" s="97">
        <v>5357170</v>
      </c>
      <c r="D143" s="97">
        <v>7893602</v>
      </c>
      <c r="E143" s="97">
        <f t="shared" si="20"/>
        <v>2536432</v>
      </c>
      <c r="F143" s="98">
        <f t="shared" si="21"/>
        <v>0.47346490777780059</v>
      </c>
    </row>
    <row r="144" spans="1:6" ht="18" customHeight="1" x14ac:dyDescent="0.25">
      <c r="A144" s="99">
        <v>3</v>
      </c>
      <c r="B144" s="100" t="s">
        <v>114</v>
      </c>
      <c r="C144" s="97">
        <v>15010449</v>
      </c>
      <c r="D144" s="97">
        <v>33549901</v>
      </c>
      <c r="E144" s="97">
        <f t="shared" si="20"/>
        <v>18539452</v>
      </c>
      <c r="F144" s="98">
        <f t="shared" si="21"/>
        <v>1.2351030938514898</v>
      </c>
    </row>
    <row r="145" spans="1:6" ht="18" customHeight="1" x14ac:dyDescent="0.25">
      <c r="A145" s="99">
        <v>4</v>
      </c>
      <c r="B145" s="100" t="s">
        <v>115</v>
      </c>
      <c r="C145" s="97">
        <v>16714018</v>
      </c>
      <c r="D145" s="97">
        <v>20375469</v>
      </c>
      <c r="E145" s="97">
        <f t="shared" si="20"/>
        <v>3661451</v>
      </c>
      <c r="F145" s="98">
        <f t="shared" si="21"/>
        <v>0.21906467971974183</v>
      </c>
    </row>
    <row r="146" spans="1:6" ht="18" customHeight="1" x14ac:dyDescent="0.25">
      <c r="A146" s="99">
        <v>5</v>
      </c>
      <c r="B146" s="100" t="s">
        <v>116</v>
      </c>
      <c r="C146" s="97">
        <v>181651</v>
      </c>
      <c r="D146" s="97">
        <v>227645</v>
      </c>
      <c r="E146" s="97">
        <f t="shared" si="20"/>
        <v>45994</v>
      </c>
      <c r="F146" s="98">
        <f t="shared" si="21"/>
        <v>0.25319981723194479</v>
      </c>
    </row>
    <row r="147" spans="1:6" ht="18" customHeight="1" x14ac:dyDescent="0.25">
      <c r="A147" s="99">
        <v>6</v>
      </c>
      <c r="B147" s="100" t="s">
        <v>117</v>
      </c>
      <c r="C147" s="97">
        <v>1855011</v>
      </c>
      <c r="D147" s="97">
        <v>2381105</v>
      </c>
      <c r="E147" s="97">
        <f t="shared" si="20"/>
        <v>526094</v>
      </c>
      <c r="F147" s="98">
        <f t="shared" si="21"/>
        <v>0.283606943570685</v>
      </c>
    </row>
    <row r="148" spans="1:6" ht="18" customHeight="1" x14ac:dyDescent="0.25">
      <c r="A148" s="99">
        <v>7</v>
      </c>
      <c r="B148" s="100" t="s">
        <v>118</v>
      </c>
      <c r="C148" s="97">
        <v>27279982</v>
      </c>
      <c r="D148" s="97">
        <v>31238735</v>
      </c>
      <c r="E148" s="97">
        <f t="shared" si="20"/>
        <v>3958753</v>
      </c>
      <c r="F148" s="98">
        <f t="shared" si="21"/>
        <v>0.14511567492969754</v>
      </c>
    </row>
    <row r="149" spans="1:6" ht="18" customHeight="1" x14ac:dyDescent="0.25">
      <c r="A149" s="99">
        <v>8</v>
      </c>
      <c r="B149" s="100" t="s">
        <v>119</v>
      </c>
      <c r="C149" s="97">
        <v>0</v>
      </c>
      <c r="D149" s="97">
        <v>0</v>
      </c>
      <c r="E149" s="97">
        <f t="shared" si="20"/>
        <v>0</v>
      </c>
      <c r="F149" s="98">
        <f t="shared" si="21"/>
        <v>0</v>
      </c>
    </row>
    <row r="150" spans="1:6" ht="18" customHeight="1" x14ac:dyDescent="0.25">
      <c r="A150" s="99">
        <v>9</v>
      </c>
      <c r="B150" s="100" t="s">
        <v>120</v>
      </c>
      <c r="C150" s="97">
        <v>9192356</v>
      </c>
      <c r="D150" s="97">
        <v>8590680</v>
      </c>
      <c r="E150" s="97">
        <f t="shared" si="20"/>
        <v>-601676</v>
      </c>
      <c r="F150" s="98">
        <f t="shared" si="21"/>
        <v>-6.5453948911465137E-2</v>
      </c>
    </row>
    <row r="151" spans="1:6" ht="18" customHeight="1" x14ac:dyDescent="0.25">
      <c r="A151" s="99">
        <v>10</v>
      </c>
      <c r="B151" s="100" t="s">
        <v>121</v>
      </c>
      <c r="C151" s="97">
        <v>8568679</v>
      </c>
      <c r="D151" s="97">
        <v>0</v>
      </c>
      <c r="E151" s="97">
        <f t="shared" si="20"/>
        <v>-8568679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103013758</v>
      </c>
      <c r="D153" s="103">
        <f>SUM(D142:D152)</f>
        <v>131703981</v>
      </c>
      <c r="E153" s="103">
        <f t="shared" si="20"/>
        <v>28690223</v>
      </c>
      <c r="F153" s="104">
        <f t="shared" si="21"/>
        <v>0.27850865318397566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3146806</v>
      </c>
      <c r="D155" s="97">
        <v>4838568</v>
      </c>
      <c r="E155" s="97">
        <f t="shared" ref="E155:E166" si="22">D155-C155</f>
        <v>1691762</v>
      </c>
      <c r="F155" s="98">
        <f t="shared" ref="F155:F166" si="23">IF(C155=0,0,E155/C155)</f>
        <v>0.53761242351768745</v>
      </c>
    </row>
    <row r="156" spans="1:6" ht="18" customHeight="1" x14ac:dyDescent="0.25">
      <c r="A156" s="99">
        <v>2</v>
      </c>
      <c r="B156" s="100" t="s">
        <v>113</v>
      </c>
      <c r="C156" s="97">
        <v>975541</v>
      </c>
      <c r="D156" s="97">
        <v>1439506</v>
      </c>
      <c r="E156" s="97">
        <f t="shared" si="22"/>
        <v>463965</v>
      </c>
      <c r="F156" s="98">
        <f t="shared" si="23"/>
        <v>0.4755976427438724</v>
      </c>
    </row>
    <row r="157" spans="1:6" ht="18" customHeight="1" x14ac:dyDescent="0.25">
      <c r="A157" s="99">
        <v>3</v>
      </c>
      <c r="B157" s="100" t="s">
        <v>114</v>
      </c>
      <c r="C157" s="97">
        <v>2322116</v>
      </c>
      <c r="D157" s="97">
        <v>5233785</v>
      </c>
      <c r="E157" s="97">
        <f t="shared" si="22"/>
        <v>2911669</v>
      </c>
      <c r="F157" s="98">
        <f t="shared" si="23"/>
        <v>1.2538861107713826</v>
      </c>
    </row>
    <row r="158" spans="1:6" ht="18" customHeight="1" x14ac:dyDescent="0.25">
      <c r="A158" s="99">
        <v>4</v>
      </c>
      <c r="B158" s="100" t="s">
        <v>115</v>
      </c>
      <c r="C158" s="97">
        <v>4586326</v>
      </c>
      <c r="D158" s="97">
        <v>5819234</v>
      </c>
      <c r="E158" s="97">
        <f t="shared" si="22"/>
        <v>1232908</v>
      </c>
      <c r="F158" s="98">
        <f t="shared" si="23"/>
        <v>0.26882258260751635</v>
      </c>
    </row>
    <row r="159" spans="1:6" ht="18" customHeight="1" x14ac:dyDescent="0.25">
      <c r="A159" s="99">
        <v>5</v>
      </c>
      <c r="B159" s="100" t="s">
        <v>116</v>
      </c>
      <c r="C159" s="97">
        <v>30953</v>
      </c>
      <c r="D159" s="97">
        <v>28000</v>
      </c>
      <c r="E159" s="97">
        <f t="shared" si="22"/>
        <v>-2953</v>
      </c>
      <c r="F159" s="98">
        <f t="shared" si="23"/>
        <v>-9.5402707330468781E-2</v>
      </c>
    </row>
    <row r="160" spans="1:6" ht="18" customHeight="1" x14ac:dyDescent="0.25">
      <c r="A160" s="99">
        <v>6</v>
      </c>
      <c r="B160" s="100" t="s">
        <v>117</v>
      </c>
      <c r="C160" s="97">
        <v>655376</v>
      </c>
      <c r="D160" s="97">
        <v>756953</v>
      </c>
      <c r="E160" s="97">
        <f t="shared" si="22"/>
        <v>101577</v>
      </c>
      <c r="F160" s="98">
        <f t="shared" si="23"/>
        <v>0.15499041771441127</v>
      </c>
    </row>
    <row r="161" spans="1:6" ht="18" customHeight="1" x14ac:dyDescent="0.25">
      <c r="A161" s="99">
        <v>7</v>
      </c>
      <c r="B161" s="100" t="s">
        <v>118</v>
      </c>
      <c r="C161" s="97">
        <v>10742857</v>
      </c>
      <c r="D161" s="97">
        <v>11906429</v>
      </c>
      <c r="E161" s="97">
        <f t="shared" si="22"/>
        <v>1163572</v>
      </c>
      <c r="F161" s="98">
        <f t="shared" si="23"/>
        <v>0.10831122484456417</v>
      </c>
    </row>
    <row r="162" spans="1:6" ht="18" customHeight="1" x14ac:dyDescent="0.25">
      <c r="A162" s="99">
        <v>8</v>
      </c>
      <c r="B162" s="100" t="s">
        <v>119</v>
      </c>
      <c r="C162" s="97">
        <v>0</v>
      </c>
      <c r="D162" s="97">
        <v>0</v>
      </c>
      <c r="E162" s="97">
        <f t="shared" si="22"/>
        <v>0</v>
      </c>
      <c r="F162" s="98">
        <f t="shared" si="23"/>
        <v>0</v>
      </c>
    </row>
    <row r="163" spans="1:6" ht="18" customHeight="1" x14ac:dyDescent="0.25">
      <c r="A163" s="99">
        <v>9</v>
      </c>
      <c r="B163" s="100" t="s">
        <v>120</v>
      </c>
      <c r="C163" s="97">
        <v>74458</v>
      </c>
      <c r="D163" s="97">
        <v>67866</v>
      </c>
      <c r="E163" s="97">
        <f t="shared" si="22"/>
        <v>-6592</v>
      </c>
      <c r="F163" s="98">
        <f t="shared" si="23"/>
        <v>-8.8533132772838377E-2</v>
      </c>
    </row>
    <row r="164" spans="1:6" ht="18" customHeight="1" x14ac:dyDescent="0.25">
      <c r="A164" s="99">
        <v>10</v>
      </c>
      <c r="B164" s="100" t="s">
        <v>121</v>
      </c>
      <c r="C164" s="97">
        <v>868007</v>
      </c>
      <c r="D164" s="97">
        <v>0</v>
      </c>
      <c r="E164" s="97">
        <f t="shared" si="22"/>
        <v>-868007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23402440</v>
      </c>
      <c r="D166" s="103">
        <f>SUM(D155:D165)</f>
        <v>30090341</v>
      </c>
      <c r="E166" s="103">
        <f t="shared" si="22"/>
        <v>6687901</v>
      </c>
      <c r="F166" s="104">
        <f t="shared" si="23"/>
        <v>0.28577793597590678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6633</v>
      </c>
      <c r="D168" s="117">
        <v>7077</v>
      </c>
      <c r="E168" s="117">
        <f t="shared" ref="E168:E179" si="24">D168-C168</f>
        <v>444</v>
      </c>
      <c r="F168" s="98">
        <f t="shared" ref="F168:F179" si="25">IF(C168=0,0,E168/C168)</f>
        <v>6.6938037087290819E-2</v>
      </c>
    </row>
    <row r="169" spans="1:6" ht="18" customHeight="1" x14ac:dyDescent="0.25">
      <c r="A169" s="99">
        <v>2</v>
      </c>
      <c r="B169" s="100" t="s">
        <v>113</v>
      </c>
      <c r="C169" s="117">
        <v>1471</v>
      </c>
      <c r="D169" s="117">
        <v>1762</v>
      </c>
      <c r="E169" s="117">
        <f t="shared" si="24"/>
        <v>291</v>
      </c>
      <c r="F169" s="98">
        <f t="shared" si="25"/>
        <v>0.19782460910944935</v>
      </c>
    </row>
    <row r="170" spans="1:6" ht="18" customHeight="1" x14ac:dyDescent="0.25">
      <c r="A170" s="99">
        <v>3</v>
      </c>
      <c r="B170" s="100" t="s">
        <v>114</v>
      </c>
      <c r="C170" s="117">
        <v>5826</v>
      </c>
      <c r="D170" s="117">
        <v>11980</v>
      </c>
      <c r="E170" s="117">
        <f t="shared" si="24"/>
        <v>6154</v>
      </c>
      <c r="F170" s="98">
        <f t="shared" si="25"/>
        <v>1.0562993477514591</v>
      </c>
    </row>
    <row r="171" spans="1:6" ht="18" customHeight="1" x14ac:dyDescent="0.25">
      <c r="A171" s="99">
        <v>4</v>
      </c>
      <c r="B171" s="100" t="s">
        <v>115</v>
      </c>
      <c r="C171" s="117">
        <v>8150</v>
      </c>
      <c r="D171" s="117">
        <v>8825</v>
      </c>
      <c r="E171" s="117">
        <f t="shared" si="24"/>
        <v>675</v>
      </c>
      <c r="F171" s="98">
        <f t="shared" si="25"/>
        <v>8.2822085889570546E-2</v>
      </c>
    </row>
    <row r="172" spans="1:6" ht="18" customHeight="1" x14ac:dyDescent="0.25">
      <c r="A172" s="99">
        <v>5</v>
      </c>
      <c r="B172" s="100" t="s">
        <v>116</v>
      </c>
      <c r="C172" s="117">
        <v>83</v>
      </c>
      <c r="D172" s="117">
        <v>91</v>
      </c>
      <c r="E172" s="117">
        <f t="shared" si="24"/>
        <v>8</v>
      </c>
      <c r="F172" s="98">
        <f t="shared" si="25"/>
        <v>9.6385542168674704E-2</v>
      </c>
    </row>
    <row r="173" spans="1:6" ht="18" customHeight="1" x14ac:dyDescent="0.25">
      <c r="A173" s="99">
        <v>6</v>
      </c>
      <c r="B173" s="100" t="s">
        <v>117</v>
      </c>
      <c r="C173" s="117">
        <v>675</v>
      </c>
      <c r="D173" s="117">
        <v>747</v>
      </c>
      <c r="E173" s="117">
        <f t="shared" si="24"/>
        <v>72</v>
      </c>
      <c r="F173" s="98">
        <f t="shared" si="25"/>
        <v>0.10666666666666667</v>
      </c>
    </row>
    <row r="174" spans="1:6" ht="18" customHeight="1" x14ac:dyDescent="0.25">
      <c r="A174" s="99">
        <v>7</v>
      </c>
      <c r="B174" s="100" t="s">
        <v>118</v>
      </c>
      <c r="C174" s="117">
        <v>10195</v>
      </c>
      <c r="D174" s="117">
        <v>10325</v>
      </c>
      <c r="E174" s="117">
        <f t="shared" si="24"/>
        <v>130</v>
      </c>
      <c r="F174" s="98">
        <f t="shared" si="25"/>
        <v>1.2751348700343305E-2</v>
      </c>
    </row>
    <row r="175" spans="1:6" ht="18" customHeight="1" x14ac:dyDescent="0.25">
      <c r="A175" s="99">
        <v>8</v>
      </c>
      <c r="B175" s="100" t="s">
        <v>119</v>
      </c>
      <c r="C175" s="117">
        <v>0</v>
      </c>
      <c r="D175" s="117">
        <v>0</v>
      </c>
      <c r="E175" s="117">
        <f t="shared" si="24"/>
        <v>0</v>
      </c>
      <c r="F175" s="98">
        <f t="shared" si="25"/>
        <v>0</v>
      </c>
    </row>
    <row r="176" spans="1:6" ht="18" customHeight="1" x14ac:dyDescent="0.25">
      <c r="A176" s="99">
        <v>9</v>
      </c>
      <c r="B176" s="100" t="s">
        <v>120</v>
      </c>
      <c r="C176" s="117">
        <v>4246</v>
      </c>
      <c r="D176" s="117">
        <v>3516</v>
      </c>
      <c r="E176" s="117">
        <f t="shared" si="24"/>
        <v>-730</v>
      </c>
      <c r="F176" s="98">
        <f t="shared" si="25"/>
        <v>-0.17192651907677814</v>
      </c>
    </row>
    <row r="177" spans="1:6" ht="18" customHeight="1" x14ac:dyDescent="0.25">
      <c r="A177" s="99">
        <v>10</v>
      </c>
      <c r="B177" s="100" t="s">
        <v>121</v>
      </c>
      <c r="C177" s="117">
        <v>3822</v>
      </c>
      <c r="D177" s="117">
        <v>0</v>
      </c>
      <c r="E177" s="117">
        <f t="shared" si="24"/>
        <v>-3822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41101</v>
      </c>
      <c r="D179" s="118">
        <f>SUM(D168:D178)</f>
        <v>44323</v>
      </c>
      <c r="E179" s="118">
        <f t="shared" si="24"/>
        <v>3222</v>
      </c>
      <c r="F179" s="104">
        <f t="shared" si="25"/>
        <v>7.8392253229848427E-2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horizontalCentered="1"/>
  <pageMargins left="0.25" right="0.25" top="0.5" bottom="0.5" header="0.25" footer="0.25"/>
  <pageSetup paperSize="9" scale="65" fitToHeight="2" orientation="portrait" horizontalDpi="1200" verticalDpi="1200" r:id="rId1"/>
  <headerFooter>
    <oddHeader>&amp;LOFFICE OF HEALTH CARE ACCESS&amp;CTWELVE MONTHS ACTUAL FILING&amp;RHOSPITAL OF SAINT RAPHAEL</oddHeader>
    <oddFooter>&amp;LREPORT 165&amp;C&amp;P of &amp;N&amp;R&amp;D,&amp;T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8.140625" style="119" customWidth="1"/>
    <col min="5" max="5" width="19" style="119" bestFit="1" customWidth="1"/>
    <col min="6" max="6" width="17.425781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79362108</v>
      </c>
      <c r="D15" s="146">
        <v>80449741</v>
      </c>
      <c r="E15" s="146">
        <f>+D15-C15</f>
        <v>1087633</v>
      </c>
      <c r="F15" s="150">
        <f>IF(C15=0,0,E15/C15)</f>
        <v>1.3704688892588388E-2</v>
      </c>
    </row>
    <row r="16" spans="1:7" ht="15" customHeight="1" x14ac:dyDescent="0.2">
      <c r="A16" s="141">
        <v>2</v>
      </c>
      <c r="B16" s="149" t="s">
        <v>158</v>
      </c>
      <c r="C16" s="146">
        <v>42366674</v>
      </c>
      <c r="D16" s="146">
        <v>43539278</v>
      </c>
      <c r="E16" s="146">
        <f>+D16-C16</f>
        <v>1172604</v>
      </c>
      <c r="F16" s="150">
        <f>IF(C16=0,0,E16/C16)</f>
        <v>2.767750897792921E-2</v>
      </c>
    </row>
    <row r="17" spans="1:7" ht="15" customHeight="1" x14ac:dyDescent="0.2">
      <c r="A17" s="141">
        <v>3</v>
      </c>
      <c r="B17" s="149" t="s">
        <v>159</v>
      </c>
      <c r="C17" s="146">
        <v>104026175</v>
      </c>
      <c r="D17" s="146">
        <v>108672668</v>
      </c>
      <c r="E17" s="146">
        <f>+D17-C17</f>
        <v>4646493</v>
      </c>
      <c r="F17" s="150">
        <f>IF(C17=0,0,E17/C17)</f>
        <v>4.466657550371337E-2</v>
      </c>
    </row>
    <row r="18" spans="1:7" ht="15.75" customHeight="1" x14ac:dyDescent="0.25">
      <c r="A18" s="141"/>
      <c r="B18" s="151" t="s">
        <v>160</v>
      </c>
      <c r="C18" s="147">
        <f>SUM(C15:C17)</f>
        <v>225754957</v>
      </c>
      <c r="D18" s="147">
        <f>SUM(D15:D17)</f>
        <v>232661687</v>
      </c>
      <c r="E18" s="147">
        <f>+D18-C18</f>
        <v>6906730</v>
      </c>
      <c r="F18" s="148">
        <f>IF(C18=0,0,E18/C18)</f>
        <v>3.059392401292876E-2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19868052</v>
      </c>
      <c r="D21" s="146">
        <v>19560604</v>
      </c>
      <c r="E21" s="146">
        <f>+D21-C21</f>
        <v>-307448</v>
      </c>
      <c r="F21" s="150">
        <f>IF(C21=0,0,E21/C21)</f>
        <v>-1.5474491409625866E-2</v>
      </c>
    </row>
    <row r="22" spans="1:7" ht="15" customHeight="1" x14ac:dyDescent="0.2">
      <c r="A22" s="141">
        <v>2</v>
      </c>
      <c r="B22" s="149" t="s">
        <v>163</v>
      </c>
      <c r="C22" s="146">
        <v>10606363</v>
      </c>
      <c r="D22" s="146">
        <v>10586169</v>
      </c>
      <c r="E22" s="146">
        <f>+D22-C22</f>
        <v>-20194</v>
      </c>
      <c r="F22" s="150">
        <f>IF(C22=0,0,E22/C22)</f>
        <v>-1.903951429910517E-3</v>
      </c>
    </row>
    <row r="23" spans="1:7" ht="15" customHeight="1" x14ac:dyDescent="0.2">
      <c r="A23" s="141">
        <v>3</v>
      </c>
      <c r="B23" s="149" t="s">
        <v>164</v>
      </c>
      <c r="C23" s="146">
        <v>26042623</v>
      </c>
      <c r="D23" s="146">
        <v>26422747</v>
      </c>
      <c r="E23" s="146">
        <f>+D23-C23</f>
        <v>380124</v>
      </c>
      <c r="F23" s="150">
        <f>IF(C23=0,0,E23/C23)</f>
        <v>1.4596225579888785E-2</v>
      </c>
    </row>
    <row r="24" spans="1:7" ht="15.75" customHeight="1" x14ac:dyDescent="0.25">
      <c r="A24" s="141"/>
      <c r="B24" s="151" t="s">
        <v>165</v>
      </c>
      <c r="C24" s="147">
        <f>SUM(C21:C23)</f>
        <v>56517038</v>
      </c>
      <c r="D24" s="147">
        <f>SUM(D21:D23)</f>
        <v>56569520</v>
      </c>
      <c r="E24" s="147">
        <f>+D24-C24</f>
        <v>52482</v>
      </c>
      <c r="F24" s="148">
        <f>IF(C24=0,0,E24/C24)</f>
        <v>9.2860492795110742E-4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880358</v>
      </c>
      <c r="D27" s="146">
        <v>576876</v>
      </c>
      <c r="E27" s="146">
        <f>+D27-C27</f>
        <v>-303482</v>
      </c>
      <c r="F27" s="150">
        <f>IF(C27=0,0,E27/C27)</f>
        <v>-0.3447256684212559</v>
      </c>
    </row>
    <row r="28" spans="1:7" ht="15" customHeight="1" x14ac:dyDescent="0.2">
      <c r="A28" s="141">
        <v>2</v>
      </c>
      <c r="B28" s="149" t="s">
        <v>168</v>
      </c>
      <c r="C28" s="146">
        <v>6082959</v>
      </c>
      <c r="D28" s="146">
        <v>6150524</v>
      </c>
      <c r="E28" s="146">
        <f>+D28-C28</f>
        <v>67565</v>
      </c>
      <c r="F28" s="150">
        <f>IF(C28=0,0,E28/C28)</f>
        <v>1.1107258819268714E-2</v>
      </c>
    </row>
    <row r="29" spans="1:7" ht="15" customHeight="1" x14ac:dyDescent="0.2">
      <c r="A29" s="141">
        <v>3</v>
      </c>
      <c r="B29" s="149" t="s">
        <v>169</v>
      </c>
      <c r="C29" s="146">
        <v>10555532</v>
      </c>
      <c r="D29" s="146">
        <v>10415169</v>
      </c>
      <c r="E29" s="146">
        <f>+D29-C29</f>
        <v>-140363</v>
      </c>
      <c r="F29" s="150">
        <f>IF(C29=0,0,E29/C29)</f>
        <v>-1.3297577043014033E-2</v>
      </c>
    </row>
    <row r="30" spans="1:7" ht="15.75" customHeight="1" x14ac:dyDescent="0.25">
      <c r="A30" s="141"/>
      <c r="B30" s="151" t="s">
        <v>170</v>
      </c>
      <c r="C30" s="147">
        <f>SUM(C27:C29)</f>
        <v>17518849</v>
      </c>
      <c r="D30" s="147">
        <f>SUM(D27:D29)</f>
        <v>17142569</v>
      </c>
      <c r="E30" s="147">
        <f>+D30-C30</f>
        <v>-376280</v>
      </c>
      <c r="F30" s="148">
        <f>IF(C30=0,0,E30/C30)</f>
        <v>-2.1478580014018044E-2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50045985</v>
      </c>
      <c r="D33" s="146">
        <v>47535395</v>
      </c>
      <c r="E33" s="146">
        <f>+D33-C33</f>
        <v>-2510590</v>
      </c>
      <c r="F33" s="150">
        <f>IF(C33=0,0,E33/C33)</f>
        <v>-5.0165662640069927E-2</v>
      </c>
    </row>
    <row r="34" spans="1:7" ht="15" customHeight="1" x14ac:dyDescent="0.2">
      <c r="A34" s="141">
        <v>2</v>
      </c>
      <c r="B34" s="149" t="s">
        <v>174</v>
      </c>
      <c r="C34" s="146">
        <v>16589850</v>
      </c>
      <c r="D34" s="146">
        <v>16720116</v>
      </c>
      <c r="E34" s="146">
        <f>+D34-C34</f>
        <v>130266</v>
      </c>
      <c r="F34" s="150">
        <f>IF(C34=0,0,E34/C34)</f>
        <v>7.8521505619399811E-3</v>
      </c>
    </row>
    <row r="35" spans="1:7" ht="15.75" customHeight="1" x14ac:dyDescent="0.25">
      <c r="A35" s="141"/>
      <c r="B35" s="151" t="s">
        <v>175</v>
      </c>
      <c r="C35" s="147">
        <f>SUM(C33:C34)</f>
        <v>66635835</v>
      </c>
      <c r="D35" s="147">
        <f>SUM(D33:D34)</f>
        <v>64255511</v>
      </c>
      <c r="E35" s="147">
        <f>+D35-C35</f>
        <v>-2380324</v>
      </c>
      <c r="F35" s="148">
        <f>IF(C35=0,0,E35/C35)</f>
        <v>-3.5721380245328956E-2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7127189</v>
      </c>
      <c r="D38" s="146">
        <v>6553350</v>
      </c>
      <c r="E38" s="146">
        <f>+D38-C38</f>
        <v>-573839</v>
      </c>
      <c r="F38" s="150">
        <f>IF(C38=0,0,E38/C38)</f>
        <v>-8.0514070834939278E-2</v>
      </c>
    </row>
    <row r="39" spans="1:7" ht="15" customHeight="1" x14ac:dyDescent="0.2">
      <c r="A39" s="141">
        <v>2</v>
      </c>
      <c r="B39" s="149" t="s">
        <v>179</v>
      </c>
      <c r="C39" s="146">
        <v>7479401</v>
      </c>
      <c r="D39" s="146">
        <v>6924976</v>
      </c>
      <c r="E39" s="146">
        <f>+D39-C39</f>
        <v>-554425</v>
      </c>
      <c r="F39" s="150">
        <f>IF(C39=0,0,E39/C39)</f>
        <v>-7.4126925404855284E-2</v>
      </c>
    </row>
    <row r="40" spans="1:7" ht="15" customHeight="1" x14ac:dyDescent="0.2">
      <c r="A40" s="141">
        <v>3</v>
      </c>
      <c r="B40" s="149" t="s">
        <v>180</v>
      </c>
      <c r="C40" s="146">
        <v>0</v>
      </c>
      <c r="D40" s="146">
        <v>0</v>
      </c>
      <c r="E40" s="146">
        <f>+D40-C40</f>
        <v>0</v>
      </c>
      <c r="F40" s="150">
        <f>IF(C40=0,0,E40/C40)</f>
        <v>0</v>
      </c>
    </row>
    <row r="41" spans="1:7" ht="15.75" customHeight="1" x14ac:dyDescent="0.25">
      <c r="A41" s="141"/>
      <c r="B41" s="151" t="s">
        <v>181</v>
      </c>
      <c r="C41" s="147">
        <f>SUM(C38:C40)</f>
        <v>14606590</v>
      </c>
      <c r="D41" s="147">
        <f>SUM(D38:D40)</f>
        <v>13478326</v>
      </c>
      <c r="E41" s="147">
        <f>+D41-C41</f>
        <v>-1128264</v>
      </c>
      <c r="F41" s="148">
        <f>IF(C41=0,0,E41/C41)</f>
        <v>-7.7243490780531249E-2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24670997</v>
      </c>
      <c r="D44" s="146">
        <v>22840000</v>
      </c>
      <c r="E44" s="146">
        <f>+D44-C44</f>
        <v>-1830997</v>
      </c>
      <c r="F44" s="150">
        <f>IF(C44=0,0,E44/C44)</f>
        <v>-7.42165790867714E-2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2904989</v>
      </c>
      <c r="D47" s="146">
        <v>2512441</v>
      </c>
      <c r="E47" s="146">
        <f>+D47-C47</f>
        <v>-392548</v>
      </c>
      <c r="F47" s="150">
        <f>IF(C47=0,0,E47/C47)</f>
        <v>-0.13512891098727051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5290004</v>
      </c>
      <c r="D50" s="146">
        <v>3114995</v>
      </c>
      <c r="E50" s="146">
        <f>+D50-C50</f>
        <v>-2175009</v>
      </c>
      <c r="F50" s="150">
        <f>IF(C50=0,0,E50/C50)</f>
        <v>-0.41115450952400034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190260</v>
      </c>
      <c r="D53" s="146">
        <v>226952</v>
      </c>
      <c r="E53" s="146">
        <f t="shared" ref="E53:E59" si="0">+D53-C53</f>
        <v>36692</v>
      </c>
      <c r="F53" s="150">
        <f t="shared" ref="F53:F59" si="1">IF(C53=0,0,E53/C53)</f>
        <v>0.192851886891622</v>
      </c>
    </row>
    <row r="54" spans="1:7" ht="15" customHeight="1" x14ac:dyDescent="0.2">
      <c r="A54" s="141">
        <v>2</v>
      </c>
      <c r="B54" s="149" t="s">
        <v>193</v>
      </c>
      <c r="C54" s="146">
        <v>848719</v>
      </c>
      <c r="D54" s="146">
        <v>1051320</v>
      </c>
      <c r="E54" s="146">
        <f t="shared" si="0"/>
        <v>202601</v>
      </c>
      <c r="F54" s="150">
        <f t="shared" si="1"/>
        <v>0.23871387349641046</v>
      </c>
    </row>
    <row r="55" spans="1:7" ht="15" customHeight="1" x14ac:dyDescent="0.2">
      <c r="A55" s="141">
        <v>3</v>
      </c>
      <c r="B55" s="149" t="s">
        <v>194</v>
      </c>
      <c r="C55" s="146">
        <v>344441</v>
      </c>
      <c r="D55" s="146">
        <v>92078</v>
      </c>
      <c r="E55" s="146">
        <f t="shared" si="0"/>
        <v>-252363</v>
      </c>
      <c r="F55" s="150">
        <f t="shared" si="1"/>
        <v>-0.73267410093455776</v>
      </c>
    </row>
    <row r="56" spans="1:7" ht="15" customHeight="1" x14ac:dyDescent="0.2">
      <c r="A56" s="141">
        <v>4</v>
      </c>
      <c r="B56" s="149" t="s">
        <v>195</v>
      </c>
      <c r="C56" s="146">
        <v>4817870</v>
      </c>
      <c r="D56" s="146">
        <v>4472935</v>
      </c>
      <c r="E56" s="146">
        <f t="shared" si="0"/>
        <v>-344935</v>
      </c>
      <c r="F56" s="150">
        <f t="shared" si="1"/>
        <v>-7.1594916425723396E-2</v>
      </c>
    </row>
    <row r="57" spans="1:7" ht="15" customHeight="1" x14ac:dyDescent="0.2">
      <c r="A57" s="141">
        <v>5</v>
      </c>
      <c r="B57" s="149" t="s">
        <v>196</v>
      </c>
      <c r="C57" s="146">
        <v>648959</v>
      </c>
      <c r="D57" s="146">
        <v>602784</v>
      </c>
      <c r="E57" s="146">
        <f t="shared" si="0"/>
        <v>-46175</v>
      </c>
      <c r="F57" s="150">
        <f t="shared" si="1"/>
        <v>-7.1152414867503191E-2</v>
      </c>
    </row>
    <row r="58" spans="1:7" ht="15" customHeight="1" x14ac:dyDescent="0.2">
      <c r="A58" s="141">
        <v>6</v>
      </c>
      <c r="B58" s="149" t="s">
        <v>197</v>
      </c>
      <c r="C58" s="146">
        <v>178802</v>
      </c>
      <c r="D58" s="146">
        <v>192768</v>
      </c>
      <c r="E58" s="146">
        <f t="shared" si="0"/>
        <v>13966</v>
      </c>
      <c r="F58" s="150">
        <f t="shared" si="1"/>
        <v>7.8108745987181358E-2</v>
      </c>
    </row>
    <row r="59" spans="1:7" ht="15.75" customHeight="1" x14ac:dyDescent="0.25">
      <c r="A59" s="141"/>
      <c r="B59" s="151" t="s">
        <v>198</v>
      </c>
      <c r="C59" s="147">
        <f>SUM(C53:C58)</f>
        <v>7029051</v>
      </c>
      <c r="D59" s="147">
        <f>SUM(D53:D58)</f>
        <v>6638837</v>
      </c>
      <c r="E59" s="147">
        <f t="shared" si="0"/>
        <v>-390214</v>
      </c>
      <c r="F59" s="148">
        <f t="shared" si="1"/>
        <v>-5.5514464185848135E-2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383822</v>
      </c>
      <c r="D62" s="146">
        <v>386086</v>
      </c>
      <c r="E62" s="146">
        <f t="shared" ref="E62:E78" si="2">+D62-C62</f>
        <v>2264</v>
      </c>
      <c r="F62" s="150">
        <f t="shared" ref="F62:F78" si="3">IF(C62=0,0,E62/C62)</f>
        <v>5.8985675651734397E-3</v>
      </c>
    </row>
    <row r="63" spans="1:7" ht="15" customHeight="1" x14ac:dyDescent="0.2">
      <c r="A63" s="141">
        <v>2</v>
      </c>
      <c r="B63" s="149" t="s">
        <v>202</v>
      </c>
      <c r="C63" s="146">
        <v>407459</v>
      </c>
      <c r="D63" s="146">
        <v>765416</v>
      </c>
      <c r="E63" s="146">
        <f t="shared" si="2"/>
        <v>357957</v>
      </c>
      <c r="F63" s="150">
        <f t="shared" si="3"/>
        <v>0.8785104759006428</v>
      </c>
    </row>
    <row r="64" spans="1:7" ht="15" customHeight="1" x14ac:dyDescent="0.2">
      <c r="A64" s="141">
        <v>3</v>
      </c>
      <c r="B64" s="149" t="s">
        <v>203</v>
      </c>
      <c r="C64" s="146">
        <v>9864570</v>
      </c>
      <c r="D64" s="146">
        <v>6386831</v>
      </c>
      <c r="E64" s="146">
        <f t="shared" si="2"/>
        <v>-3477739</v>
      </c>
      <c r="F64" s="150">
        <f t="shared" si="3"/>
        <v>-0.35254846384586452</v>
      </c>
    </row>
    <row r="65" spans="1:7" ht="15" customHeight="1" x14ac:dyDescent="0.2">
      <c r="A65" s="141">
        <v>4</v>
      </c>
      <c r="B65" s="149" t="s">
        <v>204</v>
      </c>
      <c r="C65" s="146">
        <v>826030</v>
      </c>
      <c r="D65" s="146">
        <v>844980</v>
      </c>
      <c r="E65" s="146">
        <f t="shared" si="2"/>
        <v>18950</v>
      </c>
      <c r="F65" s="150">
        <f t="shared" si="3"/>
        <v>2.294105540960982E-2</v>
      </c>
    </row>
    <row r="66" spans="1:7" ht="15" customHeight="1" x14ac:dyDescent="0.2">
      <c r="A66" s="141">
        <v>5</v>
      </c>
      <c r="B66" s="149" t="s">
        <v>205</v>
      </c>
      <c r="C66" s="146">
        <v>3527480</v>
      </c>
      <c r="D66" s="146">
        <v>3294990</v>
      </c>
      <c r="E66" s="146">
        <f t="shared" si="2"/>
        <v>-232490</v>
      </c>
      <c r="F66" s="150">
        <f t="shared" si="3"/>
        <v>-6.59082404436028E-2</v>
      </c>
    </row>
    <row r="67" spans="1:7" ht="15" customHeight="1" x14ac:dyDescent="0.2">
      <c r="A67" s="141">
        <v>6</v>
      </c>
      <c r="B67" s="149" t="s">
        <v>206</v>
      </c>
      <c r="C67" s="146">
        <v>1728874</v>
      </c>
      <c r="D67" s="146">
        <v>1960563</v>
      </c>
      <c r="E67" s="146">
        <f t="shared" si="2"/>
        <v>231689</v>
      </c>
      <c r="F67" s="150">
        <f t="shared" si="3"/>
        <v>0.13401150112732332</v>
      </c>
    </row>
    <row r="68" spans="1:7" ht="15" customHeight="1" x14ac:dyDescent="0.2">
      <c r="A68" s="141">
        <v>7</v>
      </c>
      <c r="B68" s="149" t="s">
        <v>207</v>
      </c>
      <c r="C68" s="146">
        <v>7159716</v>
      </c>
      <c r="D68" s="146">
        <v>8288853</v>
      </c>
      <c r="E68" s="146">
        <f t="shared" si="2"/>
        <v>1129137</v>
      </c>
      <c r="F68" s="150">
        <f t="shared" si="3"/>
        <v>0.15770695373950586</v>
      </c>
    </row>
    <row r="69" spans="1:7" ht="15" customHeight="1" x14ac:dyDescent="0.2">
      <c r="A69" s="141">
        <v>8</v>
      </c>
      <c r="B69" s="149" t="s">
        <v>208</v>
      </c>
      <c r="C69" s="146">
        <v>571755</v>
      </c>
      <c r="D69" s="146">
        <v>682054</v>
      </c>
      <c r="E69" s="146">
        <f t="shared" si="2"/>
        <v>110299</v>
      </c>
      <c r="F69" s="150">
        <f t="shared" si="3"/>
        <v>0.19291304842108944</v>
      </c>
    </row>
    <row r="70" spans="1:7" ht="15" customHeight="1" x14ac:dyDescent="0.2">
      <c r="A70" s="141">
        <v>9</v>
      </c>
      <c r="B70" s="149" t="s">
        <v>209</v>
      </c>
      <c r="C70" s="146">
        <v>14849</v>
      </c>
      <c r="D70" s="146">
        <v>10429</v>
      </c>
      <c r="E70" s="146">
        <f t="shared" si="2"/>
        <v>-4420</v>
      </c>
      <c r="F70" s="150">
        <f t="shared" si="3"/>
        <v>-0.2976631422991447</v>
      </c>
    </row>
    <row r="71" spans="1:7" ht="15" customHeight="1" x14ac:dyDescent="0.2">
      <c r="A71" s="141">
        <v>10</v>
      </c>
      <c r="B71" s="149" t="s">
        <v>210</v>
      </c>
      <c r="C71" s="146">
        <v>425539</v>
      </c>
      <c r="D71" s="146">
        <v>388423</v>
      </c>
      <c r="E71" s="146">
        <f t="shared" si="2"/>
        <v>-37116</v>
      </c>
      <c r="F71" s="150">
        <f t="shared" si="3"/>
        <v>-8.7221147767889667E-2</v>
      </c>
    </row>
    <row r="72" spans="1:7" ht="15" customHeight="1" x14ac:dyDescent="0.2">
      <c r="A72" s="141">
        <v>11</v>
      </c>
      <c r="B72" s="149" t="s">
        <v>211</v>
      </c>
      <c r="C72" s="146">
        <v>348252</v>
      </c>
      <c r="D72" s="146">
        <v>380424</v>
      </c>
      <c r="E72" s="146">
        <f t="shared" si="2"/>
        <v>32172</v>
      </c>
      <c r="F72" s="150">
        <f t="shared" si="3"/>
        <v>9.2381379001412772E-2</v>
      </c>
    </row>
    <row r="73" spans="1:7" ht="15" customHeight="1" x14ac:dyDescent="0.2">
      <c r="A73" s="141">
        <v>12</v>
      </c>
      <c r="B73" s="149" t="s">
        <v>212</v>
      </c>
      <c r="C73" s="146">
        <v>14405838</v>
      </c>
      <c r="D73" s="146">
        <v>20228210</v>
      </c>
      <c r="E73" s="146">
        <f t="shared" si="2"/>
        <v>5822372</v>
      </c>
      <c r="F73" s="150">
        <f t="shared" si="3"/>
        <v>0.40416753263503308</v>
      </c>
    </row>
    <row r="74" spans="1:7" ht="15" customHeight="1" x14ac:dyDescent="0.2">
      <c r="A74" s="141">
        <v>13</v>
      </c>
      <c r="B74" s="149" t="s">
        <v>213</v>
      </c>
      <c r="C74" s="146">
        <v>51035</v>
      </c>
      <c r="D74" s="146">
        <v>86718</v>
      </c>
      <c r="E74" s="146">
        <f t="shared" si="2"/>
        <v>35683</v>
      </c>
      <c r="F74" s="150">
        <f t="shared" si="3"/>
        <v>0.69918683256588621</v>
      </c>
    </row>
    <row r="75" spans="1:7" ht="15" customHeight="1" x14ac:dyDescent="0.2">
      <c r="A75" s="141">
        <v>14</v>
      </c>
      <c r="B75" s="149" t="s">
        <v>214</v>
      </c>
      <c r="C75" s="146">
        <v>471629</v>
      </c>
      <c r="D75" s="146">
        <v>723035</v>
      </c>
      <c r="E75" s="146">
        <f t="shared" si="2"/>
        <v>251406</v>
      </c>
      <c r="F75" s="150">
        <f t="shared" si="3"/>
        <v>0.53305882377886005</v>
      </c>
    </row>
    <row r="76" spans="1:7" ht="15" customHeight="1" x14ac:dyDescent="0.2">
      <c r="A76" s="141">
        <v>15</v>
      </c>
      <c r="B76" s="149" t="s">
        <v>215</v>
      </c>
      <c r="C76" s="146">
        <v>949437</v>
      </c>
      <c r="D76" s="146">
        <v>926467</v>
      </c>
      <c r="E76" s="146">
        <f t="shared" si="2"/>
        <v>-22970</v>
      </c>
      <c r="F76" s="150">
        <f t="shared" si="3"/>
        <v>-2.4193285073153881E-2</v>
      </c>
    </row>
    <row r="77" spans="1:7" ht="15" customHeight="1" x14ac:dyDescent="0.2">
      <c r="A77" s="141">
        <v>16</v>
      </c>
      <c r="B77" s="149" t="s">
        <v>216</v>
      </c>
      <c r="C77" s="146">
        <v>29407866</v>
      </c>
      <c r="D77" s="146">
        <v>33754110</v>
      </c>
      <c r="E77" s="146">
        <f t="shared" si="2"/>
        <v>4346244</v>
      </c>
      <c r="F77" s="150">
        <f t="shared" si="3"/>
        <v>0.14779188670133359</v>
      </c>
    </row>
    <row r="78" spans="1:7" ht="15.75" customHeight="1" x14ac:dyDescent="0.25">
      <c r="A78" s="141"/>
      <c r="B78" s="151" t="s">
        <v>217</v>
      </c>
      <c r="C78" s="147">
        <f>SUM(C62:C77)</f>
        <v>70544151</v>
      </c>
      <c r="D78" s="147">
        <f>SUM(D62:D77)</f>
        <v>79107589</v>
      </c>
      <c r="E78" s="147">
        <f t="shared" si="2"/>
        <v>8563438</v>
      </c>
      <c r="F78" s="148">
        <f t="shared" si="3"/>
        <v>0.12139118379920683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0</v>
      </c>
      <c r="D81" s="146">
        <v>0</v>
      </c>
      <c r="E81" s="146">
        <f>+D81-C81</f>
        <v>0</v>
      </c>
      <c r="F81" s="150">
        <f>IF(C81=0,0,E81/C81)</f>
        <v>0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491472461</v>
      </c>
      <c r="D83" s="147">
        <f>+D81+D78+D59+D50+D47+D44+D41+D35+D30+D24+D18</f>
        <v>498321475</v>
      </c>
      <c r="E83" s="147">
        <f>+D83-C83</f>
        <v>6849014</v>
      </c>
      <c r="F83" s="148">
        <f>IF(C83=0,0,E83/C83)</f>
        <v>1.3935702493002959E-2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129218289</v>
      </c>
      <c r="D91" s="146">
        <v>122027110</v>
      </c>
      <c r="E91" s="146">
        <f t="shared" ref="E91:E109" si="4">D91-C91</f>
        <v>-7191179</v>
      </c>
      <c r="F91" s="150">
        <f t="shared" ref="F91:F109" si="5">IF(C91=0,0,E91/C91)</f>
        <v>-5.5651402411000812E-2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2786867</v>
      </c>
      <c r="D92" s="146">
        <v>3251710</v>
      </c>
      <c r="E92" s="146">
        <f t="shared" si="4"/>
        <v>464843</v>
      </c>
      <c r="F92" s="150">
        <f t="shared" si="5"/>
        <v>0.16679769791669283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3574573</v>
      </c>
      <c r="D93" s="146">
        <v>4368102</v>
      </c>
      <c r="E93" s="146">
        <f t="shared" si="4"/>
        <v>793529</v>
      </c>
      <c r="F93" s="150">
        <f t="shared" si="5"/>
        <v>0.221992668774704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2628768</v>
      </c>
      <c r="D94" s="146">
        <v>2667189</v>
      </c>
      <c r="E94" s="146">
        <f t="shared" si="4"/>
        <v>38421</v>
      </c>
      <c r="F94" s="150">
        <f t="shared" si="5"/>
        <v>1.4615591790526969E-2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11169186</v>
      </c>
      <c r="D95" s="146">
        <v>12547450</v>
      </c>
      <c r="E95" s="146">
        <f t="shared" si="4"/>
        <v>1378264</v>
      </c>
      <c r="F95" s="150">
        <f t="shared" si="5"/>
        <v>0.12339878662599046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0</v>
      </c>
      <c r="D96" s="146">
        <v>0</v>
      </c>
      <c r="E96" s="146">
        <f t="shared" si="4"/>
        <v>0</v>
      </c>
      <c r="F96" s="150">
        <f t="shared" si="5"/>
        <v>0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3231640</v>
      </c>
      <c r="D97" s="146">
        <v>3502153</v>
      </c>
      <c r="E97" s="146">
        <f t="shared" si="4"/>
        <v>270513</v>
      </c>
      <c r="F97" s="150">
        <f t="shared" si="5"/>
        <v>8.3707653080169822E-2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2127980</v>
      </c>
      <c r="D98" s="146">
        <v>2272265</v>
      </c>
      <c r="E98" s="146">
        <f t="shared" si="4"/>
        <v>144285</v>
      </c>
      <c r="F98" s="150">
        <f t="shared" si="5"/>
        <v>6.7803738756943205E-2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762239</v>
      </c>
      <c r="D99" s="146">
        <v>945559</v>
      </c>
      <c r="E99" s="146">
        <f t="shared" si="4"/>
        <v>183320</v>
      </c>
      <c r="F99" s="150">
        <f t="shared" si="5"/>
        <v>0.24050199478116444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5765341</v>
      </c>
      <c r="D100" s="146">
        <v>5990797</v>
      </c>
      <c r="E100" s="146">
        <f t="shared" si="4"/>
        <v>225456</v>
      </c>
      <c r="F100" s="150">
        <f t="shared" si="5"/>
        <v>3.9105405907473641E-2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7268860</v>
      </c>
      <c r="D101" s="146">
        <v>7296685</v>
      </c>
      <c r="E101" s="146">
        <f t="shared" si="4"/>
        <v>27825</v>
      </c>
      <c r="F101" s="150">
        <f t="shared" si="5"/>
        <v>3.8279730246558608E-3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626181</v>
      </c>
      <c r="D102" s="146">
        <v>618856</v>
      </c>
      <c r="E102" s="146">
        <f t="shared" si="4"/>
        <v>-7325</v>
      </c>
      <c r="F102" s="150">
        <f t="shared" si="5"/>
        <v>-1.1697895656367727E-2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9061909</v>
      </c>
      <c r="D103" s="146">
        <v>9387342</v>
      </c>
      <c r="E103" s="146">
        <f t="shared" si="4"/>
        <v>325433</v>
      </c>
      <c r="F103" s="150">
        <f t="shared" si="5"/>
        <v>3.5912190246006663E-2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1877978</v>
      </c>
      <c r="D104" s="146">
        <v>1924903</v>
      </c>
      <c r="E104" s="146">
        <f t="shared" si="4"/>
        <v>46925</v>
      </c>
      <c r="F104" s="150">
        <f t="shared" si="5"/>
        <v>2.498698067815491E-2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9352232</v>
      </c>
      <c r="D105" s="146">
        <v>10258052</v>
      </c>
      <c r="E105" s="146">
        <f t="shared" si="4"/>
        <v>905820</v>
      </c>
      <c r="F105" s="150">
        <f t="shared" si="5"/>
        <v>9.685602324664315E-2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5442714</v>
      </c>
      <c r="D106" s="146">
        <v>6181107</v>
      </c>
      <c r="E106" s="146">
        <f t="shared" si="4"/>
        <v>738393</v>
      </c>
      <c r="F106" s="150">
        <f t="shared" si="5"/>
        <v>0.13566632382300448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19772926</v>
      </c>
      <c r="D107" s="146">
        <v>20629593</v>
      </c>
      <c r="E107" s="146">
        <f t="shared" si="4"/>
        <v>856667</v>
      </c>
      <c r="F107" s="150">
        <f t="shared" si="5"/>
        <v>4.3325251912640549E-2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2099779</v>
      </c>
      <c r="D108" s="146">
        <v>2198574</v>
      </c>
      <c r="E108" s="146">
        <f t="shared" si="4"/>
        <v>98795</v>
      </c>
      <c r="F108" s="150">
        <f t="shared" si="5"/>
        <v>4.7050189567568776E-2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216767462</v>
      </c>
      <c r="D109" s="147">
        <f>SUM(D91:D108)</f>
        <v>216067447</v>
      </c>
      <c r="E109" s="147">
        <f t="shared" si="4"/>
        <v>-700015</v>
      </c>
      <c r="F109" s="148">
        <f t="shared" si="5"/>
        <v>-3.2293361445547581E-3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31051791</v>
      </c>
      <c r="D112" s="146">
        <v>31548584</v>
      </c>
      <c r="E112" s="146">
        <f t="shared" ref="E112:E118" si="6">D112-C112</f>
        <v>496793</v>
      </c>
      <c r="F112" s="150">
        <f t="shared" ref="F112:F118" si="7">IF(C112=0,0,E112/C112)</f>
        <v>1.5998851724848977E-2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10491951</v>
      </c>
      <c r="D113" s="146">
        <v>10511969</v>
      </c>
      <c r="E113" s="146">
        <f t="shared" si="6"/>
        <v>20018</v>
      </c>
      <c r="F113" s="150">
        <f t="shared" si="7"/>
        <v>1.9079387618184645E-3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3919749</v>
      </c>
      <c r="D114" s="146">
        <v>4048552</v>
      </c>
      <c r="E114" s="146">
        <f t="shared" si="6"/>
        <v>128803</v>
      </c>
      <c r="F114" s="150">
        <f t="shared" si="7"/>
        <v>3.2860012209965483E-2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4245171</v>
      </c>
      <c r="D115" s="146">
        <v>4661323</v>
      </c>
      <c r="E115" s="146">
        <f t="shared" si="6"/>
        <v>416152</v>
      </c>
      <c r="F115" s="150">
        <f t="shared" si="7"/>
        <v>9.8029502227354334E-2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4345720</v>
      </c>
      <c r="D116" s="146">
        <v>4725620</v>
      </c>
      <c r="E116" s="146">
        <f t="shared" si="6"/>
        <v>379900</v>
      </c>
      <c r="F116" s="150">
        <f t="shared" si="7"/>
        <v>8.7419345931169054E-2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6309540</v>
      </c>
      <c r="D117" s="146">
        <v>7001215</v>
      </c>
      <c r="E117" s="146">
        <f t="shared" si="6"/>
        <v>691675</v>
      </c>
      <c r="F117" s="150">
        <f t="shared" si="7"/>
        <v>0.10962368096564884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60363922</v>
      </c>
      <c r="D118" s="147">
        <f>SUM(D112:D117)</f>
        <v>62497263</v>
      </c>
      <c r="E118" s="147">
        <f t="shared" si="6"/>
        <v>2133341</v>
      </c>
      <c r="F118" s="148">
        <f t="shared" si="7"/>
        <v>3.534132523728329E-2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11743024</v>
      </c>
      <c r="D121" s="146">
        <v>11496150</v>
      </c>
      <c r="E121" s="146">
        <f t="shared" ref="E121:E155" si="8">D121-C121</f>
        <v>-246874</v>
      </c>
      <c r="F121" s="150">
        <f t="shared" ref="F121:F155" si="9">IF(C121=0,0,E121/C121)</f>
        <v>-2.1023034611868288E-2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3379742</v>
      </c>
      <c r="D122" s="146">
        <v>3719424</v>
      </c>
      <c r="E122" s="146">
        <f t="shared" si="8"/>
        <v>339682</v>
      </c>
      <c r="F122" s="150">
        <f t="shared" si="9"/>
        <v>0.1005053048427957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2033048</v>
      </c>
      <c r="D123" s="146">
        <v>2509747</v>
      </c>
      <c r="E123" s="146">
        <f t="shared" si="8"/>
        <v>476699</v>
      </c>
      <c r="F123" s="150">
        <f t="shared" si="9"/>
        <v>0.23447503452943561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2274565</v>
      </c>
      <c r="D124" s="146">
        <v>2365626</v>
      </c>
      <c r="E124" s="146">
        <f t="shared" si="8"/>
        <v>91061</v>
      </c>
      <c r="F124" s="150">
        <f t="shared" si="9"/>
        <v>4.0034468129070834E-2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6007212</v>
      </c>
      <c r="D125" s="146">
        <v>6182158</v>
      </c>
      <c r="E125" s="146">
        <f t="shared" si="8"/>
        <v>174946</v>
      </c>
      <c r="F125" s="150">
        <f t="shared" si="9"/>
        <v>2.9122661227870765E-2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631450</v>
      </c>
      <c r="D126" s="146">
        <v>707378</v>
      </c>
      <c r="E126" s="146">
        <f t="shared" si="8"/>
        <v>75928</v>
      </c>
      <c r="F126" s="150">
        <f t="shared" si="9"/>
        <v>0.12024388312613825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5716924</v>
      </c>
      <c r="D127" s="146">
        <v>5962665</v>
      </c>
      <c r="E127" s="146">
        <f t="shared" si="8"/>
        <v>245741</v>
      </c>
      <c r="F127" s="150">
        <f t="shared" si="9"/>
        <v>4.2984828904494794E-2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1052330</v>
      </c>
      <c r="D128" s="146">
        <v>1097553</v>
      </c>
      <c r="E128" s="146">
        <f t="shared" si="8"/>
        <v>45223</v>
      </c>
      <c r="F128" s="150">
        <f t="shared" si="9"/>
        <v>4.297416209744092E-2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1003281</v>
      </c>
      <c r="D129" s="146">
        <v>988815</v>
      </c>
      <c r="E129" s="146">
        <f t="shared" si="8"/>
        <v>-14466</v>
      </c>
      <c r="F129" s="150">
        <f t="shared" si="9"/>
        <v>-1.4418692270659965E-2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16176515</v>
      </c>
      <c r="D130" s="146">
        <v>16805654</v>
      </c>
      <c r="E130" s="146">
        <f t="shared" si="8"/>
        <v>629139</v>
      </c>
      <c r="F130" s="150">
        <f t="shared" si="9"/>
        <v>3.8892122314355099E-2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4857971</v>
      </c>
      <c r="D132" s="146">
        <v>4300430</v>
      </c>
      <c r="E132" s="146">
        <f t="shared" si="8"/>
        <v>-557541</v>
      </c>
      <c r="F132" s="150">
        <f t="shared" si="9"/>
        <v>-0.11476828494859273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213143</v>
      </c>
      <c r="D133" s="146">
        <v>196726</v>
      </c>
      <c r="E133" s="146">
        <f t="shared" si="8"/>
        <v>-16417</v>
      </c>
      <c r="F133" s="150">
        <f t="shared" si="9"/>
        <v>-7.7023406820772911E-2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54367</v>
      </c>
      <c r="D134" s="146">
        <v>52069</v>
      </c>
      <c r="E134" s="146">
        <f t="shared" si="8"/>
        <v>-2298</v>
      </c>
      <c r="F134" s="150">
        <f t="shared" si="9"/>
        <v>-4.226828774808248E-2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3027183</v>
      </c>
      <c r="D138" s="146">
        <v>3138804</v>
      </c>
      <c r="E138" s="146">
        <f t="shared" si="8"/>
        <v>111621</v>
      </c>
      <c r="F138" s="150">
        <f t="shared" si="9"/>
        <v>3.6872894701113212E-2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742496</v>
      </c>
      <c r="D139" s="146">
        <v>903862</v>
      </c>
      <c r="E139" s="146">
        <f t="shared" si="8"/>
        <v>161366</v>
      </c>
      <c r="F139" s="150">
        <f t="shared" si="9"/>
        <v>0.21732911692453563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1829071</v>
      </c>
      <c r="D140" s="146">
        <v>1456697</v>
      </c>
      <c r="E140" s="146">
        <f t="shared" si="8"/>
        <v>-372374</v>
      </c>
      <c r="F140" s="150">
        <f t="shared" si="9"/>
        <v>-0.20358641080636017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1280749</v>
      </c>
      <c r="D143" s="146">
        <v>1354469</v>
      </c>
      <c r="E143" s="146">
        <f t="shared" si="8"/>
        <v>73720</v>
      </c>
      <c r="F143" s="150">
        <f t="shared" si="9"/>
        <v>5.7560068366245061E-2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16799378</v>
      </c>
      <c r="D144" s="146">
        <v>17025679</v>
      </c>
      <c r="E144" s="146">
        <f t="shared" si="8"/>
        <v>226301</v>
      </c>
      <c r="F144" s="150">
        <f t="shared" si="9"/>
        <v>1.3470796359246157E-2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1199803</v>
      </c>
      <c r="D145" s="146">
        <v>1368189</v>
      </c>
      <c r="E145" s="146">
        <f t="shared" si="8"/>
        <v>168386</v>
      </c>
      <c r="F145" s="150">
        <f t="shared" si="9"/>
        <v>0.14034470658933174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428871</v>
      </c>
      <c r="D147" s="146">
        <v>405951</v>
      </c>
      <c r="E147" s="146">
        <f t="shared" si="8"/>
        <v>-22920</v>
      </c>
      <c r="F147" s="150">
        <f t="shared" si="9"/>
        <v>-5.3442643592129101E-2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561536</v>
      </c>
      <c r="D151" s="146">
        <v>254997</v>
      </c>
      <c r="E151" s="146">
        <f t="shared" si="8"/>
        <v>-306539</v>
      </c>
      <c r="F151" s="150">
        <f t="shared" si="9"/>
        <v>-0.54589376282197399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3810105</v>
      </c>
      <c r="D152" s="146">
        <v>4245932</v>
      </c>
      <c r="E152" s="146">
        <f t="shared" si="8"/>
        <v>435827</v>
      </c>
      <c r="F152" s="150">
        <f t="shared" si="9"/>
        <v>0.11438713631251632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225034</v>
      </c>
      <c r="D153" s="146">
        <v>208475</v>
      </c>
      <c r="E153" s="146">
        <f t="shared" si="8"/>
        <v>-16559</v>
      </c>
      <c r="F153" s="150">
        <f t="shared" si="9"/>
        <v>-7.3584436129651515E-2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51633126</v>
      </c>
      <c r="D154" s="146">
        <v>53546312</v>
      </c>
      <c r="E154" s="146">
        <f t="shared" si="8"/>
        <v>1913186</v>
      </c>
      <c r="F154" s="150">
        <f t="shared" si="9"/>
        <v>3.7053460602017398E-2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136680924</v>
      </c>
      <c r="D155" s="147">
        <f>SUM(D121:D154)</f>
        <v>140293762</v>
      </c>
      <c r="E155" s="147">
        <f t="shared" si="8"/>
        <v>3612838</v>
      </c>
      <c r="F155" s="148">
        <f t="shared" si="9"/>
        <v>2.6432642495159017E-2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37292934</v>
      </c>
      <c r="D158" s="146">
        <v>37458411</v>
      </c>
      <c r="E158" s="146">
        <f t="shared" ref="E158:E171" si="10">D158-C158</f>
        <v>165477</v>
      </c>
      <c r="F158" s="150">
        <f t="shared" ref="F158:F171" si="11">IF(C158=0,0,E158/C158)</f>
        <v>4.4372212709249429E-3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13354319</v>
      </c>
      <c r="D159" s="146">
        <v>13920183</v>
      </c>
      <c r="E159" s="146">
        <f t="shared" si="10"/>
        <v>565864</v>
      </c>
      <c r="F159" s="150">
        <f t="shared" si="11"/>
        <v>4.2373107906138831E-2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5499879</v>
      </c>
      <c r="D160" s="146">
        <v>5614878</v>
      </c>
      <c r="E160" s="146">
        <f t="shared" si="10"/>
        <v>114999</v>
      </c>
      <c r="F160" s="150">
        <f t="shared" si="11"/>
        <v>2.0909369097029225E-2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4657933</v>
      </c>
      <c r="D161" s="146">
        <v>4989217</v>
      </c>
      <c r="E161" s="146">
        <f t="shared" si="10"/>
        <v>331284</v>
      </c>
      <c r="F161" s="150">
        <f t="shared" si="11"/>
        <v>7.1122534394547965E-2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4142691</v>
      </c>
      <c r="D163" s="146">
        <v>4355915</v>
      </c>
      <c r="E163" s="146">
        <f t="shared" si="10"/>
        <v>213224</v>
      </c>
      <c r="F163" s="150">
        <f t="shared" si="11"/>
        <v>5.1469926190488263E-2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0</v>
      </c>
      <c r="D164" s="146">
        <v>0</v>
      </c>
      <c r="E164" s="146">
        <f t="shared" si="10"/>
        <v>0</v>
      </c>
      <c r="F164" s="150">
        <f t="shared" si="11"/>
        <v>0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1692653</v>
      </c>
      <c r="D166" s="146">
        <v>1863944</v>
      </c>
      <c r="E166" s="146">
        <f t="shared" si="10"/>
        <v>171291</v>
      </c>
      <c r="F166" s="150">
        <f t="shared" si="11"/>
        <v>0.10119676035194455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0</v>
      </c>
      <c r="D167" s="146">
        <v>0</v>
      </c>
      <c r="E167" s="146">
        <f t="shared" si="10"/>
        <v>0</v>
      </c>
      <c r="F167" s="150">
        <f t="shared" si="11"/>
        <v>0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3128884</v>
      </c>
      <c r="D169" s="146">
        <v>2978897</v>
      </c>
      <c r="E169" s="146">
        <f t="shared" si="10"/>
        <v>-149987</v>
      </c>
      <c r="F169" s="150">
        <f t="shared" si="11"/>
        <v>-4.7936260979953238E-2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3979865</v>
      </c>
      <c r="D170" s="146">
        <v>4275444</v>
      </c>
      <c r="E170" s="146">
        <f t="shared" si="10"/>
        <v>295579</v>
      </c>
      <c r="F170" s="150">
        <f t="shared" si="11"/>
        <v>7.42685995630505E-2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73749158</v>
      </c>
      <c r="D171" s="147">
        <f>SUM(D158:D170)</f>
        <v>75456889</v>
      </c>
      <c r="E171" s="147">
        <f t="shared" si="10"/>
        <v>1707731</v>
      </c>
      <c r="F171" s="148">
        <f t="shared" si="11"/>
        <v>2.3155938946448719E-2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3910995</v>
      </c>
      <c r="D174" s="146">
        <v>4006114</v>
      </c>
      <c r="E174" s="146">
        <f>D174-C174</f>
        <v>95119</v>
      </c>
      <c r="F174" s="150">
        <f>IF(C174=0,0,E174/C174)</f>
        <v>2.4320920890975314E-2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491472461</v>
      </c>
      <c r="D176" s="147">
        <f>+D174+D171+D155+D118+D109</f>
        <v>498321475</v>
      </c>
      <c r="E176" s="147">
        <f>D176-C176</f>
        <v>6849014</v>
      </c>
      <c r="F176" s="148">
        <f>IF(C176=0,0,E176/C176)</f>
        <v>1.3935702493002959E-2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FILING&amp;RHOSPITAL OF SAINT RAPHAEL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456208821</v>
      </c>
      <c r="D11" s="164">
        <v>468749267</v>
      </c>
      <c r="E11" s="51">
        <v>477956801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21507173</v>
      </c>
      <c r="D12" s="49">
        <v>22581945</v>
      </c>
      <c r="E12" s="49">
        <v>23533832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477715994</v>
      </c>
      <c r="D13" s="51">
        <f>+D11+D12</f>
        <v>491331212</v>
      </c>
      <c r="E13" s="51">
        <f>+E11+E12</f>
        <v>501490633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483940125</v>
      </c>
      <c r="D14" s="49">
        <v>491472461</v>
      </c>
      <c r="E14" s="49">
        <v>498321475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-6224131</v>
      </c>
      <c r="D15" s="51">
        <f>+D13-D14</f>
        <v>-141249</v>
      </c>
      <c r="E15" s="51">
        <f>+E13-E14</f>
        <v>3169158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20065</v>
      </c>
      <c r="D16" s="49">
        <v>349940</v>
      </c>
      <c r="E16" s="49">
        <v>70555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-6204066</v>
      </c>
      <c r="D17" s="51">
        <f>D15+D16</f>
        <v>208691</v>
      </c>
      <c r="E17" s="51">
        <f>E15+E16</f>
        <v>3239713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-1.3028388547911557E-2</v>
      </c>
      <c r="D20" s="169">
        <f>IF(+D27=0,0,+D24/+D27)</f>
        <v>-2.8727763800878828E-4</v>
      </c>
      <c r="E20" s="169">
        <f>IF(+E27=0,0,+E24/+E27)</f>
        <v>6.3185869956109923E-3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4.2000179015166193E-5</v>
      </c>
      <c r="D21" s="169">
        <f>IF(D27=0,0,+D26/D27)</f>
        <v>7.1172140436247591E-4</v>
      </c>
      <c r="E21" s="169">
        <f>IF(E27=0,0,+E26/E27)</f>
        <v>1.4067077295462502E-4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-1.2986388368896391E-2</v>
      </c>
      <c r="D22" s="169">
        <f>IF(D27=0,0,+D28/D27)</f>
        <v>4.2444376635368769E-4</v>
      </c>
      <c r="E22" s="169">
        <f>IF(E27=0,0,+E28/E27)</f>
        <v>6.4592577685656169E-3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-6224131</v>
      </c>
      <c r="D24" s="51">
        <f>+D15</f>
        <v>-141249</v>
      </c>
      <c r="E24" s="51">
        <f>+E15</f>
        <v>3169158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477715994</v>
      </c>
      <c r="D25" s="51">
        <f>+D13</f>
        <v>491331212</v>
      </c>
      <c r="E25" s="51">
        <f>+E13</f>
        <v>501490633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20065</v>
      </c>
      <c r="D26" s="51">
        <f>+D16</f>
        <v>349940</v>
      </c>
      <c r="E26" s="51">
        <f>+E16</f>
        <v>70555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477736059</v>
      </c>
      <c r="D27" s="51">
        <f>+D25+D26</f>
        <v>491681152</v>
      </c>
      <c r="E27" s="51">
        <f>+E25+E26</f>
        <v>501561188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-6204066</v>
      </c>
      <c r="D28" s="51">
        <f>+D17</f>
        <v>208691</v>
      </c>
      <c r="E28" s="51">
        <f>+E17</f>
        <v>3239713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-59114372</v>
      </c>
      <c r="D31" s="51">
        <v>-40859335</v>
      </c>
      <c r="E31" s="51">
        <v>-79185572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-30730319</v>
      </c>
      <c r="D32" s="51">
        <v>-10170252</v>
      </c>
      <c r="E32" s="51">
        <v>-48404289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-59849196</v>
      </c>
      <c r="D33" s="51">
        <f>+D32-C32</f>
        <v>20560067</v>
      </c>
      <c r="E33" s="51">
        <f>+E32-D32</f>
        <v>-38234037</v>
      </c>
      <c r="F33" s="5"/>
    </row>
    <row r="34" spans="1:6" ht="24" customHeight="1" x14ac:dyDescent="0.2">
      <c r="A34" s="25">
        <v>4</v>
      </c>
      <c r="B34" s="48" t="s">
        <v>320</v>
      </c>
      <c r="C34" s="171">
        <v>-1.0552999999999999</v>
      </c>
      <c r="D34" s="171">
        <f>IF(C32=0,0,+D33/C32)</f>
        <v>-0.66904827769604347</v>
      </c>
      <c r="E34" s="171">
        <f>IF(D32=0,0,+E33/D32)</f>
        <v>3.7593991771295343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0.38522054195101801</v>
      </c>
      <c r="D38" s="172">
        <f>IF((D40+D41)=0,0,+D39/(D40+D41))</f>
        <v>0.37569627185247634</v>
      </c>
      <c r="E38" s="172">
        <f>IF((E40+E41)=0,0,+E39/(E40+E41))</f>
        <v>0.3579008728064082</v>
      </c>
      <c r="F38" s="5"/>
    </row>
    <row r="39" spans="1:6" ht="24" customHeight="1" x14ac:dyDescent="0.2">
      <c r="A39" s="21">
        <v>2</v>
      </c>
      <c r="B39" s="48" t="s">
        <v>324</v>
      </c>
      <c r="C39" s="51">
        <v>483940125</v>
      </c>
      <c r="D39" s="51">
        <v>491472461</v>
      </c>
      <c r="E39" s="23">
        <v>498321475</v>
      </c>
      <c r="F39" s="5"/>
    </row>
    <row r="40" spans="1:6" ht="24" customHeight="1" x14ac:dyDescent="0.2">
      <c r="A40" s="21">
        <v>3</v>
      </c>
      <c r="B40" s="48" t="s">
        <v>325</v>
      </c>
      <c r="C40" s="51">
        <v>1237132945</v>
      </c>
      <c r="D40" s="51">
        <v>1287870181</v>
      </c>
      <c r="E40" s="23">
        <v>1368811124</v>
      </c>
      <c r="F40" s="5"/>
    </row>
    <row r="41" spans="1:6" ht="24" customHeight="1" x14ac:dyDescent="0.2">
      <c r="A41" s="21">
        <v>4</v>
      </c>
      <c r="B41" s="48" t="s">
        <v>326</v>
      </c>
      <c r="C41" s="51">
        <v>19134757</v>
      </c>
      <c r="D41" s="51">
        <v>20294147</v>
      </c>
      <c r="E41" s="23">
        <v>23533832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1.1622321245574916</v>
      </c>
      <c r="D43" s="173">
        <f>IF(D38=0,0,IF((D46-D47)=0,0,((+D44-D45)/(D46-D47)/D38)))</f>
        <v>1.2157148826753241</v>
      </c>
      <c r="E43" s="173">
        <f>IF(E38=0,0,IF((E46-E47)=0,0,((+E44-E45)/(E46-E47)/E38)))</f>
        <v>1.2488206343056223</v>
      </c>
      <c r="F43" s="5"/>
    </row>
    <row r="44" spans="1:6" ht="24" customHeight="1" x14ac:dyDescent="0.2">
      <c r="A44" s="21">
        <v>6</v>
      </c>
      <c r="B44" s="48" t="s">
        <v>328</v>
      </c>
      <c r="C44" s="51">
        <v>183757702</v>
      </c>
      <c r="D44" s="51">
        <v>183067786</v>
      </c>
      <c r="E44" s="23">
        <v>176003951</v>
      </c>
      <c r="F44" s="5"/>
    </row>
    <row r="45" spans="1:6" ht="24" customHeight="1" x14ac:dyDescent="0.2">
      <c r="A45" s="21">
        <v>7</v>
      </c>
      <c r="B45" s="48" t="s">
        <v>329</v>
      </c>
      <c r="C45" s="51">
        <v>4974170</v>
      </c>
      <c r="D45" s="51">
        <v>4894463</v>
      </c>
      <c r="E45" s="23">
        <v>5220146</v>
      </c>
      <c r="F45" s="5"/>
    </row>
    <row r="46" spans="1:6" ht="24" customHeight="1" x14ac:dyDescent="0.2">
      <c r="A46" s="21">
        <v>8</v>
      </c>
      <c r="B46" s="48" t="s">
        <v>330</v>
      </c>
      <c r="C46" s="51">
        <v>432568430</v>
      </c>
      <c r="D46" s="51">
        <v>419934412</v>
      </c>
      <c r="E46" s="23">
        <v>402334843</v>
      </c>
      <c r="F46" s="5"/>
    </row>
    <row r="47" spans="1:6" ht="24" customHeight="1" x14ac:dyDescent="0.2">
      <c r="A47" s="21">
        <v>9</v>
      </c>
      <c r="B47" s="48" t="s">
        <v>331</v>
      </c>
      <c r="C47" s="51">
        <v>33244626</v>
      </c>
      <c r="D47" s="51">
        <v>29836109</v>
      </c>
      <c r="E47" s="174">
        <v>20228839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0.87118850443440565</v>
      </c>
      <c r="D49" s="175">
        <f>IF(D38=0,0,IF(D51=0,0,(D50/D51)/D38))</f>
        <v>0.8604660560868288</v>
      </c>
      <c r="E49" s="175">
        <f>IF(E38=0,0,IF(E51=0,0,(E50/E51)/E38))</f>
        <v>0.85009076602344791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220168266</v>
      </c>
      <c r="D50" s="176">
        <v>222480164</v>
      </c>
      <c r="E50" s="176">
        <v>224806958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656044272</v>
      </c>
      <c r="D51" s="176">
        <v>688209507</v>
      </c>
      <c r="E51" s="176">
        <v>738893239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0.73870874872177361</v>
      </c>
      <c r="D53" s="175">
        <f>IF(D38=0,0,IF(D55=0,0,(D54/D55)/D38))</f>
        <v>0.65551531836107524</v>
      </c>
      <c r="E53" s="175">
        <f>IF(E38=0,0,IF(E55=0,0,(E54/E55)/E38))</f>
        <v>0.69869278002561375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31039637</v>
      </c>
      <c r="D54" s="176">
        <v>37701156</v>
      </c>
      <c r="E54" s="176">
        <v>56403370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109077193</v>
      </c>
      <c r="D55" s="176">
        <v>153085810</v>
      </c>
      <c r="E55" s="176">
        <v>225556860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9742215.9493249878</v>
      </c>
      <c r="D57" s="53">
        <f>+D60*D38</f>
        <v>11294000.990218654</v>
      </c>
      <c r="E57" s="53">
        <f>+E60*E38</f>
        <v>10244764.671022967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4656971</v>
      </c>
      <c r="D58" s="51">
        <v>5390523</v>
      </c>
      <c r="E58" s="52">
        <v>5784587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20632999</v>
      </c>
      <c r="D59" s="51">
        <v>24670997</v>
      </c>
      <c r="E59" s="52">
        <v>22840000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25289970</v>
      </c>
      <c r="D60" s="51">
        <v>30061520</v>
      </c>
      <c r="E60" s="52">
        <v>28624587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2.0131035733656075E-2</v>
      </c>
      <c r="D62" s="178">
        <f>IF(D63=0,0,+D57/D63)</f>
        <v>2.2979926417929356E-2</v>
      </c>
      <c r="E62" s="178">
        <f>IF(E63=0,0,+E57/E63)</f>
        <v>2.0558545406904181E-2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483940125</v>
      </c>
      <c r="D63" s="176">
        <v>491472461</v>
      </c>
      <c r="E63" s="176">
        <v>498321475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0.68246949140544932</v>
      </c>
      <c r="D67" s="179">
        <f>IF(D69=0,0,D68/D69)</f>
        <v>0.72095384967110987</v>
      </c>
      <c r="E67" s="179">
        <f>IF(E69=0,0,E68/E69)</f>
        <v>0.67733899471204873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98632122</v>
      </c>
      <c r="D68" s="180">
        <v>96262931</v>
      </c>
      <c r="E68" s="180">
        <v>88421861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144522390</v>
      </c>
      <c r="D69" s="180">
        <v>133521627</v>
      </c>
      <c r="E69" s="180">
        <v>130542995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16.450270499658767</v>
      </c>
      <c r="D71" s="181">
        <f>IF((D77/365)=0,0,+D74/(D77/365))</f>
        <v>11.244591060281603</v>
      </c>
      <c r="E71" s="181">
        <f>IF((E77/365)=0,0,+E74/(E77/365))</f>
        <v>20.966183075838408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21036479</v>
      </c>
      <c r="D72" s="182">
        <v>12376408</v>
      </c>
      <c r="E72" s="182">
        <v>26693195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0</v>
      </c>
      <c r="D73" s="184">
        <v>2314446</v>
      </c>
      <c r="E73" s="184">
        <v>1156970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21036479</v>
      </c>
      <c r="D74" s="180">
        <f>+D72+D73</f>
        <v>14690854</v>
      </c>
      <c r="E74" s="180">
        <f>+E72+E73</f>
        <v>27850165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483940125</v>
      </c>
      <c r="D75" s="180">
        <f>+D14</f>
        <v>491472461</v>
      </c>
      <c r="E75" s="180">
        <f>+E14</f>
        <v>498321475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17180941</v>
      </c>
      <c r="D76" s="180">
        <v>14606590</v>
      </c>
      <c r="E76" s="180">
        <v>13478326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466759184</v>
      </c>
      <c r="D77" s="180">
        <f>+D75-D76</f>
        <v>476865871</v>
      </c>
      <c r="E77" s="180">
        <f>+E75-E76</f>
        <v>484843149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44.577492956893096</v>
      </c>
      <c r="D79" s="179">
        <f>IF((D84/365)=0,0,+D83/(D84/365))</f>
        <v>41.302925749428425</v>
      </c>
      <c r="E79" s="179">
        <f>IF((E84/365)=0,0,+E83/(E84/365))</f>
        <v>34.054428571673363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53665511</v>
      </c>
      <c r="D80" s="189">
        <v>46474066</v>
      </c>
      <c r="E80" s="189">
        <v>42792326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3545193</v>
      </c>
      <c r="D81" s="190">
        <v>9564963</v>
      </c>
      <c r="E81" s="190">
        <v>6664563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1493867</v>
      </c>
      <c r="D82" s="190">
        <v>2995971</v>
      </c>
      <c r="E82" s="190">
        <v>4863613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55716837</v>
      </c>
      <c r="D83" s="191">
        <f>+D80+D81-D82</f>
        <v>53043058</v>
      </c>
      <c r="E83" s="191">
        <f>+E80+E81-E82</f>
        <v>44593276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456208821</v>
      </c>
      <c r="D84" s="191">
        <f>+D11</f>
        <v>468749267</v>
      </c>
      <c r="E84" s="191">
        <f>+E11</f>
        <v>477956801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113.01474970013658</v>
      </c>
      <c r="D86" s="179">
        <f>IF((D90/365)=0,0,+D87/(D90/365))</f>
        <v>102.1993747482927</v>
      </c>
      <c r="E86" s="179">
        <f>IF((E90/365)=0,0,+E87/(E90/365))</f>
        <v>98.27547996352115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144522390</v>
      </c>
      <c r="D87" s="51">
        <f>+D69</f>
        <v>133521627</v>
      </c>
      <c r="E87" s="51">
        <f>+E69</f>
        <v>130542995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483940125</v>
      </c>
      <c r="D88" s="51">
        <f t="shared" si="0"/>
        <v>491472461</v>
      </c>
      <c r="E88" s="51">
        <f t="shared" si="0"/>
        <v>498321475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17180941</v>
      </c>
      <c r="D89" s="52">
        <f t="shared" si="0"/>
        <v>14606590</v>
      </c>
      <c r="E89" s="52">
        <f t="shared" si="0"/>
        <v>13478326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466759184</v>
      </c>
      <c r="D90" s="51">
        <f>+D88-D89</f>
        <v>476865871</v>
      </c>
      <c r="E90" s="51">
        <f>+E88-E89</f>
        <v>484843149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-11.895762091842126</v>
      </c>
      <c r="D94" s="192">
        <f>IF(D96=0,0,(D95/D96)*100)</f>
        <v>-4.0288428049021316</v>
      </c>
      <c r="E94" s="192">
        <f>IF(E96=0,0,(E95/E96)*100)</f>
        <v>-19.706002078807145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-30730319</v>
      </c>
      <c r="D95" s="51">
        <f>+D32</f>
        <v>-10170252</v>
      </c>
      <c r="E95" s="51">
        <f>+E32</f>
        <v>-48404289</v>
      </c>
      <c r="F95" s="28"/>
    </row>
    <row r="96" spans="1:6" ht="24" customHeight="1" x14ac:dyDescent="0.25">
      <c r="A96" s="21">
        <v>3</v>
      </c>
      <c r="B96" s="48" t="s">
        <v>43</v>
      </c>
      <c r="C96" s="51">
        <v>258329973</v>
      </c>
      <c r="D96" s="51">
        <v>252436059</v>
      </c>
      <c r="E96" s="51">
        <v>245632213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7.4313944060453858</v>
      </c>
      <c r="D98" s="192">
        <f>IF(D104=0,0,(D101/D104)*100)</f>
        <v>10.936347677577931</v>
      </c>
      <c r="E98" s="192">
        <f>IF(E104=0,0,(E101/E104)*100)</f>
        <v>12.742056785112643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-6204066</v>
      </c>
      <c r="D99" s="51">
        <f>+D28</f>
        <v>208691</v>
      </c>
      <c r="E99" s="51">
        <f>+E28</f>
        <v>3239713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17180941</v>
      </c>
      <c r="D100" s="52">
        <f>+D76</f>
        <v>14606590</v>
      </c>
      <c r="E100" s="52">
        <f>+E76</f>
        <v>13478326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10976875</v>
      </c>
      <c r="D101" s="51">
        <f>+D99+D100</f>
        <v>14815281</v>
      </c>
      <c r="E101" s="51">
        <f>+E99+E100</f>
        <v>16718039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144522390</v>
      </c>
      <c r="D102" s="180">
        <f>+D69</f>
        <v>133521627</v>
      </c>
      <c r="E102" s="180">
        <f>+E69</f>
        <v>130542995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3187103</v>
      </c>
      <c r="D103" s="194">
        <v>1946643</v>
      </c>
      <c r="E103" s="194">
        <v>660619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147709493</v>
      </c>
      <c r="D104" s="180">
        <f>+D102+D103</f>
        <v>135468270</v>
      </c>
      <c r="E104" s="180">
        <f>+E102+E103</f>
        <v>131203614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-11.571281291189816</v>
      </c>
      <c r="D106" s="197">
        <f>IF(D109=0,0,(D107/D109)*100)</f>
        <v>-23.671395369113487</v>
      </c>
      <c r="E106" s="197">
        <f>IF(E109=0,0,(E107/E109)*100)</f>
        <v>-1.3836787159428674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3187103</v>
      </c>
      <c r="D107" s="180">
        <f>+D103</f>
        <v>1946643</v>
      </c>
      <c r="E107" s="180">
        <f>+E103</f>
        <v>660619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-30730319</v>
      </c>
      <c r="D108" s="180">
        <f>+D32</f>
        <v>-10170252</v>
      </c>
      <c r="E108" s="180">
        <f>+E32</f>
        <v>-48404289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-27543216</v>
      </c>
      <c r="D109" s="180">
        <f>+D107+D108</f>
        <v>-8223609</v>
      </c>
      <c r="E109" s="180">
        <f>+E107+E108</f>
        <v>-47743670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1.7226095215219728</v>
      </c>
      <c r="D111" s="197">
        <f>IF((+D113+D115)=0,0,((+D112+D113+D114)/(+D113+D115)))</f>
        <v>2.3034310851087918</v>
      </c>
      <c r="E111" s="197">
        <f>IF((+E113+E115)=0,0,((+E112+E113+E114)/(+E113+E115)))</f>
        <v>2.5492981253515472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-6204066</v>
      </c>
      <c r="D112" s="180">
        <f>+D17</f>
        <v>208691</v>
      </c>
      <c r="E112" s="180">
        <f>+E17</f>
        <v>3239713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4184261</v>
      </c>
      <c r="D113" s="180">
        <v>2904989</v>
      </c>
      <c r="E113" s="180">
        <v>2512441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17180941</v>
      </c>
      <c r="D114" s="180">
        <v>14606590</v>
      </c>
      <c r="E114" s="180">
        <v>13478326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4617000</v>
      </c>
      <c r="D115" s="180">
        <v>4788000</v>
      </c>
      <c r="E115" s="180">
        <v>5031000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18.965002790010164</v>
      </c>
      <c r="D119" s="197">
        <f>IF(+D121=0,0,(+D120)/(+D121))</f>
        <v>23.307505995581447</v>
      </c>
      <c r="E119" s="197">
        <f>IF(+E121=0,0,(+E120)/(+E121))</f>
        <v>26.124578972195806</v>
      </c>
    </row>
    <row r="120" spans="1:8" ht="24" customHeight="1" x14ac:dyDescent="0.25">
      <c r="A120" s="17">
        <v>21</v>
      </c>
      <c r="B120" s="48" t="s">
        <v>369</v>
      </c>
      <c r="C120" s="180">
        <v>325836594</v>
      </c>
      <c r="D120" s="180">
        <v>340443184</v>
      </c>
      <c r="E120" s="180">
        <v>352115592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17180941</v>
      </c>
      <c r="D121" s="180">
        <v>14606590</v>
      </c>
      <c r="E121" s="180">
        <v>13478326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130965</v>
      </c>
      <c r="D124" s="198">
        <v>124273</v>
      </c>
      <c r="E124" s="198">
        <v>121615</v>
      </c>
    </row>
    <row r="125" spans="1:8" ht="24" customHeight="1" x14ac:dyDescent="0.2">
      <c r="A125" s="44">
        <v>2</v>
      </c>
      <c r="B125" s="48" t="s">
        <v>373</v>
      </c>
      <c r="C125" s="198">
        <v>24505</v>
      </c>
      <c r="D125" s="198">
        <v>23924</v>
      </c>
      <c r="E125" s="198">
        <v>22801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5.34441950622322</v>
      </c>
      <c r="D126" s="199">
        <f>IF(D125=0,0,D124/D125)</f>
        <v>5.1944908878114031</v>
      </c>
      <c r="E126" s="199">
        <f>IF(E125=0,0,E124/E125)</f>
        <v>5.3337572913468705</v>
      </c>
    </row>
    <row r="127" spans="1:8" ht="24" customHeight="1" x14ac:dyDescent="0.2">
      <c r="A127" s="44">
        <v>4</v>
      </c>
      <c r="B127" s="48" t="s">
        <v>375</v>
      </c>
      <c r="C127" s="198">
        <v>417</v>
      </c>
      <c r="D127" s="198">
        <v>364</v>
      </c>
      <c r="E127" s="198">
        <v>369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489</v>
      </c>
      <c r="E128" s="198">
        <v>489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533</v>
      </c>
      <c r="D129" s="198">
        <v>533</v>
      </c>
      <c r="E129" s="198">
        <v>533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0.86040000000000005</v>
      </c>
      <c r="D130" s="171">
        <v>0.93530000000000002</v>
      </c>
      <c r="E130" s="171">
        <v>0.90290000000000004</v>
      </c>
    </row>
    <row r="131" spans="1:8" ht="24" customHeight="1" x14ac:dyDescent="0.2">
      <c r="A131" s="44">
        <v>7</v>
      </c>
      <c r="B131" s="48" t="s">
        <v>379</v>
      </c>
      <c r="C131" s="171">
        <v>0.73519999999999996</v>
      </c>
      <c r="D131" s="171">
        <v>0.69620000000000004</v>
      </c>
      <c r="E131" s="171">
        <v>0.68130000000000002</v>
      </c>
    </row>
    <row r="132" spans="1:8" ht="24" customHeight="1" x14ac:dyDescent="0.2">
      <c r="A132" s="44">
        <v>8</v>
      </c>
      <c r="B132" s="48" t="s">
        <v>380</v>
      </c>
      <c r="C132" s="199">
        <v>3038.9</v>
      </c>
      <c r="D132" s="199">
        <v>3106.1</v>
      </c>
      <c r="E132" s="199">
        <v>3128.2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0.32278164251781366</v>
      </c>
      <c r="D135" s="203">
        <f>IF(D149=0,0,D143/D149)</f>
        <v>0.30290188308972116</v>
      </c>
      <c r="E135" s="203">
        <f>IF(E149=0,0,E143/E149)</f>
        <v>0.27915173781127162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0.53029407603400291</v>
      </c>
      <c r="D136" s="203">
        <f>IF(D149=0,0,D144/D149)</f>
        <v>0.53437801197137902</v>
      </c>
      <c r="E136" s="203">
        <f>IF(E149=0,0,E144/E149)</f>
        <v>0.53980657085893169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8.816933817892951E-2</v>
      </c>
      <c r="D137" s="203">
        <f>IF(D149=0,0,D145/D149)</f>
        <v>0.11886742333076815</v>
      </c>
      <c r="E137" s="203">
        <f>IF(E149=0,0,E145/E149)</f>
        <v>0.1647830413160786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3.1000342489464622E-2</v>
      </c>
      <c r="D138" s="203">
        <f>IF(D149=0,0,D146/D149)</f>
        <v>1.9659820045169599E-2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2.6872314842444036E-2</v>
      </c>
      <c r="D139" s="203">
        <f>IF(D149=0,0,D147/D149)</f>
        <v>2.3167015930777267E-2</v>
      </c>
      <c r="E139" s="203">
        <f>IF(E149=0,0,E147/E149)</f>
        <v>1.477840050049155E-2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8.8228593734523823E-4</v>
      </c>
      <c r="D140" s="203">
        <f>IF(D149=0,0,D148/D149)</f>
        <v>1.0258456321848794E-3</v>
      </c>
      <c r="E140" s="203">
        <f>IF(E149=0,0,E148/E149)</f>
        <v>1.4802495132264866E-3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0.99999999999999978</v>
      </c>
      <c r="D141" s="203">
        <f>SUM(D135:D140)</f>
        <v>1.0000000000000002</v>
      </c>
      <c r="E141" s="203">
        <f>SUM(E135:E140)</f>
        <v>0.99999999999999978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399323804</v>
      </c>
      <c r="D143" s="205">
        <f>+D46-D147</f>
        <v>390098303</v>
      </c>
      <c r="E143" s="205">
        <f>+E46-E147</f>
        <v>382106004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656044272</v>
      </c>
      <c r="D144" s="205">
        <f>+D51</f>
        <v>688209507</v>
      </c>
      <c r="E144" s="205">
        <f>+E51</f>
        <v>738893239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109077193</v>
      </c>
      <c r="D145" s="205">
        <f>+D55</f>
        <v>153085810</v>
      </c>
      <c r="E145" s="205">
        <f>+E55</f>
        <v>225556860</v>
      </c>
    </row>
    <row r="146" spans="1:7" ht="20.100000000000001" customHeight="1" x14ac:dyDescent="0.2">
      <c r="A146" s="202">
        <v>11</v>
      </c>
      <c r="B146" s="201" t="s">
        <v>392</v>
      </c>
      <c r="C146" s="204">
        <v>38351545</v>
      </c>
      <c r="D146" s="205">
        <v>25319296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33244626</v>
      </c>
      <c r="D147" s="205">
        <f>+D47</f>
        <v>29836109</v>
      </c>
      <c r="E147" s="205">
        <f>+E47</f>
        <v>20228839</v>
      </c>
    </row>
    <row r="148" spans="1:7" ht="20.100000000000001" customHeight="1" x14ac:dyDescent="0.2">
      <c r="A148" s="202">
        <v>13</v>
      </c>
      <c r="B148" s="201" t="s">
        <v>394</v>
      </c>
      <c r="C148" s="206">
        <v>1091505</v>
      </c>
      <c r="D148" s="205">
        <v>1321156</v>
      </c>
      <c r="E148" s="205">
        <v>2026182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1237132945</v>
      </c>
      <c r="D149" s="205">
        <f>SUM(D143:D148)</f>
        <v>1287870181</v>
      </c>
      <c r="E149" s="205">
        <f>SUM(E143:E148)</f>
        <v>1368811124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0.40673919913200596</v>
      </c>
      <c r="D152" s="203">
        <f>IF(D166=0,0,D160/D166)</f>
        <v>0.3986765139801165</v>
      </c>
      <c r="E152" s="203">
        <f>IF(E166=0,0,E160/E166)</f>
        <v>0.37308040041885349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0.50089101152293181</v>
      </c>
      <c r="D153" s="203">
        <f>IF(D166=0,0,D161/D166)</f>
        <v>0.49781647847048693</v>
      </c>
      <c r="E153" s="203">
        <f>IF(E166=0,0,E161/E166)</f>
        <v>0.49109498355294506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7.0616331121191742E-2</v>
      </c>
      <c r="D154" s="203">
        <f>IF(D166=0,0,D162/D166)</f>
        <v>8.4359236242681254E-2</v>
      </c>
      <c r="E154" s="203">
        <f>IF(E166=0,0,E162/E166)</f>
        <v>0.12321421146795944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9.4653358008023585E-3</v>
      </c>
      <c r="D155" s="203">
        <f>IF(D166=0,0,D163/D166)</f>
        <v>7.3237615282535752E-3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1.1316422153168167E-2</v>
      </c>
      <c r="D156" s="203">
        <f>IF(D166=0,0,D164/D166)</f>
        <v>1.0951737408212692E-2</v>
      </c>
      <c r="E156" s="203">
        <f>IF(E166=0,0,E164/E166)</f>
        <v>1.1403506087271427E-2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9.7170026989995691E-4</v>
      </c>
      <c r="D157" s="203">
        <f>IF(D166=0,0,D165/D166)</f>
        <v>8.7227237024902339E-4</v>
      </c>
      <c r="E157" s="203">
        <f>IF(E166=0,0,E165/E166)</f>
        <v>1.2068984729705918E-3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1</v>
      </c>
      <c r="D158" s="203">
        <f>SUM(D152:D157)</f>
        <v>0.99999999999999989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178783532</v>
      </c>
      <c r="D160" s="208">
        <f>+D44-D164</f>
        <v>178173323</v>
      </c>
      <c r="E160" s="208">
        <f>+E44-E164</f>
        <v>170783805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220168266</v>
      </c>
      <c r="D161" s="208">
        <f>+D50</f>
        <v>222480164</v>
      </c>
      <c r="E161" s="208">
        <f>+E50</f>
        <v>224806958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31039637</v>
      </c>
      <c r="D162" s="208">
        <f>+D54</f>
        <v>37701156</v>
      </c>
      <c r="E162" s="208">
        <f>+E54</f>
        <v>56403370</v>
      </c>
    </row>
    <row r="163" spans="1:6" ht="20.100000000000001" customHeight="1" x14ac:dyDescent="0.2">
      <c r="A163" s="202">
        <v>11</v>
      </c>
      <c r="B163" s="201" t="s">
        <v>408</v>
      </c>
      <c r="C163" s="207">
        <v>4160519</v>
      </c>
      <c r="D163" s="208">
        <v>3273077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4974170</v>
      </c>
      <c r="D164" s="208">
        <f>+D45</f>
        <v>4894463</v>
      </c>
      <c r="E164" s="208">
        <f>+E45</f>
        <v>5220146</v>
      </c>
    </row>
    <row r="165" spans="1:6" ht="20.100000000000001" customHeight="1" x14ac:dyDescent="0.2">
      <c r="A165" s="202">
        <v>13</v>
      </c>
      <c r="B165" s="201" t="s">
        <v>410</v>
      </c>
      <c r="C165" s="209">
        <v>427114</v>
      </c>
      <c r="D165" s="208">
        <v>389829</v>
      </c>
      <c r="E165" s="208">
        <v>552478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439553238</v>
      </c>
      <c r="D166" s="208">
        <f>SUM(D160:D165)</f>
        <v>446912012</v>
      </c>
      <c r="E166" s="208">
        <f>SUM(E160:E165)</f>
        <v>457766757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7800</v>
      </c>
      <c r="D169" s="198">
        <v>7077</v>
      </c>
      <c r="E169" s="198">
        <v>6161</v>
      </c>
    </row>
    <row r="170" spans="1:6" ht="20.100000000000001" customHeight="1" x14ac:dyDescent="0.2">
      <c r="A170" s="202">
        <v>2</v>
      </c>
      <c r="B170" s="201" t="s">
        <v>414</v>
      </c>
      <c r="C170" s="198">
        <v>13225</v>
      </c>
      <c r="D170" s="198">
        <v>13102</v>
      </c>
      <c r="E170" s="198">
        <v>12686</v>
      </c>
    </row>
    <row r="171" spans="1:6" ht="20.100000000000001" customHeight="1" x14ac:dyDescent="0.2">
      <c r="A171" s="202">
        <v>3</v>
      </c>
      <c r="B171" s="201" t="s">
        <v>415</v>
      </c>
      <c r="C171" s="198">
        <v>3447</v>
      </c>
      <c r="D171" s="198">
        <v>3711</v>
      </c>
      <c r="E171" s="198">
        <v>3916</v>
      </c>
    </row>
    <row r="172" spans="1:6" ht="20.100000000000001" customHeight="1" x14ac:dyDescent="0.2">
      <c r="A172" s="202">
        <v>4</v>
      </c>
      <c r="B172" s="201" t="s">
        <v>416</v>
      </c>
      <c r="C172" s="198">
        <v>2704</v>
      </c>
      <c r="D172" s="198">
        <v>3298</v>
      </c>
      <c r="E172" s="198">
        <v>3916</v>
      </c>
    </row>
    <row r="173" spans="1:6" ht="20.100000000000001" customHeight="1" x14ac:dyDescent="0.2">
      <c r="A173" s="202">
        <v>5</v>
      </c>
      <c r="B173" s="201" t="s">
        <v>417</v>
      </c>
      <c r="C173" s="198">
        <v>743</v>
      </c>
      <c r="D173" s="198">
        <v>413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33</v>
      </c>
      <c r="D174" s="198">
        <v>34</v>
      </c>
      <c r="E174" s="198">
        <v>38</v>
      </c>
    </row>
    <row r="175" spans="1:6" ht="20.100000000000001" customHeight="1" x14ac:dyDescent="0.2">
      <c r="A175" s="202">
        <v>7</v>
      </c>
      <c r="B175" s="201" t="s">
        <v>419</v>
      </c>
      <c r="C175" s="198">
        <v>405</v>
      </c>
      <c r="D175" s="198">
        <v>271</v>
      </c>
      <c r="E175" s="198">
        <v>113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24505</v>
      </c>
      <c r="D176" s="198">
        <f>+D169+D170+D171+D174</f>
        <v>23924</v>
      </c>
      <c r="E176" s="198">
        <f>+E169+E170+E171+E174</f>
        <v>22801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1.4219999999999999</v>
      </c>
      <c r="D179" s="210">
        <v>1.3996</v>
      </c>
      <c r="E179" s="210">
        <v>1.44998</v>
      </c>
    </row>
    <row r="180" spans="1:6" ht="20.100000000000001" customHeight="1" x14ac:dyDescent="0.2">
      <c r="A180" s="202">
        <v>2</v>
      </c>
      <c r="B180" s="201" t="s">
        <v>414</v>
      </c>
      <c r="C180" s="210">
        <v>1.6104000000000001</v>
      </c>
      <c r="D180" s="210">
        <v>1.5818000000000001</v>
      </c>
      <c r="E180" s="210">
        <v>1.59995</v>
      </c>
    </row>
    <row r="181" spans="1:6" ht="20.100000000000001" customHeight="1" x14ac:dyDescent="0.2">
      <c r="A181" s="202">
        <v>3</v>
      </c>
      <c r="B181" s="201" t="s">
        <v>415</v>
      </c>
      <c r="C181" s="210">
        <v>0.98089300000000001</v>
      </c>
      <c r="D181" s="210">
        <v>0.98738400000000004</v>
      </c>
      <c r="E181" s="210">
        <v>1.06264</v>
      </c>
    </row>
    <row r="182" spans="1:6" ht="20.100000000000001" customHeight="1" x14ac:dyDescent="0.2">
      <c r="A182" s="202">
        <v>4</v>
      </c>
      <c r="B182" s="201" t="s">
        <v>416</v>
      </c>
      <c r="C182" s="210">
        <v>0.92469999999999997</v>
      </c>
      <c r="D182" s="210">
        <v>0.96240000000000003</v>
      </c>
      <c r="E182" s="210">
        <v>1.06264</v>
      </c>
    </row>
    <row r="183" spans="1:6" ht="20.100000000000001" customHeight="1" x14ac:dyDescent="0.2">
      <c r="A183" s="202">
        <v>5</v>
      </c>
      <c r="B183" s="201" t="s">
        <v>417</v>
      </c>
      <c r="C183" s="210">
        <v>1.1854</v>
      </c>
      <c r="D183" s="210">
        <v>1.1869000000000001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0.78659999999999997</v>
      </c>
      <c r="D184" s="210">
        <v>0.87529999999999997</v>
      </c>
      <c r="E184" s="210">
        <v>1.15724</v>
      </c>
    </row>
    <row r="185" spans="1:6" ht="20.100000000000001" customHeight="1" x14ac:dyDescent="0.2">
      <c r="A185" s="202">
        <v>7</v>
      </c>
      <c r="B185" s="201" t="s">
        <v>419</v>
      </c>
      <c r="C185" s="210">
        <v>1.0482</v>
      </c>
      <c r="D185" s="210">
        <v>1.226</v>
      </c>
      <c r="E185" s="210">
        <v>1.2416199999999999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1.460772</v>
      </c>
      <c r="D186" s="210">
        <v>1.4346950000000001</v>
      </c>
      <c r="E186" s="210">
        <v>1.466407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14540</v>
      </c>
      <c r="D189" s="198">
        <v>14506</v>
      </c>
      <c r="E189" s="198">
        <v>13907</v>
      </c>
    </row>
    <row r="190" spans="1:6" ht="20.100000000000001" customHeight="1" x14ac:dyDescent="0.2">
      <c r="A190" s="202">
        <v>2</v>
      </c>
      <c r="B190" s="201" t="s">
        <v>427</v>
      </c>
      <c r="C190" s="198">
        <v>38833</v>
      </c>
      <c r="D190" s="198">
        <v>41101</v>
      </c>
      <c r="E190" s="198">
        <v>44323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53373</v>
      </c>
      <c r="D191" s="198">
        <f>+D190+D189</f>
        <v>55607</v>
      </c>
      <c r="E191" s="198">
        <f>+E190+E189</f>
        <v>58230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FILING&amp;RHOSPITAL OF SAINT RAPHAEL</oddHeader>
    <oddFooter>&amp;L&amp;8REPORT 185&amp;C&amp;8PAGE &amp;P of &amp;N&amp;R&amp;D,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6519330</v>
      </c>
      <c r="D14" s="237">
        <v>8574602</v>
      </c>
      <c r="E14" s="237">
        <f t="shared" ref="E14:E24" si="0">D14-C14</f>
        <v>2055272</v>
      </c>
      <c r="F14" s="238">
        <f t="shared" ref="F14:F24" si="1">IF(C14=0,0,E14/C14)</f>
        <v>0.3152581630320907</v>
      </c>
    </row>
    <row r="15" spans="1:7" ht="20.25" customHeight="1" x14ac:dyDescent="0.3">
      <c r="A15" s="235">
        <v>2</v>
      </c>
      <c r="B15" s="236" t="s">
        <v>435</v>
      </c>
      <c r="C15" s="237">
        <v>2168531</v>
      </c>
      <c r="D15" s="237">
        <v>2732122</v>
      </c>
      <c r="E15" s="237">
        <f t="shared" si="0"/>
        <v>563591</v>
      </c>
      <c r="F15" s="238">
        <f t="shared" si="1"/>
        <v>0.25989529317312043</v>
      </c>
    </row>
    <row r="16" spans="1:7" ht="20.25" customHeight="1" x14ac:dyDescent="0.3">
      <c r="A16" s="235">
        <v>3</v>
      </c>
      <c r="B16" s="236" t="s">
        <v>436</v>
      </c>
      <c r="C16" s="237">
        <v>1474285</v>
      </c>
      <c r="D16" s="237">
        <v>2498731</v>
      </c>
      <c r="E16" s="237">
        <f t="shared" si="0"/>
        <v>1024446</v>
      </c>
      <c r="F16" s="238">
        <f t="shared" si="1"/>
        <v>0.69487649945566832</v>
      </c>
    </row>
    <row r="17" spans="1:6" ht="20.25" customHeight="1" x14ac:dyDescent="0.3">
      <c r="A17" s="235">
        <v>4</v>
      </c>
      <c r="B17" s="236" t="s">
        <v>437</v>
      </c>
      <c r="C17" s="237">
        <v>475252</v>
      </c>
      <c r="D17" s="237">
        <v>925083</v>
      </c>
      <c r="E17" s="237">
        <f t="shared" si="0"/>
        <v>449831</v>
      </c>
      <c r="F17" s="238">
        <f t="shared" si="1"/>
        <v>0.9465104828596197</v>
      </c>
    </row>
    <row r="18" spans="1:6" ht="20.25" customHeight="1" x14ac:dyDescent="0.3">
      <c r="A18" s="235">
        <v>5</v>
      </c>
      <c r="B18" s="236" t="s">
        <v>373</v>
      </c>
      <c r="C18" s="239">
        <v>174</v>
      </c>
      <c r="D18" s="239">
        <v>194</v>
      </c>
      <c r="E18" s="239">
        <f t="shared" si="0"/>
        <v>20</v>
      </c>
      <c r="F18" s="238">
        <f t="shared" si="1"/>
        <v>0.11494252873563218</v>
      </c>
    </row>
    <row r="19" spans="1:6" ht="20.25" customHeight="1" x14ac:dyDescent="0.3">
      <c r="A19" s="235">
        <v>6</v>
      </c>
      <c r="B19" s="236" t="s">
        <v>372</v>
      </c>
      <c r="C19" s="239">
        <v>835</v>
      </c>
      <c r="D19" s="239">
        <v>968</v>
      </c>
      <c r="E19" s="239">
        <f t="shared" si="0"/>
        <v>133</v>
      </c>
      <c r="F19" s="238">
        <f t="shared" si="1"/>
        <v>0.15928143712574849</v>
      </c>
    </row>
    <row r="20" spans="1:6" ht="20.25" customHeight="1" x14ac:dyDescent="0.3">
      <c r="A20" s="235">
        <v>7</v>
      </c>
      <c r="B20" s="236" t="s">
        <v>438</v>
      </c>
      <c r="C20" s="239">
        <v>268</v>
      </c>
      <c r="D20" s="239">
        <v>299</v>
      </c>
      <c r="E20" s="239">
        <f t="shared" si="0"/>
        <v>31</v>
      </c>
      <c r="F20" s="238">
        <f t="shared" si="1"/>
        <v>0.11567164179104478</v>
      </c>
    </row>
    <row r="21" spans="1:6" ht="20.25" customHeight="1" x14ac:dyDescent="0.3">
      <c r="A21" s="235">
        <v>8</v>
      </c>
      <c r="B21" s="236" t="s">
        <v>439</v>
      </c>
      <c r="C21" s="239">
        <v>56</v>
      </c>
      <c r="D21" s="239">
        <v>84</v>
      </c>
      <c r="E21" s="239">
        <f t="shared" si="0"/>
        <v>28</v>
      </c>
      <c r="F21" s="238">
        <f t="shared" si="1"/>
        <v>0.5</v>
      </c>
    </row>
    <row r="22" spans="1:6" ht="20.25" customHeight="1" x14ac:dyDescent="0.3">
      <c r="A22" s="235">
        <v>9</v>
      </c>
      <c r="B22" s="236" t="s">
        <v>440</v>
      </c>
      <c r="C22" s="239">
        <v>117</v>
      </c>
      <c r="D22" s="239">
        <v>121</v>
      </c>
      <c r="E22" s="239">
        <f t="shared" si="0"/>
        <v>4</v>
      </c>
      <c r="F22" s="238">
        <f t="shared" si="1"/>
        <v>3.4188034188034191E-2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7993615</v>
      </c>
      <c r="D23" s="243">
        <f>+D14+D16</f>
        <v>11073333</v>
      </c>
      <c r="E23" s="243">
        <f t="shared" si="0"/>
        <v>3079718</v>
      </c>
      <c r="F23" s="244">
        <f t="shared" si="1"/>
        <v>0.38527224541086857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2643783</v>
      </c>
      <c r="D24" s="243">
        <f>+D15+D17</f>
        <v>3657205</v>
      </c>
      <c r="E24" s="243">
        <f t="shared" si="0"/>
        <v>1013422</v>
      </c>
      <c r="F24" s="244">
        <f t="shared" si="1"/>
        <v>0.38332268571210271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11374852</v>
      </c>
      <c r="D40" s="237">
        <v>23086622</v>
      </c>
      <c r="E40" s="237">
        <f t="shared" ref="E40:E50" si="4">D40-C40</f>
        <v>11711770</v>
      </c>
      <c r="F40" s="238">
        <f t="shared" ref="F40:F50" si="5">IF(C40=0,0,E40/C40)</f>
        <v>1.0296195502148071</v>
      </c>
    </row>
    <row r="41" spans="1:6" ht="20.25" customHeight="1" x14ac:dyDescent="0.3">
      <c r="A41" s="235">
        <v>2</v>
      </c>
      <c r="B41" s="236" t="s">
        <v>435</v>
      </c>
      <c r="C41" s="237">
        <v>3861498</v>
      </c>
      <c r="D41" s="237">
        <v>7107839</v>
      </c>
      <c r="E41" s="237">
        <f t="shared" si="4"/>
        <v>3246341</v>
      </c>
      <c r="F41" s="238">
        <f t="shared" si="5"/>
        <v>0.84069472520767852</v>
      </c>
    </row>
    <row r="42" spans="1:6" ht="20.25" customHeight="1" x14ac:dyDescent="0.3">
      <c r="A42" s="235">
        <v>3</v>
      </c>
      <c r="B42" s="236" t="s">
        <v>436</v>
      </c>
      <c r="C42" s="237">
        <v>3410500</v>
      </c>
      <c r="D42" s="237">
        <v>6835526</v>
      </c>
      <c r="E42" s="237">
        <f t="shared" si="4"/>
        <v>3425026</v>
      </c>
      <c r="F42" s="238">
        <f t="shared" si="5"/>
        <v>1.0042591995308605</v>
      </c>
    </row>
    <row r="43" spans="1:6" ht="20.25" customHeight="1" x14ac:dyDescent="0.3">
      <c r="A43" s="235">
        <v>4</v>
      </c>
      <c r="B43" s="236" t="s">
        <v>437</v>
      </c>
      <c r="C43" s="237">
        <v>957583</v>
      </c>
      <c r="D43" s="237">
        <v>1897491</v>
      </c>
      <c r="E43" s="237">
        <f t="shared" si="4"/>
        <v>939908</v>
      </c>
      <c r="F43" s="238">
        <f t="shared" si="5"/>
        <v>0.98154206998244542</v>
      </c>
    </row>
    <row r="44" spans="1:6" ht="20.25" customHeight="1" x14ac:dyDescent="0.3">
      <c r="A44" s="235">
        <v>5</v>
      </c>
      <c r="B44" s="236" t="s">
        <v>373</v>
      </c>
      <c r="C44" s="239">
        <v>272</v>
      </c>
      <c r="D44" s="239">
        <v>493</v>
      </c>
      <c r="E44" s="239">
        <f t="shared" si="4"/>
        <v>221</v>
      </c>
      <c r="F44" s="238">
        <f t="shared" si="5"/>
        <v>0.8125</v>
      </c>
    </row>
    <row r="45" spans="1:6" ht="20.25" customHeight="1" x14ac:dyDescent="0.3">
      <c r="A45" s="235">
        <v>6</v>
      </c>
      <c r="B45" s="236" t="s">
        <v>372</v>
      </c>
      <c r="C45" s="239">
        <v>1336</v>
      </c>
      <c r="D45" s="239">
        <v>2463</v>
      </c>
      <c r="E45" s="239">
        <f t="shared" si="4"/>
        <v>1127</v>
      </c>
      <c r="F45" s="238">
        <f t="shared" si="5"/>
        <v>0.84356287425149701</v>
      </c>
    </row>
    <row r="46" spans="1:6" ht="20.25" customHeight="1" x14ac:dyDescent="0.3">
      <c r="A46" s="235">
        <v>7</v>
      </c>
      <c r="B46" s="236" t="s">
        <v>438</v>
      </c>
      <c r="C46" s="239">
        <v>423</v>
      </c>
      <c r="D46" s="239">
        <v>691</v>
      </c>
      <c r="E46" s="239">
        <f t="shared" si="4"/>
        <v>268</v>
      </c>
      <c r="F46" s="238">
        <f t="shared" si="5"/>
        <v>0.6335697399527187</v>
      </c>
    </row>
    <row r="47" spans="1:6" ht="20.25" customHeight="1" x14ac:dyDescent="0.3">
      <c r="A47" s="235">
        <v>8</v>
      </c>
      <c r="B47" s="236" t="s">
        <v>439</v>
      </c>
      <c r="C47" s="239">
        <v>96</v>
      </c>
      <c r="D47" s="239">
        <v>264</v>
      </c>
      <c r="E47" s="239">
        <f t="shared" si="4"/>
        <v>168</v>
      </c>
      <c r="F47" s="238">
        <f t="shared" si="5"/>
        <v>1.75</v>
      </c>
    </row>
    <row r="48" spans="1:6" ht="20.25" customHeight="1" x14ac:dyDescent="0.3">
      <c r="A48" s="235">
        <v>9</v>
      </c>
      <c r="B48" s="236" t="s">
        <v>440</v>
      </c>
      <c r="C48" s="239">
        <v>158</v>
      </c>
      <c r="D48" s="239">
        <v>283</v>
      </c>
      <c r="E48" s="239">
        <f t="shared" si="4"/>
        <v>125</v>
      </c>
      <c r="F48" s="238">
        <f t="shared" si="5"/>
        <v>0.79113924050632911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14785352</v>
      </c>
      <c r="D49" s="243">
        <f>+D40+D42</f>
        <v>29922148</v>
      </c>
      <c r="E49" s="243">
        <f t="shared" si="4"/>
        <v>15136796</v>
      </c>
      <c r="F49" s="244">
        <f t="shared" si="5"/>
        <v>1.0237697418363796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4819081</v>
      </c>
      <c r="D50" s="243">
        <f>+D41+D43</f>
        <v>9005330</v>
      </c>
      <c r="E50" s="243">
        <f t="shared" si="4"/>
        <v>4186249</v>
      </c>
      <c r="F50" s="244">
        <f t="shared" si="5"/>
        <v>0.86868201634295006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69263792</v>
      </c>
      <c r="D53" s="237">
        <v>17019115</v>
      </c>
      <c r="E53" s="237">
        <f t="shared" ref="E53:E63" si="6">D53-C53</f>
        <v>-52244677</v>
      </c>
      <c r="F53" s="238">
        <f t="shared" ref="F53:F63" si="7">IF(C53=0,0,E53/C53)</f>
        <v>-0.75428554359253097</v>
      </c>
    </row>
    <row r="54" spans="1:6" ht="20.25" customHeight="1" x14ac:dyDescent="0.3">
      <c r="A54" s="235">
        <v>2</v>
      </c>
      <c r="B54" s="236" t="s">
        <v>435</v>
      </c>
      <c r="C54" s="237">
        <v>22543644</v>
      </c>
      <c r="D54" s="237">
        <v>5409897</v>
      </c>
      <c r="E54" s="237">
        <f t="shared" si="6"/>
        <v>-17133747</v>
      </c>
      <c r="F54" s="238">
        <f t="shared" si="7"/>
        <v>-0.76002561963806736</v>
      </c>
    </row>
    <row r="55" spans="1:6" ht="20.25" customHeight="1" x14ac:dyDescent="0.3">
      <c r="A55" s="235">
        <v>3</v>
      </c>
      <c r="B55" s="236" t="s">
        <v>436</v>
      </c>
      <c r="C55" s="237">
        <v>17071502</v>
      </c>
      <c r="D55" s="237">
        <v>5370123</v>
      </c>
      <c r="E55" s="237">
        <f t="shared" si="6"/>
        <v>-11701379</v>
      </c>
      <c r="F55" s="238">
        <f t="shared" si="7"/>
        <v>-0.68543347855390813</v>
      </c>
    </row>
    <row r="56" spans="1:6" ht="20.25" customHeight="1" x14ac:dyDescent="0.3">
      <c r="A56" s="235">
        <v>4</v>
      </c>
      <c r="B56" s="236" t="s">
        <v>437</v>
      </c>
      <c r="C56" s="237">
        <v>4895896</v>
      </c>
      <c r="D56" s="237">
        <v>1422695</v>
      </c>
      <c r="E56" s="237">
        <f t="shared" si="6"/>
        <v>-3473201</v>
      </c>
      <c r="F56" s="238">
        <f t="shared" si="7"/>
        <v>-0.70941069826646641</v>
      </c>
    </row>
    <row r="57" spans="1:6" ht="20.25" customHeight="1" x14ac:dyDescent="0.3">
      <c r="A57" s="235">
        <v>5</v>
      </c>
      <c r="B57" s="236" t="s">
        <v>373</v>
      </c>
      <c r="C57" s="239">
        <v>1607</v>
      </c>
      <c r="D57" s="239">
        <v>371</v>
      </c>
      <c r="E57" s="239">
        <f t="shared" si="6"/>
        <v>-1236</v>
      </c>
      <c r="F57" s="238">
        <f t="shared" si="7"/>
        <v>-0.76913503422526441</v>
      </c>
    </row>
    <row r="58" spans="1:6" ht="20.25" customHeight="1" x14ac:dyDescent="0.3">
      <c r="A58" s="235">
        <v>6</v>
      </c>
      <c r="B58" s="236" t="s">
        <v>372</v>
      </c>
      <c r="C58" s="239">
        <v>8750</v>
      </c>
      <c r="D58" s="239">
        <v>2098</v>
      </c>
      <c r="E58" s="239">
        <f t="shared" si="6"/>
        <v>-6652</v>
      </c>
      <c r="F58" s="238">
        <f t="shared" si="7"/>
        <v>-0.76022857142857148</v>
      </c>
    </row>
    <row r="59" spans="1:6" ht="20.25" customHeight="1" x14ac:dyDescent="0.3">
      <c r="A59" s="235">
        <v>7</v>
      </c>
      <c r="B59" s="236" t="s">
        <v>438</v>
      </c>
      <c r="C59" s="239">
        <v>2155</v>
      </c>
      <c r="D59" s="239">
        <v>526</v>
      </c>
      <c r="E59" s="239">
        <f t="shared" si="6"/>
        <v>-1629</v>
      </c>
      <c r="F59" s="238">
        <f t="shared" si="7"/>
        <v>-0.75591647331786538</v>
      </c>
    </row>
    <row r="60" spans="1:6" ht="20.25" customHeight="1" x14ac:dyDescent="0.3">
      <c r="A60" s="235">
        <v>8</v>
      </c>
      <c r="B60" s="236" t="s">
        <v>439</v>
      </c>
      <c r="C60" s="239">
        <v>716</v>
      </c>
      <c r="D60" s="239">
        <v>201</v>
      </c>
      <c r="E60" s="239">
        <f t="shared" si="6"/>
        <v>-515</v>
      </c>
      <c r="F60" s="238">
        <f t="shared" si="7"/>
        <v>-0.71927374301675973</v>
      </c>
    </row>
    <row r="61" spans="1:6" ht="20.25" customHeight="1" x14ac:dyDescent="0.3">
      <c r="A61" s="235">
        <v>9</v>
      </c>
      <c r="B61" s="236" t="s">
        <v>440</v>
      </c>
      <c r="C61" s="239">
        <v>1071</v>
      </c>
      <c r="D61" s="239">
        <v>229</v>
      </c>
      <c r="E61" s="239">
        <f t="shared" si="6"/>
        <v>-842</v>
      </c>
      <c r="F61" s="238">
        <f t="shared" si="7"/>
        <v>-0.78618113912231558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86335294</v>
      </c>
      <c r="D62" s="243">
        <f>+D53+D55</f>
        <v>22389238</v>
      </c>
      <c r="E62" s="243">
        <f t="shared" si="6"/>
        <v>-63946056</v>
      </c>
      <c r="F62" s="244">
        <f t="shared" si="7"/>
        <v>-0.7406710863809649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27439540</v>
      </c>
      <c r="D63" s="243">
        <f>+D54+D56</f>
        <v>6832592</v>
      </c>
      <c r="E63" s="243">
        <f t="shared" si="6"/>
        <v>-20606948</v>
      </c>
      <c r="F63" s="244">
        <f t="shared" si="7"/>
        <v>-0.75099465953146449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1468933</v>
      </c>
      <c r="D66" s="237">
        <v>918922</v>
      </c>
      <c r="E66" s="237">
        <f t="shared" ref="E66:E76" si="8">D66-C66</f>
        <v>-550011</v>
      </c>
      <c r="F66" s="238">
        <f t="shared" ref="F66:F76" si="9">IF(C66=0,0,E66/C66)</f>
        <v>-0.37442892221769136</v>
      </c>
    </row>
    <row r="67" spans="1:6" ht="20.25" customHeight="1" x14ac:dyDescent="0.3">
      <c r="A67" s="235">
        <v>2</v>
      </c>
      <c r="B67" s="236" t="s">
        <v>435</v>
      </c>
      <c r="C67" s="237">
        <v>413388</v>
      </c>
      <c r="D67" s="237">
        <v>355225</v>
      </c>
      <c r="E67" s="237">
        <f t="shared" si="8"/>
        <v>-58163</v>
      </c>
      <c r="F67" s="238">
        <f t="shared" si="9"/>
        <v>-0.14069832699546189</v>
      </c>
    </row>
    <row r="68" spans="1:6" ht="20.25" customHeight="1" x14ac:dyDescent="0.3">
      <c r="A68" s="235">
        <v>3</v>
      </c>
      <c r="B68" s="236" t="s">
        <v>436</v>
      </c>
      <c r="C68" s="237">
        <v>687396</v>
      </c>
      <c r="D68" s="237">
        <v>314393</v>
      </c>
      <c r="E68" s="237">
        <f t="shared" si="8"/>
        <v>-373003</v>
      </c>
      <c r="F68" s="238">
        <f t="shared" si="9"/>
        <v>-0.54263190358977942</v>
      </c>
    </row>
    <row r="69" spans="1:6" ht="20.25" customHeight="1" x14ac:dyDescent="0.3">
      <c r="A69" s="235">
        <v>4</v>
      </c>
      <c r="B69" s="236" t="s">
        <v>437</v>
      </c>
      <c r="C69" s="237">
        <v>174936</v>
      </c>
      <c r="D69" s="237">
        <v>75602</v>
      </c>
      <c r="E69" s="237">
        <f t="shared" si="8"/>
        <v>-99334</v>
      </c>
      <c r="F69" s="238">
        <f t="shared" si="9"/>
        <v>-0.56783052087620611</v>
      </c>
    </row>
    <row r="70" spans="1:6" ht="20.25" customHeight="1" x14ac:dyDescent="0.3">
      <c r="A70" s="235">
        <v>5</v>
      </c>
      <c r="B70" s="236" t="s">
        <v>373</v>
      </c>
      <c r="C70" s="239">
        <v>29</v>
      </c>
      <c r="D70" s="239">
        <v>26</v>
      </c>
      <c r="E70" s="239">
        <f t="shared" si="8"/>
        <v>-3</v>
      </c>
      <c r="F70" s="238">
        <f t="shared" si="9"/>
        <v>-0.10344827586206896</v>
      </c>
    </row>
    <row r="71" spans="1:6" ht="20.25" customHeight="1" x14ac:dyDescent="0.3">
      <c r="A71" s="235">
        <v>6</v>
      </c>
      <c r="B71" s="236" t="s">
        <v>372</v>
      </c>
      <c r="C71" s="239">
        <v>197</v>
      </c>
      <c r="D71" s="239">
        <v>235</v>
      </c>
      <c r="E71" s="239">
        <f t="shared" si="8"/>
        <v>38</v>
      </c>
      <c r="F71" s="238">
        <f t="shared" si="9"/>
        <v>0.19289340101522842</v>
      </c>
    </row>
    <row r="72" spans="1:6" ht="20.25" customHeight="1" x14ac:dyDescent="0.3">
      <c r="A72" s="235">
        <v>7</v>
      </c>
      <c r="B72" s="236" t="s">
        <v>438</v>
      </c>
      <c r="C72" s="239">
        <v>108</v>
      </c>
      <c r="D72" s="239">
        <v>34</v>
      </c>
      <c r="E72" s="239">
        <f t="shared" si="8"/>
        <v>-74</v>
      </c>
      <c r="F72" s="238">
        <f t="shared" si="9"/>
        <v>-0.68518518518518523</v>
      </c>
    </row>
    <row r="73" spans="1:6" ht="20.25" customHeight="1" x14ac:dyDescent="0.3">
      <c r="A73" s="235">
        <v>8</v>
      </c>
      <c r="B73" s="236" t="s">
        <v>439</v>
      </c>
      <c r="C73" s="239">
        <v>57</v>
      </c>
      <c r="D73" s="239">
        <v>43</v>
      </c>
      <c r="E73" s="239">
        <f t="shared" si="8"/>
        <v>-14</v>
      </c>
      <c r="F73" s="238">
        <f t="shared" si="9"/>
        <v>-0.24561403508771928</v>
      </c>
    </row>
    <row r="74" spans="1:6" ht="20.25" customHeight="1" x14ac:dyDescent="0.3">
      <c r="A74" s="235">
        <v>9</v>
      </c>
      <c r="B74" s="236" t="s">
        <v>440</v>
      </c>
      <c r="C74" s="239">
        <v>21</v>
      </c>
      <c r="D74" s="239">
        <v>24</v>
      </c>
      <c r="E74" s="239">
        <f t="shared" si="8"/>
        <v>3</v>
      </c>
      <c r="F74" s="238">
        <f t="shared" si="9"/>
        <v>0.14285714285714285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2156329</v>
      </c>
      <c r="D75" s="243">
        <f>+D66+D68</f>
        <v>1233315</v>
      </c>
      <c r="E75" s="243">
        <f t="shared" si="8"/>
        <v>-923014</v>
      </c>
      <c r="F75" s="244">
        <f t="shared" si="9"/>
        <v>-0.42804878105335503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588324</v>
      </c>
      <c r="D76" s="243">
        <f>+D67+D69</f>
        <v>430827</v>
      </c>
      <c r="E76" s="243">
        <f t="shared" si="8"/>
        <v>-157497</v>
      </c>
      <c r="F76" s="244">
        <f t="shared" si="9"/>
        <v>-0.26770453015685236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9293927</v>
      </c>
      <c r="D79" s="237">
        <v>12397234</v>
      </c>
      <c r="E79" s="237">
        <f t="shared" ref="E79:E89" si="10">D79-C79</f>
        <v>3103307</v>
      </c>
      <c r="F79" s="238">
        <f t="shared" ref="F79:F89" si="11">IF(C79=0,0,E79/C79)</f>
        <v>0.33390696957271132</v>
      </c>
    </row>
    <row r="80" spans="1:6" ht="20.25" customHeight="1" x14ac:dyDescent="0.3">
      <c r="A80" s="235">
        <v>2</v>
      </c>
      <c r="B80" s="236" t="s">
        <v>435</v>
      </c>
      <c r="C80" s="237">
        <v>3095501</v>
      </c>
      <c r="D80" s="237">
        <v>3705135</v>
      </c>
      <c r="E80" s="237">
        <f t="shared" si="10"/>
        <v>609634</v>
      </c>
      <c r="F80" s="238">
        <f t="shared" si="11"/>
        <v>0.19694194897691844</v>
      </c>
    </row>
    <row r="81" spans="1:6" ht="20.25" customHeight="1" x14ac:dyDescent="0.3">
      <c r="A81" s="235">
        <v>3</v>
      </c>
      <c r="B81" s="236" t="s">
        <v>436</v>
      </c>
      <c r="C81" s="237">
        <v>2237007</v>
      </c>
      <c r="D81" s="237">
        <v>3775653</v>
      </c>
      <c r="E81" s="237">
        <f t="shared" si="10"/>
        <v>1538646</v>
      </c>
      <c r="F81" s="238">
        <f t="shared" si="11"/>
        <v>0.68781456651677886</v>
      </c>
    </row>
    <row r="82" spans="1:6" ht="20.25" customHeight="1" x14ac:dyDescent="0.3">
      <c r="A82" s="235">
        <v>4</v>
      </c>
      <c r="B82" s="236" t="s">
        <v>437</v>
      </c>
      <c r="C82" s="237">
        <v>630799</v>
      </c>
      <c r="D82" s="237">
        <v>988675</v>
      </c>
      <c r="E82" s="237">
        <f t="shared" si="10"/>
        <v>357876</v>
      </c>
      <c r="F82" s="238">
        <f t="shared" si="11"/>
        <v>0.56733761467599031</v>
      </c>
    </row>
    <row r="83" spans="1:6" ht="20.25" customHeight="1" x14ac:dyDescent="0.3">
      <c r="A83" s="235">
        <v>5</v>
      </c>
      <c r="B83" s="236" t="s">
        <v>373</v>
      </c>
      <c r="C83" s="239">
        <v>208</v>
      </c>
      <c r="D83" s="239">
        <v>260</v>
      </c>
      <c r="E83" s="239">
        <f t="shared" si="10"/>
        <v>52</v>
      </c>
      <c r="F83" s="238">
        <f t="shared" si="11"/>
        <v>0.25</v>
      </c>
    </row>
    <row r="84" spans="1:6" ht="20.25" customHeight="1" x14ac:dyDescent="0.3">
      <c r="A84" s="235">
        <v>6</v>
      </c>
      <c r="B84" s="236" t="s">
        <v>372</v>
      </c>
      <c r="C84" s="239">
        <v>1211</v>
      </c>
      <c r="D84" s="239">
        <v>1602</v>
      </c>
      <c r="E84" s="239">
        <f t="shared" si="10"/>
        <v>391</v>
      </c>
      <c r="F84" s="238">
        <f t="shared" si="11"/>
        <v>0.32287365813377372</v>
      </c>
    </row>
    <row r="85" spans="1:6" ht="20.25" customHeight="1" x14ac:dyDescent="0.3">
      <c r="A85" s="235">
        <v>7</v>
      </c>
      <c r="B85" s="236" t="s">
        <v>438</v>
      </c>
      <c r="C85" s="239">
        <v>286</v>
      </c>
      <c r="D85" s="239">
        <v>391</v>
      </c>
      <c r="E85" s="239">
        <f t="shared" si="10"/>
        <v>105</v>
      </c>
      <c r="F85" s="238">
        <f t="shared" si="11"/>
        <v>0.36713286713286714</v>
      </c>
    </row>
    <row r="86" spans="1:6" ht="20.25" customHeight="1" x14ac:dyDescent="0.3">
      <c r="A86" s="235">
        <v>8</v>
      </c>
      <c r="B86" s="236" t="s">
        <v>439</v>
      </c>
      <c r="C86" s="239">
        <v>161</v>
      </c>
      <c r="D86" s="239">
        <v>217</v>
      </c>
      <c r="E86" s="239">
        <f t="shared" si="10"/>
        <v>56</v>
      </c>
      <c r="F86" s="238">
        <f t="shared" si="11"/>
        <v>0.34782608695652173</v>
      </c>
    </row>
    <row r="87" spans="1:6" ht="20.25" customHeight="1" x14ac:dyDescent="0.3">
      <c r="A87" s="235">
        <v>9</v>
      </c>
      <c r="B87" s="236" t="s">
        <v>440</v>
      </c>
      <c r="C87" s="239">
        <v>162</v>
      </c>
      <c r="D87" s="239">
        <v>192</v>
      </c>
      <c r="E87" s="239">
        <f t="shared" si="10"/>
        <v>30</v>
      </c>
      <c r="F87" s="238">
        <f t="shared" si="11"/>
        <v>0.18518518518518517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11530934</v>
      </c>
      <c r="D88" s="243">
        <f>+D79+D81</f>
        <v>16172887</v>
      </c>
      <c r="E88" s="243">
        <f t="shared" si="10"/>
        <v>4641953</v>
      </c>
      <c r="F88" s="244">
        <f t="shared" si="11"/>
        <v>0.4025652215163143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3726300</v>
      </c>
      <c r="D89" s="243">
        <f>+D80+D82</f>
        <v>4693810</v>
      </c>
      <c r="E89" s="243">
        <f t="shared" si="10"/>
        <v>967510</v>
      </c>
      <c r="F89" s="244">
        <f t="shared" si="11"/>
        <v>0.25964361430910016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8820784</v>
      </c>
      <c r="D92" s="237">
        <v>54916912</v>
      </c>
      <c r="E92" s="237">
        <f t="shared" ref="E92:E102" si="12">D92-C92</f>
        <v>46096128</v>
      </c>
      <c r="F92" s="238">
        <f t="shared" ref="F92:F102" si="13">IF(C92=0,0,E92/C92)</f>
        <v>5.2258538470049825</v>
      </c>
    </row>
    <row r="93" spans="1:6" ht="20.25" customHeight="1" x14ac:dyDescent="0.3">
      <c r="A93" s="235">
        <v>2</v>
      </c>
      <c r="B93" s="236" t="s">
        <v>435</v>
      </c>
      <c r="C93" s="237">
        <v>2923355</v>
      </c>
      <c r="D93" s="237">
        <v>16040055</v>
      </c>
      <c r="E93" s="237">
        <f t="shared" si="12"/>
        <v>13116700</v>
      </c>
      <c r="F93" s="238">
        <f t="shared" si="13"/>
        <v>4.4868652626861945</v>
      </c>
    </row>
    <row r="94" spans="1:6" ht="20.25" customHeight="1" x14ac:dyDescent="0.3">
      <c r="A94" s="235">
        <v>3</v>
      </c>
      <c r="B94" s="236" t="s">
        <v>436</v>
      </c>
      <c r="C94" s="237">
        <v>1925221</v>
      </c>
      <c r="D94" s="237">
        <v>12923058</v>
      </c>
      <c r="E94" s="237">
        <f t="shared" si="12"/>
        <v>10997837</v>
      </c>
      <c r="F94" s="238">
        <f t="shared" si="13"/>
        <v>5.7125062525289305</v>
      </c>
    </row>
    <row r="95" spans="1:6" ht="20.25" customHeight="1" x14ac:dyDescent="0.3">
      <c r="A95" s="235">
        <v>4</v>
      </c>
      <c r="B95" s="236" t="s">
        <v>437</v>
      </c>
      <c r="C95" s="237">
        <v>507046</v>
      </c>
      <c r="D95" s="237">
        <v>3527835</v>
      </c>
      <c r="E95" s="237">
        <f t="shared" si="12"/>
        <v>3020789</v>
      </c>
      <c r="F95" s="238">
        <f t="shared" si="13"/>
        <v>5.9576231742287682</v>
      </c>
    </row>
    <row r="96" spans="1:6" ht="20.25" customHeight="1" x14ac:dyDescent="0.3">
      <c r="A96" s="235">
        <v>5</v>
      </c>
      <c r="B96" s="236" t="s">
        <v>373</v>
      </c>
      <c r="C96" s="239">
        <v>222</v>
      </c>
      <c r="D96" s="239">
        <v>1134</v>
      </c>
      <c r="E96" s="239">
        <f t="shared" si="12"/>
        <v>912</v>
      </c>
      <c r="F96" s="238">
        <f t="shared" si="13"/>
        <v>4.1081081081081079</v>
      </c>
    </row>
    <row r="97" spans="1:6" ht="20.25" customHeight="1" x14ac:dyDescent="0.3">
      <c r="A97" s="235">
        <v>6</v>
      </c>
      <c r="B97" s="236" t="s">
        <v>372</v>
      </c>
      <c r="C97" s="239">
        <v>1288</v>
      </c>
      <c r="D97" s="239">
        <v>6792</v>
      </c>
      <c r="E97" s="239">
        <f t="shared" si="12"/>
        <v>5504</v>
      </c>
      <c r="F97" s="238">
        <f t="shared" si="13"/>
        <v>4.2732919254658386</v>
      </c>
    </row>
    <row r="98" spans="1:6" ht="20.25" customHeight="1" x14ac:dyDescent="0.3">
      <c r="A98" s="235">
        <v>7</v>
      </c>
      <c r="B98" s="236" t="s">
        <v>438</v>
      </c>
      <c r="C98" s="239">
        <v>596</v>
      </c>
      <c r="D98" s="239">
        <v>1449</v>
      </c>
      <c r="E98" s="239">
        <f t="shared" si="12"/>
        <v>853</v>
      </c>
      <c r="F98" s="238">
        <f t="shared" si="13"/>
        <v>1.4312080536912752</v>
      </c>
    </row>
    <row r="99" spans="1:6" ht="20.25" customHeight="1" x14ac:dyDescent="0.3">
      <c r="A99" s="235">
        <v>8</v>
      </c>
      <c r="B99" s="236" t="s">
        <v>439</v>
      </c>
      <c r="C99" s="239">
        <v>198</v>
      </c>
      <c r="D99" s="239">
        <v>704</v>
      </c>
      <c r="E99" s="239">
        <f t="shared" si="12"/>
        <v>506</v>
      </c>
      <c r="F99" s="238">
        <f t="shared" si="13"/>
        <v>2.5555555555555554</v>
      </c>
    </row>
    <row r="100" spans="1:6" ht="20.25" customHeight="1" x14ac:dyDescent="0.3">
      <c r="A100" s="235">
        <v>9</v>
      </c>
      <c r="B100" s="236" t="s">
        <v>440</v>
      </c>
      <c r="C100" s="239">
        <v>181</v>
      </c>
      <c r="D100" s="239">
        <v>798</v>
      </c>
      <c r="E100" s="239">
        <f t="shared" si="12"/>
        <v>617</v>
      </c>
      <c r="F100" s="238">
        <f t="shared" si="13"/>
        <v>3.4088397790055249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10746005</v>
      </c>
      <c r="D101" s="243">
        <f>+D92+D94</f>
        <v>67839970</v>
      </c>
      <c r="E101" s="243">
        <f t="shared" si="12"/>
        <v>57093965</v>
      </c>
      <c r="F101" s="244">
        <f t="shared" si="13"/>
        <v>5.3130409859291898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3430401</v>
      </c>
      <c r="D102" s="243">
        <f>+D93+D95</f>
        <v>19567890</v>
      </c>
      <c r="E102" s="243">
        <f t="shared" si="12"/>
        <v>16137489</v>
      </c>
      <c r="F102" s="244">
        <f t="shared" si="13"/>
        <v>4.7042573156899152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4600120</v>
      </c>
      <c r="D105" s="237">
        <v>5537393</v>
      </c>
      <c r="E105" s="237">
        <f t="shared" ref="E105:E115" si="14">D105-C105</f>
        <v>937273</v>
      </c>
      <c r="F105" s="238">
        <f t="shared" ref="F105:F115" si="15">IF(C105=0,0,E105/C105)</f>
        <v>0.20374968479083155</v>
      </c>
    </row>
    <row r="106" spans="1:6" ht="20.25" customHeight="1" x14ac:dyDescent="0.3">
      <c r="A106" s="235">
        <v>2</v>
      </c>
      <c r="B106" s="236" t="s">
        <v>435</v>
      </c>
      <c r="C106" s="237">
        <v>1327696</v>
      </c>
      <c r="D106" s="237">
        <v>1621207</v>
      </c>
      <c r="E106" s="237">
        <f t="shared" si="14"/>
        <v>293511</v>
      </c>
      <c r="F106" s="238">
        <f t="shared" si="15"/>
        <v>0.22106792518769358</v>
      </c>
    </row>
    <row r="107" spans="1:6" ht="20.25" customHeight="1" x14ac:dyDescent="0.3">
      <c r="A107" s="235">
        <v>3</v>
      </c>
      <c r="B107" s="236" t="s">
        <v>436</v>
      </c>
      <c r="C107" s="237">
        <v>857509</v>
      </c>
      <c r="D107" s="237">
        <v>1397503</v>
      </c>
      <c r="E107" s="237">
        <f t="shared" si="14"/>
        <v>539994</v>
      </c>
      <c r="F107" s="238">
        <f t="shared" si="15"/>
        <v>0.62972400289676256</v>
      </c>
    </row>
    <row r="108" spans="1:6" ht="20.25" customHeight="1" x14ac:dyDescent="0.3">
      <c r="A108" s="235">
        <v>4</v>
      </c>
      <c r="B108" s="236" t="s">
        <v>437</v>
      </c>
      <c r="C108" s="237">
        <v>237480</v>
      </c>
      <c r="D108" s="237">
        <v>354579</v>
      </c>
      <c r="E108" s="237">
        <f t="shared" si="14"/>
        <v>117099</v>
      </c>
      <c r="F108" s="238">
        <f t="shared" si="15"/>
        <v>0.49308994441637188</v>
      </c>
    </row>
    <row r="109" spans="1:6" ht="20.25" customHeight="1" x14ac:dyDescent="0.3">
      <c r="A109" s="235">
        <v>5</v>
      </c>
      <c r="B109" s="236" t="s">
        <v>373</v>
      </c>
      <c r="C109" s="239">
        <v>98</v>
      </c>
      <c r="D109" s="239">
        <v>128</v>
      </c>
      <c r="E109" s="239">
        <f t="shared" si="14"/>
        <v>30</v>
      </c>
      <c r="F109" s="238">
        <f t="shared" si="15"/>
        <v>0.30612244897959184</v>
      </c>
    </row>
    <row r="110" spans="1:6" ht="20.25" customHeight="1" x14ac:dyDescent="0.3">
      <c r="A110" s="235">
        <v>6</v>
      </c>
      <c r="B110" s="236" t="s">
        <v>372</v>
      </c>
      <c r="C110" s="239">
        <v>615</v>
      </c>
      <c r="D110" s="239">
        <v>670</v>
      </c>
      <c r="E110" s="239">
        <f t="shared" si="14"/>
        <v>55</v>
      </c>
      <c r="F110" s="238">
        <f t="shared" si="15"/>
        <v>8.943089430894309E-2</v>
      </c>
    </row>
    <row r="111" spans="1:6" ht="20.25" customHeight="1" x14ac:dyDescent="0.3">
      <c r="A111" s="235">
        <v>7</v>
      </c>
      <c r="B111" s="236" t="s">
        <v>438</v>
      </c>
      <c r="C111" s="239">
        <v>297</v>
      </c>
      <c r="D111" s="239">
        <v>419</v>
      </c>
      <c r="E111" s="239">
        <f t="shared" si="14"/>
        <v>122</v>
      </c>
      <c r="F111" s="238">
        <f t="shared" si="15"/>
        <v>0.41077441077441079</v>
      </c>
    </row>
    <row r="112" spans="1:6" ht="20.25" customHeight="1" x14ac:dyDescent="0.3">
      <c r="A112" s="235">
        <v>8</v>
      </c>
      <c r="B112" s="236" t="s">
        <v>439</v>
      </c>
      <c r="C112" s="239">
        <v>121</v>
      </c>
      <c r="D112" s="239">
        <v>191</v>
      </c>
      <c r="E112" s="239">
        <f t="shared" si="14"/>
        <v>70</v>
      </c>
      <c r="F112" s="238">
        <f t="shared" si="15"/>
        <v>0.57851239669421484</v>
      </c>
    </row>
    <row r="113" spans="1:6" ht="20.25" customHeight="1" x14ac:dyDescent="0.3">
      <c r="A113" s="235">
        <v>9</v>
      </c>
      <c r="B113" s="236" t="s">
        <v>440</v>
      </c>
      <c r="C113" s="239">
        <v>86</v>
      </c>
      <c r="D113" s="239">
        <v>115</v>
      </c>
      <c r="E113" s="239">
        <f t="shared" si="14"/>
        <v>29</v>
      </c>
      <c r="F113" s="238">
        <f t="shared" si="15"/>
        <v>0.33720930232558138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5457629</v>
      </c>
      <c r="D114" s="243">
        <f>+D105+D107</f>
        <v>6934896</v>
      </c>
      <c r="E114" s="243">
        <f t="shared" si="14"/>
        <v>1477267</v>
      </c>
      <c r="F114" s="244">
        <f t="shared" si="15"/>
        <v>0.27067926383416679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1565176</v>
      </c>
      <c r="D115" s="243">
        <f>+D106+D108</f>
        <v>1975786</v>
      </c>
      <c r="E115" s="243">
        <f t="shared" si="14"/>
        <v>410610</v>
      </c>
      <c r="F115" s="244">
        <f t="shared" si="15"/>
        <v>0.26234110413142037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4750934</v>
      </c>
      <c r="D118" s="237">
        <v>4614945</v>
      </c>
      <c r="E118" s="237">
        <f t="shared" ref="E118:E128" si="16">D118-C118</f>
        <v>-135989</v>
      </c>
      <c r="F118" s="238">
        <f t="shared" ref="F118:F128" si="17">IF(C118=0,0,E118/C118)</f>
        <v>-2.8623634847379485E-2</v>
      </c>
    </row>
    <row r="119" spans="1:6" ht="20.25" customHeight="1" x14ac:dyDescent="0.3">
      <c r="A119" s="235">
        <v>2</v>
      </c>
      <c r="B119" s="236" t="s">
        <v>435</v>
      </c>
      <c r="C119" s="237">
        <v>1680053</v>
      </c>
      <c r="D119" s="237">
        <v>1373312</v>
      </c>
      <c r="E119" s="237">
        <f t="shared" si="16"/>
        <v>-306741</v>
      </c>
      <c r="F119" s="238">
        <f t="shared" si="17"/>
        <v>-0.18257816866491711</v>
      </c>
    </row>
    <row r="120" spans="1:6" ht="20.25" customHeight="1" x14ac:dyDescent="0.3">
      <c r="A120" s="235">
        <v>3</v>
      </c>
      <c r="B120" s="236" t="s">
        <v>436</v>
      </c>
      <c r="C120" s="237">
        <v>1646912</v>
      </c>
      <c r="D120" s="237">
        <v>1279301</v>
      </c>
      <c r="E120" s="237">
        <f t="shared" si="16"/>
        <v>-367611</v>
      </c>
      <c r="F120" s="238">
        <f t="shared" si="17"/>
        <v>-0.22321229063847978</v>
      </c>
    </row>
    <row r="121" spans="1:6" ht="20.25" customHeight="1" x14ac:dyDescent="0.3">
      <c r="A121" s="235">
        <v>4</v>
      </c>
      <c r="B121" s="236" t="s">
        <v>437</v>
      </c>
      <c r="C121" s="237">
        <v>468259</v>
      </c>
      <c r="D121" s="237">
        <v>337672</v>
      </c>
      <c r="E121" s="237">
        <f t="shared" si="16"/>
        <v>-130587</v>
      </c>
      <c r="F121" s="238">
        <f t="shared" si="17"/>
        <v>-0.27887771511065457</v>
      </c>
    </row>
    <row r="122" spans="1:6" ht="20.25" customHeight="1" x14ac:dyDescent="0.3">
      <c r="A122" s="235">
        <v>5</v>
      </c>
      <c r="B122" s="236" t="s">
        <v>373</v>
      </c>
      <c r="C122" s="239">
        <v>119</v>
      </c>
      <c r="D122" s="239">
        <v>81</v>
      </c>
      <c r="E122" s="239">
        <f t="shared" si="16"/>
        <v>-38</v>
      </c>
      <c r="F122" s="238">
        <f t="shared" si="17"/>
        <v>-0.31932773109243695</v>
      </c>
    </row>
    <row r="123" spans="1:6" ht="20.25" customHeight="1" x14ac:dyDescent="0.3">
      <c r="A123" s="235">
        <v>6</v>
      </c>
      <c r="B123" s="236" t="s">
        <v>372</v>
      </c>
      <c r="C123" s="239">
        <v>586</v>
      </c>
      <c r="D123" s="239">
        <v>496</v>
      </c>
      <c r="E123" s="239">
        <f t="shared" si="16"/>
        <v>-90</v>
      </c>
      <c r="F123" s="238">
        <f t="shared" si="17"/>
        <v>-0.15358361774744028</v>
      </c>
    </row>
    <row r="124" spans="1:6" ht="20.25" customHeight="1" x14ac:dyDescent="0.3">
      <c r="A124" s="235">
        <v>7</v>
      </c>
      <c r="B124" s="236" t="s">
        <v>438</v>
      </c>
      <c r="C124" s="239">
        <v>182</v>
      </c>
      <c r="D124" s="239">
        <v>190</v>
      </c>
      <c r="E124" s="239">
        <f t="shared" si="16"/>
        <v>8</v>
      </c>
      <c r="F124" s="238">
        <f t="shared" si="17"/>
        <v>4.3956043956043959E-2</v>
      </c>
    </row>
    <row r="125" spans="1:6" ht="20.25" customHeight="1" x14ac:dyDescent="0.3">
      <c r="A125" s="235">
        <v>8</v>
      </c>
      <c r="B125" s="236" t="s">
        <v>439</v>
      </c>
      <c r="C125" s="239">
        <v>60</v>
      </c>
      <c r="D125" s="239">
        <v>49</v>
      </c>
      <c r="E125" s="239">
        <f t="shared" si="16"/>
        <v>-11</v>
      </c>
      <c r="F125" s="238">
        <f t="shared" si="17"/>
        <v>-0.18333333333333332</v>
      </c>
    </row>
    <row r="126" spans="1:6" ht="20.25" customHeight="1" x14ac:dyDescent="0.3">
      <c r="A126" s="235">
        <v>9</v>
      </c>
      <c r="B126" s="236" t="s">
        <v>440</v>
      </c>
      <c r="C126" s="239">
        <v>74</v>
      </c>
      <c r="D126" s="239">
        <v>58</v>
      </c>
      <c r="E126" s="239">
        <f t="shared" si="16"/>
        <v>-16</v>
      </c>
      <c r="F126" s="238">
        <f t="shared" si="17"/>
        <v>-0.21621621621621623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6397846</v>
      </c>
      <c r="D127" s="243">
        <f>+D118+D120</f>
        <v>5894246</v>
      </c>
      <c r="E127" s="243">
        <f t="shared" si="16"/>
        <v>-503600</v>
      </c>
      <c r="F127" s="244">
        <f t="shared" si="17"/>
        <v>-7.8713992177992409E-2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2148312</v>
      </c>
      <c r="D128" s="243">
        <f>+D119+D121</f>
        <v>1710984</v>
      </c>
      <c r="E128" s="243">
        <f t="shared" si="16"/>
        <v>-437328</v>
      </c>
      <c r="F128" s="244">
        <f t="shared" si="17"/>
        <v>-0.20356819679823043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204650</v>
      </c>
      <c r="D131" s="237">
        <v>248879</v>
      </c>
      <c r="E131" s="237">
        <f t="shared" ref="E131:E141" si="18">D131-C131</f>
        <v>44229</v>
      </c>
      <c r="F131" s="238">
        <f t="shared" ref="F131:F141" si="19">IF(C131=0,0,E131/C131)</f>
        <v>0.21612020522843881</v>
      </c>
    </row>
    <row r="132" spans="1:6" ht="20.25" customHeight="1" x14ac:dyDescent="0.3">
      <c r="A132" s="235">
        <v>2</v>
      </c>
      <c r="B132" s="236" t="s">
        <v>435</v>
      </c>
      <c r="C132" s="237">
        <v>107692</v>
      </c>
      <c r="D132" s="237">
        <v>67656</v>
      </c>
      <c r="E132" s="237">
        <f t="shared" si="18"/>
        <v>-40036</v>
      </c>
      <c r="F132" s="238">
        <f t="shared" si="19"/>
        <v>-0.3717639193254838</v>
      </c>
    </row>
    <row r="133" spans="1:6" ht="20.25" customHeight="1" x14ac:dyDescent="0.3">
      <c r="A133" s="235">
        <v>3</v>
      </c>
      <c r="B133" s="236" t="s">
        <v>436</v>
      </c>
      <c r="C133" s="237">
        <v>110629</v>
      </c>
      <c r="D133" s="237">
        <v>116675</v>
      </c>
      <c r="E133" s="237">
        <f t="shared" si="18"/>
        <v>6046</v>
      </c>
      <c r="F133" s="238">
        <f t="shared" si="19"/>
        <v>5.4651131258530765E-2</v>
      </c>
    </row>
    <row r="134" spans="1:6" ht="20.25" customHeight="1" x14ac:dyDescent="0.3">
      <c r="A134" s="235">
        <v>4</v>
      </c>
      <c r="B134" s="236" t="s">
        <v>437</v>
      </c>
      <c r="C134" s="237">
        <v>31966</v>
      </c>
      <c r="D134" s="237">
        <v>22657</v>
      </c>
      <c r="E134" s="237">
        <f t="shared" si="18"/>
        <v>-9309</v>
      </c>
      <c r="F134" s="238">
        <f t="shared" si="19"/>
        <v>-0.29121566664581117</v>
      </c>
    </row>
    <row r="135" spans="1:6" ht="20.25" customHeight="1" x14ac:dyDescent="0.3">
      <c r="A135" s="235">
        <v>5</v>
      </c>
      <c r="B135" s="236" t="s">
        <v>373</v>
      </c>
      <c r="C135" s="239">
        <v>5</v>
      </c>
      <c r="D135" s="239">
        <v>5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37</v>
      </c>
      <c r="D136" s="239">
        <v>37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6</v>
      </c>
      <c r="D137" s="239">
        <v>37</v>
      </c>
      <c r="E137" s="239">
        <f t="shared" si="18"/>
        <v>31</v>
      </c>
      <c r="F137" s="238">
        <f t="shared" si="19"/>
        <v>5.166666666666667</v>
      </c>
    </row>
    <row r="138" spans="1:6" ht="20.25" customHeight="1" x14ac:dyDescent="0.3">
      <c r="A138" s="235">
        <v>8</v>
      </c>
      <c r="B138" s="236" t="s">
        <v>439</v>
      </c>
      <c r="C138" s="239">
        <v>6</v>
      </c>
      <c r="D138" s="239">
        <v>9</v>
      </c>
      <c r="E138" s="239">
        <f t="shared" si="18"/>
        <v>3</v>
      </c>
      <c r="F138" s="238">
        <f t="shared" si="19"/>
        <v>0.5</v>
      </c>
    </row>
    <row r="139" spans="1:6" ht="20.25" customHeight="1" x14ac:dyDescent="0.3">
      <c r="A139" s="235">
        <v>9</v>
      </c>
      <c r="B139" s="236" t="s">
        <v>440</v>
      </c>
      <c r="C139" s="239">
        <v>4</v>
      </c>
      <c r="D139" s="239">
        <v>4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315279</v>
      </c>
      <c r="D140" s="243">
        <f>+D131+D133</f>
        <v>365554</v>
      </c>
      <c r="E140" s="243">
        <f t="shared" si="18"/>
        <v>50275</v>
      </c>
      <c r="F140" s="244">
        <f t="shared" si="19"/>
        <v>0.15946193688764554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139658</v>
      </c>
      <c r="D141" s="243">
        <f>+D132+D134</f>
        <v>90313</v>
      </c>
      <c r="E141" s="243">
        <f t="shared" si="18"/>
        <v>-49345</v>
      </c>
      <c r="F141" s="244">
        <f t="shared" si="19"/>
        <v>-0.3533274141116155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116297322</v>
      </c>
      <c r="D198" s="243">
        <f t="shared" si="28"/>
        <v>127314624</v>
      </c>
      <c r="E198" s="243">
        <f t="shared" ref="E198:E208" si="29">D198-C198</f>
        <v>11017302</v>
      </c>
      <c r="F198" s="251">
        <f t="shared" ref="F198:F208" si="30">IF(C198=0,0,E198/C198)</f>
        <v>9.4733926891283016E-2</v>
      </c>
    </row>
    <row r="199" spans="1:9" ht="20.25" customHeight="1" x14ac:dyDescent="0.3">
      <c r="A199" s="249"/>
      <c r="B199" s="250" t="s">
        <v>461</v>
      </c>
      <c r="C199" s="243">
        <f t="shared" si="28"/>
        <v>38121358</v>
      </c>
      <c r="D199" s="243">
        <f t="shared" si="28"/>
        <v>38412448</v>
      </c>
      <c r="E199" s="243">
        <f t="shared" si="29"/>
        <v>291090</v>
      </c>
      <c r="F199" s="251">
        <f t="shared" si="30"/>
        <v>7.6358769800383289E-3</v>
      </c>
    </row>
    <row r="200" spans="1:9" ht="20.25" customHeight="1" x14ac:dyDescent="0.3">
      <c r="A200" s="249"/>
      <c r="B200" s="250" t="s">
        <v>462</v>
      </c>
      <c r="C200" s="243">
        <f t="shared" si="28"/>
        <v>29420961</v>
      </c>
      <c r="D200" s="243">
        <f t="shared" si="28"/>
        <v>34510963</v>
      </c>
      <c r="E200" s="243">
        <f t="shared" si="29"/>
        <v>5090002</v>
      </c>
      <c r="F200" s="251">
        <f t="shared" si="30"/>
        <v>0.17300597353023242</v>
      </c>
    </row>
    <row r="201" spans="1:9" ht="20.25" customHeight="1" x14ac:dyDescent="0.3">
      <c r="A201" s="249"/>
      <c r="B201" s="250" t="s">
        <v>463</v>
      </c>
      <c r="C201" s="243">
        <f t="shared" si="28"/>
        <v>8379217</v>
      </c>
      <c r="D201" s="243">
        <f t="shared" si="28"/>
        <v>9552289</v>
      </c>
      <c r="E201" s="243">
        <f t="shared" si="29"/>
        <v>1173072</v>
      </c>
      <c r="F201" s="251">
        <f t="shared" si="30"/>
        <v>0.13999780647762194</v>
      </c>
    </row>
    <row r="202" spans="1:9" ht="20.25" customHeight="1" x14ac:dyDescent="0.3">
      <c r="A202" s="249"/>
      <c r="B202" s="250" t="s">
        <v>464</v>
      </c>
      <c r="C202" s="252">
        <f t="shared" si="28"/>
        <v>2734</v>
      </c>
      <c r="D202" s="252">
        <f t="shared" si="28"/>
        <v>2692</v>
      </c>
      <c r="E202" s="252">
        <f t="shared" si="29"/>
        <v>-42</v>
      </c>
      <c r="F202" s="251">
        <f t="shared" si="30"/>
        <v>-1.5362106803218726E-2</v>
      </c>
    </row>
    <row r="203" spans="1:9" ht="20.25" customHeight="1" x14ac:dyDescent="0.3">
      <c r="A203" s="249"/>
      <c r="B203" s="250" t="s">
        <v>465</v>
      </c>
      <c r="C203" s="252">
        <f t="shared" si="28"/>
        <v>14855</v>
      </c>
      <c r="D203" s="252">
        <f t="shared" si="28"/>
        <v>15361</v>
      </c>
      <c r="E203" s="252">
        <f t="shared" si="29"/>
        <v>506</v>
      </c>
      <c r="F203" s="251">
        <f t="shared" si="30"/>
        <v>3.4062605183439919E-2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4321</v>
      </c>
      <c r="D204" s="252">
        <f t="shared" si="28"/>
        <v>4036</v>
      </c>
      <c r="E204" s="252">
        <f t="shared" si="29"/>
        <v>-285</v>
      </c>
      <c r="F204" s="251">
        <f t="shared" si="30"/>
        <v>-6.5956954408701696E-2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1471</v>
      </c>
      <c r="D205" s="252">
        <f t="shared" si="28"/>
        <v>1762</v>
      </c>
      <c r="E205" s="252">
        <f t="shared" si="29"/>
        <v>291</v>
      </c>
      <c r="F205" s="251">
        <f t="shared" si="30"/>
        <v>0.19782460910944935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1874</v>
      </c>
      <c r="D206" s="252">
        <f t="shared" si="28"/>
        <v>1824</v>
      </c>
      <c r="E206" s="252">
        <f t="shared" si="29"/>
        <v>-50</v>
      </c>
      <c r="F206" s="251">
        <f t="shared" si="30"/>
        <v>-2.6680896478121666E-2</v>
      </c>
    </row>
    <row r="207" spans="1:9" ht="20.25" customHeight="1" x14ac:dyDescent="0.3">
      <c r="A207" s="249"/>
      <c r="B207" s="242" t="s">
        <v>469</v>
      </c>
      <c r="C207" s="243">
        <f>+C198+C200</f>
        <v>145718283</v>
      </c>
      <c r="D207" s="243">
        <f>+D198+D200</f>
        <v>161825587</v>
      </c>
      <c r="E207" s="243">
        <f t="shared" si="29"/>
        <v>16107304</v>
      </c>
      <c r="F207" s="251">
        <f t="shared" si="30"/>
        <v>0.11053728927069502</v>
      </c>
    </row>
    <row r="208" spans="1:9" ht="20.25" customHeight="1" x14ac:dyDescent="0.3">
      <c r="A208" s="249"/>
      <c r="B208" s="242" t="s">
        <v>470</v>
      </c>
      <c r="C208" s="243">
        <f>+C199+C201</f>
        <v>46500575</v>
      </c>
      <c r="D208" s="243">
        <f>+D199+D201</f>
        <v>47964737</v>
      </c>
      <c r="E208" s="243">
        <f t="shared" si="29"/>
        <v>1464162</v>
      </c>
      <c r="F208" s="251">
        <f t="shared" si="30"/>
        <v>3.1486965483760149E-2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FILING&amp;RHOSPITAL OF SAINT RAPHAEL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14542901</v>
      </c>
      <c r="D26" s="237">
        <v>16753087</v>
      </c>
      <c r="E26" s="237">
        <f t="shared" ref="E26:E36" si="2">D26-C26</f>
        <v>2210186</v>
      </c>
      <c r="F26" s="238">
        <f t="shared" ref="F26:F36" si="3">IF(C26=0,0,E26/C26)</f>
        <v>0.15197696800658961</v>
      </c>
    </row>
    <row r="27" spans="1:6" ht="20.25" customHeight="1" x14ac:dyDescent="0.3">
      <c r="A27" s="235">
        <v>2</v>
      </c>
      <c r="B27" s="236" t="s">
        <v>435</v>
      </c>
      <c r="C27" s="237">
        <v>3931135</v>
      </c>
      <c r="D27" s="237">
        <v>4641136</v>
      </c>
      <c r="E27" s="237">
        <f t="shared" si="2"/>
        <v>710001</v>
      </c>
      <c r="F27" s="238">
        <f t="shared" si="3"/>
        <v>0.18060967125270438</v>
      </c>
    </row>
    <row r="28" spans="1:6" ht="20.25" customHeight="1" x14ac:dyDescent="0.3">
      <c r="A28" s="235">
        <v>3</v>
      </c>
      <c r="B28" s="236" t="s">
        <v>436</v>
      </c>
      <c r="C28" s="237">
        <v>23765320</v>
      </c>
      <c r="D28" s="237">
        <v>26797280</v>
      </c>
      <c r="E28" s="237">
        <f t="shared" si="2"/>
        <v>3031960</v>
      </c>
      <c r="F28" s="238">
        <f t="shared" si="3"/>
        <v>0.12757917839944929</v>
      </c>
    </row>
    <row r="29" spans="1:6" ht="20.25" customHeight="1" x14ac:dyDescent="0.3">
      <c r="A29" s="235">
        <v>4</v>
      </c>
      <c r="B29" s="236" t="s">
        <v>437</v>
      </c>
      <c r="C29" s="237">
        <v>7205060</v>
      </c>
      <c r="D29" s="237">
        <v>9169596</v>
      </c>
      <c r="E29" s="237">
        <f t="shared" si="2"/>
        <v>1964536</v>
      </c>
      <c r="F29" s="238">
        <f t="shared" si="3"/>
        <v>0.27266060240997297</v>
      </c>
    </row>
    <row r="30" spans="1:6" ht="20.25" customHeight="1" x14ac:dyDescent="0.3">
      <c r="A30" s="235">
        <v>5</v>
      </c>
      <c r="B30" s="236" t="s">
        <v>373</v>
      </c>
      <c r="C30" s="239">
        <v>906</v>
      </c>
      <c r="D30" s="239">
        <v>930</v>
      </c>
      <c r="E30" s="239">
        <f t="shared" si="2"/>
        <v>24</v>
      </c>
      <c r="F30" s="238">
        <f t="shared" si="3"/>
        <v>2.6490066225165563E-2</v>
      </c>
    </row>
    <row r="31" spans="1:6" ht="20.25" customHeight="1" x14ac:dyDescent="0.3">
      <c r="A31" s="235">
        <v>6</v>
      </c>
      <c r="B31" s="236" t="s">
        <v>372</v>
      </c>
      <c r="C31" s="239">
        <v>2932</v>
      </c>
      <c r="D31" s="239">
        <v>2986</v>
      </c>
      <c r="E31" s="239">
        <f t="shared" si="2"/>
        <v>54</v>
      </c>
      <c r="F31" s="238">
        <f t="shared" si="3"/>
        <v>1.8417462482946793E-2</v>
      </c>
    </row>
    <row r="32" spans="1:6" ht="20.25" customHeight="1" x14ac:dyDescent="0.3">
      <c r="A32" s="235">
        <v>7</v>
      </c>
      <c r="B32" s="236" t="s">
        <v>438</v>
      </c>
      <c r="C32" s="239">
        <v>10060</v>
      </c>
      <c r="D32" s="239">
        <v>12465</v>
      </c>
      <c r="E32" s="239">
        <f t="shared" si="2"/>
        <v>2405</v>
      </c>
      <c r="F32" s="238">
        <f t="shared" si="3"/>
        <v>0.23906560636182903</v>
      </c>
    </row>
    <row r="33" spans="1:6" ht="20.25" customHeight="1" x14ac:dyDescent="0.3">
      <c r="A33" s="235">
        <v>8</v>
      </c>
      <c r="B33" s="236" t="s">
        <v>439</v>
      </c>
      <c r="C33" s="239">
        <v>5619</v>
      </c>
      <c r="D33" s="239">
        <v>5889</v>
      </c>
      <c r="E33" s="239">
        <f t="shared" si="2"/>
        <v>270</v>
      </c>
      <c r="F33" s="238">
        <f t="shared" si="3"/>
        <v>4.8051254671649758E-2</v>
      </c>
    </row>
    <row r="34" spans="1:6" ht="20.25" customHeight="1" x14ac:dyDescent="0.3">
      <c r="A34" s="235">
        <v>9</v>
      </c>
      <c r="B34" s="236" t="s">
        <v>440</v>
      </c>
      <c r="C34" s="239">
        <v>214</v>
      </c>
      <c r="D34" s="239">
        <v>176</v>
      </c>
      <c r="E34" s="239">
        <f t="shared" si="2"/>
        <v>-38</v>
      </c>
      <c r="F34" s="238">
        <f t="shared" si="3"/>
        <v>-0.17757009345794392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38308221</v>
      </c>
      <c r="D35" s="243">
        <f>+D26+D28</f>
        <v>43550367</v>
      </c>
      <c r="E35" s="243">
        <f t="shared" si="2"/>
        <v>5242146</v>
      </c>
      <c r="F35" s="244">
        <f t="shared" si="3"/>
        <v>0.13684128010016441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11136195</v>
      </c>
      <c r="D36" s="243">
        <f>+D27+D29</f>
        <v>13810732</v>
      </c>
      <c r="E36" s="243">
        <f t="shared" si="2"/>
        <v>2674537</v>
      </c>
      <c r="F36" s="244">
        <f t="shared" si="3"/>
        <v>0.24016614292404184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715</v>
      </c>
      <c r="D40" s="237">
        <v>0</v>
      </c>
      <c r="E40" s="237">
        <f t="shared" si="4"/>
        <v>-715</v>
      </c>
      <c r="F40" s="238">
        <f t="shared" si="5"/>
        <v>-1</v>
      </c>
    </row>
    <row r="41" spans="1:6" ht="20.25" customHeight="1" x14ac:dyDescent="0.3">
      <c r="A41" s="235">
        <v>4</v>
      </c>
      <c r="B41" s="236" t="s">
        <v>437</v>
      </c>
      <c r="C41" s="237">
        <v>622</v>
      </c>
      <c r="D41" s="237">
        <v>0</v>
      </c>
      <c r="E41" s="237">
        <f t="shared" si="4"/>
        <v>-622</v>
      </c>
      <c r="F41" s="238">
        <f t="shared" si="5"/>
        <v>-1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715</v>
      </c>
      <c r="D47" s="243">
        <f>+D38+D40</f>
        <v>0</v>
      </c>
      <c r="E47" s="243">
        <f t="shared" si="4"/>
        <v>-715</v>
      </c>
      <c r="F47" s="244">
        <f t="shared" si="5"/>
        <v>-1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622</v>
      </c>
      <c r="D48" s="243">
        <f>+D39+D41</f>
        <v>0</v>
      </c>
      <c r="E48" s="243">
        <f t="shared" si="4"/>
        <v>-622</v>
      </c>
      <c r="F48" s="244">
        <f t="shared" si="5"/>
        <v>-1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7831834</v>
      </c>
      <c r="D50" s="237">
        <v>8922080</v>
      </c>
      <c r="E50" s="237">
        <f t="shared" ref="E50:E60" si="6">D50-C50</f>
        <v>1090246</v>
      </c>
      <c r="F50" s="238">
        <f t="shared" ref="F50:F60" si="7">IF(C50=0,0,E50/C50)</f>
        <v>0.13920698523487601</v>
      </c>
    </row>
    <row r="51" spans="1:6" ht="20.25" customHeight="1" x14ac:dyDescent="0.3">
      <c r="A51" s="235">
        <v>2</v>
      </c>
      <c r="B51" s="236" t="s">
        <v>435</v>
      </c>
      <c r="C51" s="237">
        <v>2777750</v>
      </c>
      <c r="D51" s="237">
        <v>2640964</v>
      </c>
      <c r="E51" s="237">
        <f t="shared" si="6"/>
        <v>-136786</v>
      </c>
      <c r="F51" s="238">
        <f t="shared" si="7"/>
        <v>-4.9243452434524347E-2</v>
      </c>
    </row>
    <row r="52" spans="1:6" ht="20.25" customHeight="1" x14ac:dyDescent="0.3">
      <c r="A52" s="235">
        <v>3</v>
      </c>
      <c r="B52" s="236" t="s">
        <v>436</v>
      </c>
      <c r="C52" s="237">
        <v>2810634</v>
      </c>
      <c r="D52" s="237">
        <v>3809124</v>
      </c>
      <c r="E52" s="237">
        <f t="shared" si="6"/>
        <v>998490</v>
      </c>
      <c r="F52" s="238">
        <f t="shared" si="7"/>
        <v>0.35525436609675964</v>
      </c>
    </row>
    <row r="53" spans="1:6" ht="20.25" customHeight="1" x14ac:dyDescent="0.3">
      <c r="A53" s="235">
        <v>4</v>
      </c>
      <c r="B53" s="236" t="s">
        <v>437</v>
      </c>
      <c r="C53" s="237">
        <v>894893</v>
      </c>
      <c r="D53" s="237">
        <v>943517</v>
      </c>
      <c r="E53" s="237">
        <f t="shared" si="6"/>
        <v>48624</v>
      </c>
      <c r="F53" s="238">
        <f t="shared" si="7"/>
        <v>5.4334987534822597E-2</v>
      </c>
    </row>
    <row r="54" spans="1:6" ht="20.25" customHeight="1" x14ac:dyDescent="0.3">
      <c r="A54" s="235">
        <v>5</v>
      </c>
      <c r="B54" s="236" t="s">
        <v>373</v>
      </c>
      <c r="C54" s="239">
        <v>254</v>
      </c>
      <c r="D54" s="239">
        <v>256</v>
      </c>
      <c r="E54" s="239">
        <f t="shared" si="6"/>
        <v>2</v>
      </c>
      <c r="F54" s="238">
        <f t="shared" si="7"/>
        <v>7.874015748031496E-3</v>
      </c>
    </row>
    <row r="55" spans="1:6" ht="20.25" customHeight="1" x14ac:dyDescent="0.3">
      <c r="A55" s="235">
        <v>6</v>
      </c>
      <c r="B55" s="236" t="s">
        <v>372</v>
      </c>
      <c r="C55" s="239">
        <v>3474</v>
      </c>
      <c r="D55" s="239">
        <v>3430</v>
      </c>
      <c r="E55" s="239">
        <f t="shared" si="6"/>
        <v>-44</v>
      </c>
      <c r="F55" s="238">
        <f t="shared" si="7"/>
        <v>-1.2665515256188831E-2</v>
      </c>
    </row>
    <row r="56" spans="1:6" ht="20.25" customHeight="1" x14ac:dyDescent="0.3">
      <c r="A56" s="235">
        <v>7</v>
      </c>
      <c r="B56" s="236" t="s">
        <v>438</v>
      </c>
      <c r="C56" s="239">
        <v>3693</v>
      </c>
      <c r="D56" s="239">
        <v>3763</v>
      </c>
      <c r="E56" s="239">
        <f t="shared" si="6"/>
        <v>70</v>
      </c>
      <c r="F56" s="238">
        <f t="shared" si="7"/>
        <v>1.8954779312212292E-2</v>
      </c>
    </row>
    <row r="57" spans="1:6" ht="20.25" customHeight="1" x14ac:dyDescent="0.3">
      <c r="A57" s="235">
        <v>8</v>
      </c>
      <c r="B57" s="236" t="s">
        <v>439</v>
      </c>
      <c r="C57" s="239">
        <v>0</v>
      </c>
      <c r="D57" s="239">
        <v>3</v>
      </c>
      <c r="E57" s="239">
        <f t="shared" si="6"/>
        <v>3</v>
      </c>
      <c r="F57" s="238">
        <f t="shared" si="7"/>
        <v>0</v>
      </c>
    </row>
    <row r="58" spans="1:6" ht="20.25" customHeight="1" x14ac:dyDescent="0.3">
      <c r="A58" s="235">
        <v>9</v>
      </c>
      <c r="B58" s="236" t="s">
        <v>440</v>
      </c>
      <c r="C58" s="239">
        <v>108</v>
      </c>
      <c r="D58" s="239">
        <v>126</v>
      </c>
      <c r="E58" s="239">
        <f t="shared" si="6"/>
        <v>18</v>
      </c>
      <c r="F58" s="238">
        <f t="shared" si="7"/>
        <v>0.16666666666666666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10642468</v>
      </c>
      <c r="D59" s="243">
        <f>+D50+D52</f>
        <v>12731204</v>
      </c>
      <c r="E59" s="243">
        <f t="shared" si="6"/>
        <v>2088736</v>
      </c>
      <c r="F59" s="244">
        <f t="shared" si="7"/>
        <v>0.19626424998412023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3672643</v>
      </c>
      <c r="D60" s="243">
        <f>+D51+D53</f>
        <v>3584481</v>
      </c>
      <c r="E60" s="243">
        <f t="shared" si="6"/>
        <v>-88162</v>
      </c>
      <c r="F60" s="244">
        <f t="shared" si="7"/>
        <v>-2.4005055759571514E-2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631</v>
      </c>
      <c r="D76" s="237">
        <v>0</v>
      </c>
      <c r="E76" s="237">
        <f t="shared" si="10"/>
        <v>-631</v>
      </c>
      <c r="F76" s="238">
        <f t="shared" si="11"/>
        <v>-1</v>
      </c>
    </row>
    <row r="77" spans="1:6" ht="20.25" customHeight="1" x14ac:dyDescent="0.3">
      <c r="A77" s="235">
        <v>4</v>
      </c>
      <c r="B77" s="236" t="s">
        <v>437</v>
      </c>
      <c r="C77" s="237">
        <v>438</v>
      </c>
      <c r="D77" s="237">
        <v>0</v>
      </c>
      <c r="E77" s="237">
        <f t="shared" si="10"/>
        <v>-438</v>
      </c>
      <c r="F77" s="238">
        <f t="shared" si="11"/>
        <v>-1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631</v>
      </c>
      <c r="D83" s="243">
        <f>+D74+D76</f>
        <v>0</v>
      </c>
      <c r="E83" s="243">
        <f t="shared" si="10"/>
        <v>-631</v>
      </c>
      <c r="F83" s="244">
        <f t="shared" si="11"/>
        <v>-1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438</v>
      </c>
      <c r="D84" s="243">
        <f>+D75+D77</f>
        <v>0</v>
      </c>
      <c r="E84" s="243">
        <f t="shared" si="10"/>
        <v>-438</v>
      </c>
      <c r="F84" s="244">
        <f t="shared" si="11"/>
        <v>-1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2268393</v>
      </c>
      <c r="D86" s="237">
        <v>2873163</v>
      </c>
      <c r="E86" s="237">
        <f t="shared" ref="E86:E96" si="12">D86-C86</f>
        <v>604770</v>
      </c>
      <c r="F86" s="238">
        <f t="shared" ref="F86:F96" si="13">IF(C86=0,0,E86/C86)</f>
        <v>0.2666072413378105</v>
      </c>
    </row>
    <row r="87" spans="1:6" ht="20.25" customHeight="1" x14ac:dyDescent="0.3">
      <c r="A87" s="235">
        <v>2</v>
      </c>
      <c r="B87" s="236" t="s">
        <v>435</v>
      </c>
      <c r="C87" s="237">
        <v>653965</v>
      </c>
      <c r="D87" s="237">
        <v>895302</v>
      </c>
      <c r="E87" s="237">
        <f t="shared" si="12"/>
        <v>241337</v>
      </c>
      <c r="F87" s="238">
        <f t="shared" si="13"/>
        <v>0.36903656923535666</v>
      </c>
    </row>
    <row r="88" spans="1:6" ht="20.25" customHeight="1" x14ac:dyDescent="0.3">
      <c r="A88" s="235">
        <v>3</v>
      </c>
      <c r="B88" s="236" t="s">
        <v>436</v>
      </c>
      <c r="C88" s="237">
        <v>3721255</v>
      </c>
      <c r="D88" s="237">
        <v>4887146</v>
      </c>
      <c r="E88" s="237">
        <f t="shared" si="12"/>
        <v>1165891</v>
      </c>
      <c r="F88" s="238">
        <f t="shared" si="13"/>
        <v>0.31330586052286125</v>
      </c>
    </row>
    <row r="89" spans="1:6" ht="20.25" customHeight="1" x14ac:dyDescent="0.3">
      <c r="A89" s="235">
        <v>4</v>
      </c>
      <c r="B89" s="236" t="s">
        <v>437</v>
      </c>
      <c r="C89" s="237">
        <v>758309</v>
      </c>
      <c r="D89" s="237">
        <v>1072217</v>
      </c>
      <c r="E89" s="237">
        <f t="shared" si="12"/>
        <v>313908</v>
      </c>
      <c r="F89" s="238">
        <f t="shared" si="13"/>
        <v>0.41395789842926828</v>
      </c>
    </row>
    <row r="90" spans="1:6" ht="20.25" customHeight="1" x14ac:dyDescent="0.3">
      <c r="A90" s="235">
        <v>5</v>
      </c>
      <c r="B90" s="236" t="s">
        <v>373</v>
      </c>
      <c r="C90" s="239">
        <v>153</v>
      </c>
      <c r="D90" s="239">
        <v>157</v>
      </c>
      <c r="E90" s="239">
        <f t="shared" si="12"/>
        <v>4</v>
      </c>
      <c r="F90" s="238">
        <f t="shared" si="13"/>
        <v>2.6143790849673203E-2</v>
      </c>
    </row>
    <row r="91" spans="1:6" ht="20.25" customHeight="1" x14ac:dyDescent="0.3">
      <c r="A91" s="235">
        <v>6</v>
      </c>
      <c r="B91" s="236" t="s">
        <v>372</v>
      </c>
      <c r="C91" s="239">
        <v>414</v>
      </c>
      <c r="D91" s="239">
        <v>546</v>
      </c>
      <c r="E91" s="239">
        <f t="shared" si="12"/>
        <v>132</v>
      </c>
      <c r="F91" s="238">
        <f t="shared" si="13"/>
        <v>0.3188405797101449</v>
      </c>
    </row>
    <row r="92" spans="1:6" ht="20.25" customHeight="1" x14ac:dyDescent="0.3">
      <c r="A92" s="235">
        <v>7</v>
      </c>
      <c r="B92" s="236" t="s">
        <v>438</v>
      </c>
      <c r="C92" s="239">
        <v>1501</v>
      </c>
      <c r="D92" s="239">
        <v>2196</v>
      </c>
      <c r="E92" s="239">
        <f t="shared" si="12"/>
        <v>695</v>
      </c>
      <c r="F92" s="238">
        <f t="shared" si="13"/>
        <v>0.4630246502331779</v>
      </c>
    </row>
    <row r="93" spans="1:6" ht="20.25" customHeight="1" x14ac:dyDescent="0.3">
      <c r="A93" s="235">
        <v>8</v>
      </c>
      <c r="B93" s="236" t="s">
        <v>439</v>
      </c>
      <c r="C93" s="239">
        <v>998</v>
      </c>
      <c r="D93" s="239">
        <v>1172</v>
      </c>
      <c r="E93" s="239">
        <f t="shared" si="12"/>
        <v>174</v>
      </c>
      <c r="F93" s="238">
        <f t="shared" si="13"/>
        <v>0.17434869739478959</v>
      </c>
    </row>
    <row r="94" spans="1:6" ht="20.25" customHeight="1" x14ac:dyDescent="0.3">
      <c r="A94" s="235">
        <v>9</v>
      </c>
      <c r="B94" s="236" t="s">
        <v>440</v>
      </c>
      <c r="C94" s="239">
        <v>41</v>
      </c>
      <c r="D94" s="239">
        <v>24</v>
      </c>
      <c r="E94" s="239">
        <f t="shared" si="12"/>
        <v>-17</v>
      </c>
      <c r="F94" s="238">
        <f t="shared" si="13"/>
        <v>-0.41463414634146339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5989648</v>
      </c>
      <c r="D95" s="243">
        <f>+D86+D88</f>
        <v>7760309</v>
      </c>
      <c r="E95" s="243">
        <f t="shared" si="12"/>
        <v>1770661</v>
      </c>
      <c r="F95" s="244">
        <f t="shared" si="13"/>
        <v>0.29562021006910588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1412274</v>
      </c>
      <c r="D96" s="243">
        <f>+D87+D89</f>
        <v>1967519</v>
      </c>
      <c r="E96" s="243">
        <f t="shared" si="12"/>
        <v>555245</v>
      </c>
      <c r="F96" s="244">
        <f t="shared" si="13"/>
        <v>0.39315671038339584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4786076</v>
      </c>
      <c r="D98" s="237">
        <v>6551613</v>
      </c>
      <c r="E98" s="237">
        <f t="shared" ref="E98:E108" si="14">D98-C98</f>
        <v>1765537</v>
      </c>
      <c r="F98" s="238">
        <f t="shared" ref="F98:F108" si="15">IF(C98=0,0,E98/C98)</f>
        <v>0.36889029760496911</v>
      </c>
    </row>
    <row r="99" spans="1:7" ht="20.25" customHeight="1" x14ac:dyDescent="0.3">
      <c r="A99" s="235">
        <v>2</v>
      </c>
      <c r="B99" s="236" t="s">
        <v>435</v>
      </c>
      <c r="C99" s="237">
        <v>1173646</v>
      </c>
      <c r="D99" s="237">
        <v>2013241</v>
      </c>
      <c r="E99" s="237">
        <f t="shared" si="14"/>
        <v>839595</v>
      </c>
      <c r="F99" s="238">
        <f t="shared" si="15"/>
        <v>0.71537328973131586</v>
      </c>
    </row>
    <row r="100" spans="1:7" ht="20.25" customHeight="1" x14ac:dyDescent="0.3">
      <c r="A100" s="235">
        <v>3</v>
      </c>
      <c r="B100" s="236" t="s">
        <v>436</v>
      </c>
      <c r="C100" s="237">
        <v>7133228</v>
      </c>
      <c r="D100" s="237">
        <v>8879754</v>
      </c>
      <c r="E100" s="237">
        <f t="shared" si="14"/>
        <v>1746526</v>
      </c>
      <c r="F100" s="238">
        <f t="shared" si="15"/>
        <v>0.2448437089071035</v>
      </c>
    </row>
    <row r="101" spans="1:7" ht="20.25" customHeight="1" x14ac:dyDescent="0.3">
      <c r="A101" s="235">
        <v>4</v>
      </c>
      <c r="B101" s="236" t="s">
        <v>437</v>
      </c>
      <c r="C101" s="237">
        <v>1697167</v>
      </c>
      <c r="D101" s="237">
        <v>2185921</v>
      </c>
      <c r="E101" s="237">
        <f t="shared" si="14"/>
        <v>488754</v>
      </c>
      <c r="F101" s="238">
        <f t="shared" si="15"/>
        <v>0.2879822669189302</v>
      </c>
    </row>
    <row r="102" spans="1:7" ht="20.25" customHeight="1" x14ac:dyDescent="0.3">
      <c r="A102" s="235">
        <v>5</v>
      </c>
      <c r="B102" s="236" t="s">
        <v>373</v>
      </c>
      <c r="C102" s="239">
        <v>258</v>
      </c>
      <c r="D102" s="239">
        <v>303</v>
      </c>
      <c r="E102" s="239">
        <f t="shared" si="14"/>
        <v>45</v>
      </c>
      <c r="F102" s="238">
        <f t="shared" si="15"/>
        <v>0.1744186046511628</v>
      </c>
    </row>
    <row r="103" spans="1:7" ht="20.25" customHeight="1" x14ac:dyDescent="0.3">
      <c r="A103" s="235">
        <v>6</v>
      </c>
      <c r="B103" s="236" t="s">
        <v>372</v>
      </c>
      <c r="C103" s="239">
        <v>878</v>
      </c>
      <c r="D103" s="239">
        <v>1062</v>
      </c>
      <c r="E103" s="239">
        <f t="shared" si="14"/>
        <v>184</v>
      </c>
      <c r="F103" s="238">
        <f t="shared" si="15"/>
        <v>0.20956719817767655</v>
      </c>
    </row>
    <row r="104" spans="1:7" ht="20.25" customHeight="1" x14ac:dyDescent="0.3">
      <c r="A104" s="235">
        <v>7</v>
      </c>
      <c r="B104" s="236" t="s">
        <v>438</v>
      </c>
      <c r="C104" s="239">
        <v>3217</v>
      </c>
      <c r="D104" s="239">
        <v>3700</v>
      </c>
      <c r="E104" s="239">
        <f t="shared" si="14"/>
        <v>483</v>
      </c>
      <c r="F104" s="238">
        <f t="shared" si="15"/>
        <v>0.15013988187752564</v>
      </c>
    </row>
    <row r="105" spans="1:7" ht="20.25" customHeight="1" x14ac:dyDescent="0.3">
      <c r="A105" s="235">
        <v>8</v>
      </c>
      <c r="B105" s="236" t="s">
        <v>439</v>
      </c>
      <c r="C105" s="239">
        <v>1533</v>
      </c>
      <c r="D105" s="239">
        <v>1761</v>
      </c>
      <c r="E105" s="239">
        <f t="shared" si="14"/>
        <v>228</v>
      </c>
      <c r="F105" s="238">
        <f t="shared" si="15"/>
        <v>0.14872798434442269</v>
      </c>
    </row>
    <row r="106" spans="1:7" ht="20.25" customHeight="1" x14ac:dyDescent="0.3">
      <c r="A106" s="235">
        <v>9</v>
      </c>
      <c r="B106" s="236" t="s">
        <v>440</v>
      </c>
      <c r="C106" s="239">
        <v>88</v>
      </c>
      <c r="D106" s="239">
        <v>83</v>
      </c>
      <c r="E106" s="239">
        <f t="shared" si="14"/>
        <v>-5</v>
      </c>
      <c r="F106" s="238">
        <f t="shared" si="15"/>
        <v>-5.6818181818181816E-2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11919304</v>
      </c>
      <c r="D107" s="243">
        <f>+D98+D100</f>
        <v>15431367</v>
      </c>
      <c r="E107" s="243">
        <f t="shared" si="14"/>
        <v>3512063</v>
      </c>
      <c r="F107" s="244">
        <f t="shared" si="15"/>
        <v>0.29465336231041678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2870813</v>
      </c>
      <c r="D108" s="243">
        <f>+D99+D101</f>
        <v>4199162</v>
      </c>
      <c r="E108" s="243">
        <f t="shared" si="14"/>
        <v>1328349</v>
      </c>
      <c r="F108" s="244">
        <f t="shared" si="15"/>
        <v>0.46270829900798138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29429204</v>
      </c>
      <c r="D112" s="243">
        <f t="shared" si="16"/>
        <v>35099943</v>
      </c>
      <c r="E112" s="243">
        <f t="shared" ref="E112:E122" si="17">D112-C112</f>
        <v>5670739</v>
      </c>
      <c r="F112" s="244">
        <f t="shared" ref="F112:F122" si="18">IF(C112=0,0,E112/C112)</f>
        <v>0.19269087264473753</v>
      </c>
    </row>
    <row r="113" spans="1:6" ht="20.25" customHeight="1" x14ac:dyDescent="0.3">
      <c r="A113" s="249"/>
      <c r="B113" s="250" t="s">
        <v>461</v>
      </c>
      <c r="C113" s="243">
        <f t="shared" si="16"/>
        <v>8536496</v>
      </c>
      <c r="D113" s="243">
        <f t="shared" si="16"/>
        <v>10190643</v>
      </c>
      <c r="E113" s="243">
        <f t="shared" si="17"/>
        <v>1654147</v>
      </c>
      <c r="F113" s="244">
        <f t="shared" si="18"/>
        <v>0.19377353424636995</v>
      </c>
    </row>
    <row r="114" spans="1:6" ht="20.25" customHeight="1" x14ac:dyDescent="0.3">
      <c r="A114" s="249"/>
      <c r="B114" s="250" t="s">
        <v>462</v>
      </c>
      <c r="C114" s="243">
        <f t="shared" si="16"/>
        <v>37431783</v>
      </c>
      <c r="D114" s="243">
        <f t="shared" si="16"/>
        <v>44373304</v>
      </c>
      <c r="E114" s="243">
        <f t="shared" si="17"/>
        <v>6941521</v>
      </c>
      <c r="F114" s="244">
        <f t="shared" si="18"/>
        <v>0.18544457259757036</v>
      </c>
    </row>
    <row r="115" spans="1:6" ht="20.25" customHeight="1" x14ac:dyDescent="0.3">
      <c r="A115" s="249"/>
      <c r="B115" s="250" t="s">
        <v>463</v>
      </c>
      <c r="C115" s="243">
        <f t="shared" si="16"/>
        <v>10556489</v>
      </c>
      <c r="D115" s="243">
        <f t="shared" si="16"/>
        <v>13371251</v>
      </c>
      <c r="E115" s="243">
        <f t="shared" si="17"/>
        <v>2814762</v>
      </c>
      <c r="F115" s="244">
        <f t="shared" si="18"/>
        <v>0.2666380839311252</v>
      </c>
    </row>
    <row r="116" spans="1:6" ht="20.25" customHeight="1" x14ac:dyDescent="0.3">
      <c r="A116" s="249"/>
      <c r="B116" s="250" t="s">
        <v>464</v>
      </c>
      <c r="C116" s="252">
        <f t="shared" si="16"/>
        <v>1571</v>
      </c>
      <c r="D116" s="252">
        <f t="shared" si="16"/>
        <v>1646</v>
      </c>
      <c r="E116" s="252">
        <f t="shared" si="17"/>
        <v>75</v>
      </c>
      <c r="F116" s="244">
        <f t="shared" si="18"/>
        <v>4.7740292807129214E-2</v>
      </c>
    </row>
    <row r="117" spans="1:6" ht="20.25" customHeight="1" x14ac:dyDescent="0.3">
      <c r="A117" s="249"/>
      <c r="B117" s="250" t="s">
        <v>465</v>
      </c>
      <c r="C117" s="252">
        <f t="shared" si="16"/>
        <v>7698</v>
      </c>
      <c r="D117" s="252">
        <f t="shared" si="16"/>
        <v>8024</v>
      </c>
      <c r="E117" s="252">
        <f t="shared" si="17"/>
        <v>326</v>
      </c>
      <c r="F117" s="244">
        <f t="shared" si="18"/>
        <v>4.2348661990127309E-2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18471</v>
      </c>
      <c r="D118" s="252">
        <f t="shared" si="16"/>
        <v>22124</v>
      </c>
      <c r="E118" s="252">
        <f t="shared" si="17"/>
        <v>3653</v>
      </c>
      <c r="F118" s="244">
        <f t="shared" si="18"/>
        <v>0.19776947647663906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8150</v>
      </c>
      <c r="D119" s="252">
        <f t="shared" si="16"/>
        <v>8825</v>
      </c>
      <c r="E119" s="252">
        <f t="shared" si="17"/>
        <v>675</v>
      </c>
      <c r="F119" s="244">
        <f t="shared" si="18"/>
        <v>8.2822085889570546E-2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451</v>
      </c>
      <c r="D120" s="252">
        <f t="shared" si="16"/>
        <v>409</v>
      </c>
      <c r="E120" s="252">
        <f t="shared" si="17"/>
        <v>-42</v>
      </c>
      <c r="F120" s="244">
        <f t="shared" si="18"/>
        <v>-9.3126385809312637E-2</v>
      </c>
    </row>
    <row r="121" spans="1:6" ht="39.950000000000003" customHeight="1" x14ac:dyDescent="0.3">
      <c r="A121" s="249"/>
      <c r="B121" s="242" t="s">
        <v>441</v>
      </c>
      <c r="C121" s="243">
        <f>+C112+C114</f>
        <v>66860987</v>
      </c>
      <c r="D121" s="243">
        <f>+D112+D114</f>
        <v>79473247</v>
      </c>
      <c r="E121" s="243">
        <f t="shared" si="17"/>
        <v>12612260</v>
      </c>
      <c r="F121" s="244">
        <f t="shared" si="18"/>
        <v>0.18863406847404152</v>
      </c>
    </row>
    <row r="122" spans="1:6" ht="39.950000000000003" customHeight="1" x14ac:dyDescent="0.3">
      <c r="A122" s="249"/>
      <c r="B122" s="242" t="s">
        <v>470</v>
      </c>
      <c r="C122" s="243">
        <f>+C113+C115</f>
        <v>19092985</v>
      </c>
      <c r="D122" s="243">
        <f>+D113+D115</f>
        <v>23561894</v>
      </c>
      <c r="E122" s="243">
        <f t="shared" si="17"/>
        <v>4468909</v>
      </c>
      <c r="F122" s="244">
        <f t="shared" si="18"/>
        <v>0.23406025825715571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FILING&amp;RHOSPITAL OF SAINT RAPHAEL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9.140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18157676</v>
      </c>
      <c r="D13" s="23">
        <v>33762815</v>
      </c>
      <c r="E13" s="23">
        <f t="shared" ref="E13:E22" si="0">D13-C13</f>
        <v>15605139</v>
      </c>
      <c r="F13" s="24">
        <f t="shared" ref="F13:F22" si="1">IF(C13=0,0,E13/C13)</f>
        <v>0.8594238051169103</v>
      </c>
    </row>
    <row r="14" spans="1:8" ht="24" customHeight="1" x14ac:dyDescent="0.2">
      <c r="A14" s="21">
        <v>2</v>
      </c>
      <c r="B14" s="22" t="s">
        <v>17</v>
      </c>
      <c r="C14" s="23">
        <v>2314446</v>
      </c>
      <c r="D14" s="23">
        <v>1156970</v>
      </c>
      <c r="E14" s="23">
        <f t="shared" si="0"/>
        <v>-1157476</v>
      </c>
      <c r="F14" s="24">
        <f t="shared" si="1"/>
        <v>-0.50010931341668807</v>
      </c>
    </row>
    <row r="15" spans="1:8" ht="35.1" customHeight="1" x14ac:dyDescent="0.2">
      <c r="A15" s="21">
        <v>3</v>
      </c>
      <c r="B15" s="22" t="s">
        <v>18</v>
      </c>
      <c r="C15" s="23">
        <v>48995601</v>
      </c>
      <c r="D15" s="23">
        <v>45453211</v>
      </c>
      <c r="E15" s="23">
        <f t="shared" si="0"/>
        <v>-3542390</v>
      </c>
      <c r="F15" s="24">
        <f t="shared" si="1"/>
        <v>-7.2300164253521454E-2</v>
      </c>
    </row>
    <row r="16" spans="1:8" ht="35.1" customHeight="1" x14ac:dyDescent="0.2">
      <c r="A16" s="21">
        <v>4</v>
      </c>
      <c r="B16" s="22" t="s">
        <v>19</v>
      </c>
      <c r="C16" s="23">
        <v>1196185</v>
      </c>
      <c r="D16" s="23">
        <v>1206054</v>
      </c>
      <c r="E16" s="23">
        <f t="shared" si="0"/>
        <v>9869</v>
      </c>
      <c r="F16" s="24">
        <f t="shared" si="1"/>
        <v>8.2503960507780989E-3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9564963</v>
      </c>
      <c r="D18" s="23">
        <v>6664563</v>
      </c>
      <c r="E18" s="23">
        <f t="shared" si="0"/>
        <v>-2900400</v>
      </c>
      <c r="F18" s="24">
        <f t="shared" si="1"/>
        <v>-0.30323170094855567</v>
      </c>
    </row>
    <row r="19" spans="1:11" ht="24" customHeight="1" x14ac:dyDescent="0.2">
      <c r="A19" s="21">
        <v>7</v>
      </c>
      <c r="B19" s="22" t="s">
        <v>22</v>
      </c>
      <c r="C19" s="23">
        <v>7983299</v>
      </c>
      <c r="D19" s="23">
        <v>7466483</v>
      </c>
      <c r="E19" s="23">
        <f t="shared" si="0"/>
        <v>-516816</v>
      </c>
      <c r="F19" s="24">
        <f t="shared" si="1"/>
        <v>-6.4737146886268443E-2</v>
      </c>
    </row>
    <row r="20" spans="1:11" ht="24" customHeight="1" x14ac:dyDescent="0.2">
      <c r="A20" s="21">
        <v>8</v>
      </c>
      <c r="B20" s="22" t="s">
        <v>23</v>
      </c>
      <c r="C20" s="23">
        <v>477308</v>
      </c>
      <c r="D20" s="23">
        <v>230018</v>
      </c>
      <c r="E20" s="23">
        <f t="shared" si="0"/>
        <v>-247290</v>
      </c>
      <c r="F20" s="24">
        <f t="shared" si="1"/>
        <v>-0.51809313902134468</v>
      </c>
    </row>
    <row r="21" spans="1:11" ht="24" customHeight="1" x14ac:dyDescent="0.2">
      <c r="A21" s="21">
        <v>9</v>
      </c>
      <c r="B21" s="22" t="s">
        <v>24</v>
      </c>
      <c r="C21" s="23">
        <v>4789363</v>
      </c>
      <c r="D21" s="23">
        <v>3494247</v>
      </c>
      <c r="E21" s="23">
        <f t="shared" si="0"/>
        <v>-1295116</v>
      </c>
      <c r="F21" s="24">
        <f t="shared" si="1"/>
        <v>-0.27041508442772033</v>
      </c>
    </row>
    <row r="22" spans="1:11" ht="24" customHeight="1" x14ac:dyDescent="0.25">
      <c r="A22" s="25"/>
      <c r="B22" s="26" t="s">
        <v>25</v>
      </c>
      <c r="C22" s="27">
        <f>SUM(C13:C21)</f>
        <v>93478841</v>
      </c>
      <c r="D22" s="27">
        <f>SUM(D13:D21)</f>
        <v>99434361</v>
      </c>
      <c r="E22" s="27">
        <f t="shared" si="0"/>
        <v>5955520</v>
      </c>
      <c r="F22" s="28">
        <f t="shared" si="1"/>
        <v>6.3709818567391094E-2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7412957</v>
      </c>
      <c r="D25" s="23">
        <v>7503642</v>
      </c>
      <c r="E25" s="23">
        <f>D25-C25</f>
        <v>90685</v>
      </c>
      <c r="F25" s="24">
        <f>IF(C25=0,0,E25/C25)</f>
        <v>1.2233309865415379E-2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7577185</v>
      </c>
      <c r="D27" s="23">
        <v>7584514</v>
      </c>
      <c r="E27" s="23">
        <f>D27-C27</f>
        <v>7329</v>
      </c>
      <c r="F27" s="24">
        <f>IF(C27=0,0,E27/C27)</f>
        <v>9.6724575155549193E-4</v>
      </c>
    </row>
    <row r="28" spans="1:11" ht="35.1" customHeight="1" x14ac:dyDescent="0.2">
      <c r="A28" s="21">
        <v>4</v>
      </c>
      <c r="B28" s="22" t="s">
        <v>31</v>
      </c>
      <c r="C28" s="23">
        <v>79664302</v>
      </c>
      <c r="D28" s="23">
        <v>80655013</v>
      </c>
      <c r="E28" s="23">
        <f>D28-C28</f>
        <v>990711</v>
      </c>
      <c r="F28" s="24">
        <f>IF(C28=0,0,E28/C28)</f>
        <v>1.2436072056465141E-2</v>
      </c>
    </row>
    <row r="29" spans="1:11" ht="35.1" customHeight="1" x14ac:dyDescent="0.25">
      <c r="A29" s="25"/>
      <c r="B29" s="26" t="s">
        <v>32</v>
      </c>
      <c r="C29" s="27">
        <f>SUM(C25:C28)</f>
        <v>94654444</v>
      </c>
      <c r="D29" s="27">
        <f>SUM(D25:D28)</f>
        <v>95743169</v>
      </c>
      <c r="E29" s="27">
        <f>D29-C29</f>
        <v>1088725</v>
      </c>
      <c r="F29" s="28">
        <f>IF(C29=0,0,E29/C29)</f>
        <v>1.1502101264257597E-2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2188026</v>
      </c>
      <c r="D32" s="23">
        <v>2204090</v>
      </c>
      <c r="E32" s="23">
        <f>D32-C32</f>
        <v>16064</v>
      </c>
      <c r="F32" s="24">
        <f>IF(C32=0,0,E32/C32)</f>
        <v>7.3417774743078923E-3</v>
      </c>
    </row>
    <row r="33" spans="1:8" ht="24" customHeight="1" x14ac:dyDescent="0.2">
      <c r="A33" s="21">
        <v>7</v>
      </c>
      <c r="B33" s="22" t="s">
        <v>35</v>
      </c>
      <c r="C33" s="23">
        <v>18065310</v>
      </c>
      <c r="D33" s="23">
        <v>21830482</v>
      </c>
      <c r="E33" s="23">
        <f>D33-C33</f>
        <v>3765172</v>
      </c>
      <c r="F33" s="24">
        <f>IF(C33=0,0,E33/C33)</f>
        <v>0.20842000497085297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458608756</v>
      </c>
      <c r="D36" s="23">
        <v>458396133</v>
      </c>
      <c r="E36" s="23">
        <f>D36-C36</f>
        <v>-212623</v>
      </c>
      <c r="F36" s="24">
        <f>IF(C36=0,0,E36/C36)</f>
        <v>-4.6362612405071482E-4</v>
      </c>
    </row>
    <row r="37" spans="1:8" ht="24" customHeight="1" x14ac:dyDescent="0.2">
      <c r="A37" s="21">
        <v>2</v>
      </c>
      <c r="B37" s="22" t="s">
        <v>39</v>
      </c>
      <c r="C37" s="23">
        <v>358252005</v>
      </c>
      <c r="D37" s="23">
        <v>363550558</v>
      </c>
      <c r="E37" s="23">
        <f>D37-C37</f>
        <v>5298553</v>
      </c>
      <c r="F37" s="23">
        <f>IF(C37=0,0,E37/C37)</f>
        <v>1.4790016318261778E-2</v>
      </c>
    </row>
    <row r="38" spans="1:8" ht="24" customHeight="1" x14ac:dyDescent="0.25">
      <c r="A38" s="25"/>
      <c r="B38" s="26" t="s">
        <v>40</v>
      </c>
      <c r="C38" s="27">
        <f>C36-C37</f>
        <v>100356751</v>
      </c>
      <c r="D38" s="27">
        <f>D36-D37</f>
        <v>94845575</v>
      </c>
      <c r="E38" s="27">
        <f>D38-C38</f>
        <v>-5511176</v>
      </c>
      <c r="F38" s="28">
        <f>IF(C38=0,0,E38/C38)</f>
        <v>-5.4915847166076552E-2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396986</v>
      </c>
      <c r="D40" s="23">
        <v>2089600</v>
      </c>
      <c r="E40" s="23">
        <f>D40-C40</f>
        <v>1692614</v>
      </c>
      <c r="F40" s="24">
        <f>IF(C40=0,0,E40/C40)</f>
        <v>4.2636616908404834</v>
      </c>
    </row>
    <row r="41" spans="1:8" ht="24" customHeight="1" x14ac:dyDescent="0.25">
      <c r="A41" s="25"/>
      <c r="B41" s="26" t="s">
        <v>42</v>
      </c>
      <c r="C41" s="27">
        <f>+C38+C40</f>
        <v>100753737</v>
      </c>
      <c r="D41" s="27">
        <f>+D38+D40</f>
        <v>96935175</v>
      </c>
      <c r="E41" s="27">
        <f>D41-C41</f>
        <v>-3818562</v>
      </c>
      <c r="F41" s="28">
        <f>IF(C41=0,0,E41/C41)</f>
        <v>-3.7899954023541578E-2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309140358</v>
      </c>
      <c r="D43" s="27">
        <f>D22+D29+D31+D32+D33+D41</f>
        <v>316147277</v>
      </c>
      <c r="E43" s="27">
        <f>D43-C43</f>
        <v>7006919</v>
      </c>
      <c r="F43" s="28">
        <f>IF(C43=0,0,E43/C43)</f>
        <v>2.26658177060143E-2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48205580</v>
      </c>
      <c r="D49" s="23">
        <v>49250642</v>
      </c>
      <c r="E49" s="23">
        <f t="shared" ref="E49:E56" si="2">D49-C49</f>
        <v>1045062</v>
      </c>
      <c r="F49" s="24">
        <f t="shared" ref="F49:F56" si="3">IF(C49=0,0,E49/C49)</f>
        <v>2.1679274474033918E-2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8099705</v>
      </c>
      <c r="D50" s="23">
        <v>9283150</v>
      </c>
      <c r="E50" s="23">
        <f t="shared" si="2"/>
        <v>1183445</v>
      </c>
      <c r="F50" s="24">
        <f t="shared" si="3"/>
        <v>0.14610964226474915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3567787</v>
      </c>
      <c r="D51" s="23">
        <v>4863613</v>
      </c>
      <c r="E51" s="23">
        <f t="shared" si="2"/>
        <v>1295826</v>
      </c>
      <c r="F51" s="24">
        <f t="shared" si="3"/>
        <v>0.36320161489461117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77783678</v>
      </c>
      <c r="D53" s="23">
        <v>74037024</v>
      </c>
      <c r="E53" s="23">
        <f t="shared" si="2"/>
        <v>-3746654</v>
      </c>
      <c r="F53" s="24">
        <f t="shared" si="3"/>
        <v>-4.8167611719260692E-2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6586292</v>
      </c>
      <c r="D55" s="23">
        <v>2014389</v>
      </c>
      <c r="E55" s="23">
        <f t="shared" si="2"/>
        <v>-4571903</v>
      </c>
      <c r="F55" s="24">
        <f t="shared" si="3"/>
        <v>-0.69415431323117771</v>
      </c>
    </row>
    <row r="56" spans="1:6" ht="24" customHeight="1" x14ac:dyDescent="0.25">
      <c r="A56" s="25"/>
      <c r="B56" s="26" t="s">
        <v>54</v>
      </c>
      <c r="C56" s="27">
        <f>SUM(C49:C55)</f>
        <v>144243042</v>
      </c>
      <c r="D56" s="27">
        <f>SUM(D49:D55)</f>
        <v>139448818</v>
      </c>
      <c r="E56" s="27">
        <f t="shared" si="2"/>
        <v>-4794224</v>
      </c>
      <c r="F56" s="28">
        <f t="shared" si="3"/>
        <v>-3.3237124879826094E-2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0</v>
      </c>
      <c r="D59" s="23">
        <v>0</v>
      </c>
      <c r="E59" s="23">
        <f>D59-C59</f>
        <v>0</v>
      </c>
      <c r="F59" s="24">
        <f>IF(C59=0,0,E59/C59)</f>
        <v>0</v>
      </c>
    </row>
    <row r="60" spans="1:6" ht="24" customHeight="1" x14ac:dyDescent="0.2">
      <c r="A60" s="21">
        <v>2</v>
      </c>
      <c r="B60" s="22" t="s">
        <v>57</v>
      </c>
      <c r="C60" s="23">
        <v>1946643</v>
      </c>
      <c r="D60" s="23">
        <v>660619</v>
      </c>
      <c r="E60" s="23">
        <f>D60-C60</f>
        <v>-1286024</v>
      </c>
      <c r="F60" s="24">
        <f>IF(C60=0,0,E60/C60)</f>
        <v>-0.66063679883779414</v>
      </c>
    </row>
    <row r="61" spans="1:6" ht="24" customHeight="1" x14ac:dyDescent="0.25">
      <c r="A61" s="25"/>
      <c r="B61" s="26" t="s">
        <v>58</v>
      </c>
      <c r="C61" s="27">
        <f>SUM(C59:C60)</f>
        <v>1946643</v>
      </c>
      <c r="D61" s="27">
        <f>SUM(D59:D60)</f>
        <v>660619</v>
      </c>
      <c r="E61" s="27">
        <f>D61-C61</f>
        <v>-1286024</v>
      </c>
      <c r="F61" s="28">
        <f>IF(C61=0,0,E61/C61)</f>
        <v>-0.66063679883779414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108025533</v>
      </c>
      <c r="D63" s="23">
        <v>140965489</v>
      </c>
      <c r="E63" s="23">
        <f>D63-C63</f>
        <v>32939956</v>
      </c>
      <c r="F63" s="24">
        <f>IF(C63=0,0,E63/C63)</f>
        <v>0.30492750264884139</v>
      </c>
    </row>
    <row r="64" spans="1:6" ht="24" customHeight="1" x14ac:dyDescent="0.2">
      <c r="A64" s="21">
        <v>4</v>
      </c>
      <c r="B64" s="22" t="s">
        <v>60</v>
      </c>
      <c r="C64" s="23">
        <v>54741937</v>
      </c>
      <c r="D64" s="23">
        <v>59991726</v>
      </c>
      <c r="E64" s="23">
        <f>D64-C64</f>
        <v>5249789</v>
      </c>
      <c r="F64" s="24">
        <f>IF(C64=0,0,E64/C64)</f>
        <v>9.5900680313888056E-2</v>
      </c>
    </row>
    <row r="65" spans="1:6" ht="24" customHeight="1" x14ac:dyDescent="0.25">
      <c r="A65" s="25"/>
      <c r="B65" s="26" t="s">
        <v>61</v>
      </c>
      <c r="C65" s="27">
        <f>SUM(C61:C64)</f>
        <v>164714113</v>
      </c>
      <c r="D65" s="27">
        <f>SUM(D61:D64)</f>
        <v>201617834</v>
      </c>
      <c r="E65" s="27">
        <f>D65-C65</f>
        <v>36903721</v>
      </c>
      <c r="F65" s="28">
        <f>IF(C65=0,0,E65/C65)</f>
        <v>0.22404711003725589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-36793919</v>
      </c>
      <c r="D70" s="23">
        <v>-61657421</v>
      </c>
      <c r="E70" s="23">
        <f>D70-C70</f>
        <v>-24863502</v>
      </c>
      <c r="F70" s="24">
        <f>IF(C70=0,0,E70/C70)</f>
        <v>0.67575030536975422</v>
      </c>
    </row>
    <row r="71" spans="1:6" ht="24" customHeight="1" x14ac:dyDescent="0.2">
      <c r="A71" s="21">
        <v>2</v>
      </c>
      <c r="B71" s="22" t="s">
        <v>65</v>
      </c>
      <c r="C71" s="23">
        <v>19184107</v>
      </c>
      <c r="D71" s="23">
        <v>20776127</v>
      </c>
      <c r="E71" s="23">
        <f>D71-C71</f>
        <v>1592020</v>
      </c>
      <c r="F71" s="24">
        <f>IF(C71=0,0,E71/C71)</f>
        <v>8.2986401191361164E-2</v>
      </c>
    </row>
    <row r="72" spans="1:6" ht="24" customHeight="1" x14ac:dyDescent="0.2">
      <c r="A72" s="21">
        <v>3</v>
      </c>
      <c r="B72" s="22" t="s">
        <v>66</v>
      </c>
      <c r="C72" s="23">
        <v>17793015</v>
      </c>
      <c r="D72" s="23">
        <v>15961919</v>
      </c>
      <c r="E72" s="23">
        <f>D72-C72</f>
        <v>-1831096</v>
      </c>
      <c r="F72" s="24">
        <f>IF(C72=0,0,E72/C72)</f>
        <v>-0.10291094567165823</v>
      </c>
    </row>
    <row r="73" spans="1:6" ht="24" customHeight="1" x14ac:dyDescent="0.25">
      <c r="A73" s="21"/>
      <c r="B73" s="26" t="s">
        <v>67</v>
      </c>
      <c r="C73" s="27">
        <f>SUM(C70:C72)</f>
        <v>183203</v>
      </c>
      <c r="D73" s="27">
        <f>SUM(D70:D72)</f>
        <v>-24919375</v>
      </c>
      <c r="E73" s="27">
        <f>D73-C73</f>
        <v>-25102578</v>
      </c>
      <c r="F73" s="28">
        <f>IF(C73=0,0,E73/C73)</f>
        <v>-137.02056189036205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309140358</v>
      </c>
      <c r="D75" s="27">
        <f>D56+D65+D67+D73</f>
        <v>316147277</v>
      </c>
      <c r="E75" s="27">
        <f>D75-C75</f>
        <v>7006919</v>
      </c>
      <c r="F75" s="28">
        <f>IF(C75=0,0,E75/C75)</f>
        <v>2.26658177060143E-2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RAPHAEL HEALTHCARE SYSTEM, INC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1310311655</v>
      </c>
      <c r="D12" s="51">
        <v>1394159643</v>
      </c>
      <c r="E12" s="51">
        <f t="shared" ref="E12:E19" si="0">D12-C12</f>
        <v>83847988</v>
      </c>
      <c r="F12" s="70">
        <f t="shared" ref="F12:F19" si="1">IF(C12=0,0,E12/C12)</f>
        <v>6.3990873987913963E-2</v>
      </c>
    </row>
    <row r="13" spans="1:8" ht="23.1" customHeight="1" x14ac:dyDescent="0.2">
      <c r="A13" s="25">
        <v>2</v>
      </c>
      <c r="B13" s="48" t="s">
        <v>72</v>
      </c>
      <c r="C13" s="51">
        <v>819050564</v>
      </c>
      <c r="D13" s="51">
        <v>896038334</v>
      </c>
      <c r="E13" s="51">
        <f t="shared" si="0"/>
        <v>76987770</v>
      </c>
      <c r="F13" s="70">
        <f t="shared" si="1"/>
        <v>9.3996357958676655E-2</v>
      </c>
    </row>
    <row r="14" spans="1:8" ht="23.1" customHeight="1" x14ac:dyDescent="0.2">
      <c r="A14" s="25">
        <v>3</v>
      </c>
      <c r="B14" s="48" t="s">
        <v>73</v>
      </c>
      <c r="C14" s="51">
        <v>5390522</v>
      </c>
      <c r="D14" s="51">
        <v>5784587</v>
      </c>
      <c r="E14" s="51">
        <f t="shared" si="0"/>
        <v>394065</v>
      </c>
      <c r="F14" s="70">
        <f t="shared" si="1"/>
        <v>7.3103309846430459E-2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485870569</v>
      </c>
      <c r="D16" s="27">
        <f>D12-D13-D14-D15</f>
        <v>492336722</v>
      </c>
      <c r="E16" s="27">
        <f t="shared" si="0"/>
        <v>6466153</v>
      </c>
      <c r="F16" s="28">
        <f t="shared" si="1"/>
        <v>1.330838583886319E-2</v>
      </c>
    </row>
    <row r="17" spans="1:7" ht="23.1" customHeight="1" x14ac:dyDescent="0.2">
      <c r="A17" s="25">
        <v>5</v>
      </c>
      <c r="B17" s="48" t="s">
        <v>76</v>
      </c>
      <c r="C17" s="51">
        <v>22982867</v>
      </c>
      <c r="D17" s="51">
        <v>21108848</v>
      </c>
      <c r="E17" s="51">
        <f t="shared" si="0"/>
        <v>-1874019</v>
      </c>
      <c r="F17" s="70">
        <f t="shared" si="1"/>
        <v>-8.1539827037244744E-2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3695196</v>
      </c>
      <c r="D18" s="51">
        <v>5555754</v>
      </c>
      <c r="E18" s="51">
        <f t="shared" si="0"/>
        <v>1860558</v>
      </c>
      <c r="F18" s="70">
        <f t="shared" si="1"/>
        <v>0.50350725644864303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512548632</v>
      </c>
      <c r="D19" s="27">
        <f>SUM(D16:D18)</f>
        <v>519001324</v>
      </c>
      <c r="E19" s="27">
        <f t="shared" si="0"/>
        <v>6452692</v>
      </c>
      <c r="F19" s="28">
        <f t="shared" si="1"/>
        <v>1.2589423904656914E-2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239802330</v>
      </c>
      <c r="D22" s="51">
        <v>244808913</v>
      </c>
      <c r="E22" s="51">
        <f t="shared" ref="E22:E31" si="2">D22-C22</f>
        <v>5006583</v>
      </c>
      <c r="F22" s="70">
        <f t="shared" ref="F22:F31" si="3">IF(C22=0,0,E22/C22)</f>
        <v>2.0877958108246907E-2</v>
      </c>
    </row>
    <row r="23" spans="1:7" ht="23.1" customHeight="1" x14ac:dyDescent="0.2">
      <c r="A23" s="25">
        <v>2</v>
      </c>
      <c r="B23" s="48" t="s">
        <v>81</v>
      </c>
      <c r="C23" s="51">
        <v>59977590</v>
      </c>
      <c r="D23" s="51">
        <v>59563126</v>
      </c>
      <c r="E23" s="51">
        <f t="shared" si="2"/>
        <v>-414464</v>
      </c>
      <c r="F23" s="70">
        <f t="shared" si="3"/>
        <v>-6.9103143357377318E-3</v>
      </c>
    </row>
    <row r="24" spans="1:7" ht="23.1" customHeight="1" x14ac:dyDescent="0.2">
      <c r="A24" s="25">
        <v>3</v>
      </c>
      <c r="B24" s="48" t="s">
        <v>82</v>
      </c>
      <c r="C24" s="51">
        <v>6082959</v>
      </c>
      <c r="D24" s="51">
        <v>6150524</v>
      </c>
      <c r="E24" s="51">
        <f t="shared" si="2"/>
        <v>67565</v>
      </c>
      <c r="F24" s="70">
        <f t="shared" si="3"/>
        <v>1.1107258819268714E-2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66635835</v>
      </c>
      <c r="D25" s="51">
        <v>67063859</v>
      </c>
      <c r="E25" s="51">
        <f t="shared" si="2"/>
        <v>428024</v>
      </c>
      <c r="F25" s="70">
        <f t="shared" si="3"/>
        <v>6.4233306298330317E-3</v>
      </c>
    </row>
    <row r="26" spans="1:7" ht="23.1" customHeight="1" x14ac:dyDescent="0.2">
      <c r="A26" s="25">
        <v>5</v>
      </c>
      <c r="B26" s="48" t="s">
        <v>84</v>
      </c>
      <c r="C26" s="51">
        <v>15255332</v>
      </c>
      <c r="D26" s="51">
        <v>14005649</v>
      </c>
      <c r="E26" s="51">
        <f t="shared" si="2"/>
        <v>-1249683</v>
      </c>
      <c r="F26" s="70">
        <f t="shared" si="3"/>
        <v>-8.1917784549035047E-2</v>
      </c>
    </row>
    <row r="27" spans="1:7" ht="23.1" customHeight="1" x14ac:dyDescent="0.2">
      <c r="A27" s="25">
        <v>6</v>
      </c>
      <c r="B27" s="48" t="s">
        <v>85</v>
      </c>
      <c r="C27" s="51">
        <v>25212572</v>
      </c>
      <c r="D27" s="51">
        <v>23430296</v>
      </c>
      <c r="E27" s="51">
        <f t="shared" si="2"/>
        <v>-1782276</v>
      </c>
      <c r="F27" s="70">
        <f t="shared" si="3"/>
        <v>-7.0689971653824138E-2</v>
      </c>
    </row>
    <row r="28" spans="1:7" ht="23.1" customHeight="1" x14ac:dyDescent="0.2">
      <c r="A28" s="25">
        <v>7</v>
      </c>
      <c r="B28" s="48" t="s">
        <v>86</v>
      </c>
      <c r="C28" s="51">
        <v>3122812</v>
      </c>
      <c r="D28" s="51">
        <v>2703853</v>
      </c>
      <c r="E28" s="51">
        <f t="shared" si="2"/>
        <v>-418959</v>
      </c>
      <c r="F28" s="70">
        <f t="shared" si="3"/>
        <v>-0.13416081403555513</v>
      </c>
    </row>
    <row r="29" spans="1:7" ht="23.1" customHeight="1" x14ac:dyDescent="0.2">
      <c r="A29" s="25">
        <v>8</v>
      </c>
      <c r="B29" s="48" t="s">
        <v>87</v>
      </c>
      <c r="C29" s="51">
        <v>5390000</v>
      </c>
      <c r="D29" s="51">
        <v>3359000</v>
      </c>
      <c r="E29" s="51">
        <f t="shared" si="2"/>
        <v>-2031000</v>
      </c>
      <c r="F29" s="70">
        <f t="shared" si="3"/>
        <v>-0.37680890538033396</v>
      </c>
    </row>
    <row r="30" spans="1:7" ht="23.1" customHeight="1" x14ac:dyDescent="0.2">
      <c r="A30" s="25">
        <v>9</v>
      </c>
      <c r="B30" s="48" t="s">
        <v>88</v>
      </c>
      <c r="C30" s="51">
        <v>94222800</v>
      </c>
      <c r="D30" s="51">
        <v>97801509</v>
      </c>
      <c r="E30" s="51">
        <f t="shared" si="2"/>
        <v>3578709</v>
      </c>
      <c r="F30" s="70">
        <f t="shared" si="3"/>
        <v>3.7981348463429231E-2</v>
      </c>
    </row>
    <row r="31" spans="1:7" ht="23.1" customHeight="1" x14ac:dyDescent="0.25">
      <c r="A31" s="29"/>
      <c r="B31" s="71" t="s">
        <v>89</v>
      </c>
      <c r="C31" s="27">
        <f>SUM(C22:C30)</f>
        <v>515702230</v>
      </c>
      <c r="D31" s="27">
        <f>SUM(D22:D30)</f>
        <v>518886729</v>
      </c>
      <c r="E31" s="27">
        <f t="shared" si="2"/>
        <v>3184499</v>
      </c>
      <c r="F31" s="28">
        <f t="shared" si="3"/>
        <v>6.1750731618903411E-3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-3153598</v>
      </c>
      <c r="D33" s="27">
        <f>+D19-D31</f>
        <v>114595</v>
      </c>
      <c r="E33" s="27">
        <f>D33-C33</f>
        <v>3268193</v>
      </c>
      <c r="F33" s="28">
        <f>IF(C33=0,0,E33/C33)</f>
        <v>-1.0363378591691141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0</v>
      </c>
      <c r="D36" s="51">
        <v>0</v>
      </c>
      <c r="E36" s="51">
        <f>D36-C36</f>
        <v>0</v>
      </c>
      <c r="F36" s="70">
        <f>IF(C36=0,0,E36/C36)</f>
        <v>0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1713286</v>
      </c>
      <c r="D38" s="51">
        <v>653871</v>
      </c>
      <c r="E38" s="51">
        <f>D38-C38</f>
        <v>-1059415</v>
      </c>
      <c r="F38" s="70">
        <f>IF(C38=0,0,E38/C38)</f>
        <v>-0.61835268600805704</v>
      </c>
    </row>
    <row r="39" spans="1:6" ht="23.1" customHeight="1" x14ac:dyDescent="0.25">
      <c r="A39" s="20"/>
      <c r="B39" s="71" t="s">
        <v>95</v>
      </c>
      <c r="C39" s="27">
        <f>SUM(C36:C38)</f>
        <v>1713286</v>
      </c>
      <c r="D39" s="27">
        <f>SUM(D36:D38)</f>
        <v>653871</v>
      </c>
      <c r="E39" s="27">
        <f>D39-C39</f>
        <v>-1059415</v>
      </c>
      <c r="F39" s="28">
        <f>IF(C39=0,0,E39/C39)</f>
        <v>-0.61835268600805704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-1440312</v>
      </c>
      <c r="D41" s="27">
        <f>D33+D39</f>
        <v>768466</v>
      </c>
      <c r="E41" s="27">
        <f>D41-C41</f>
        <v>2208778</v>
      </c>
      <c r="F41" s="28">
        <f>IF(C41=0,0,E41/C41)</f>
        <v>-1.5335413438199501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1975157</v>
      </c>
      <c r="D44" s="51">
        <v>148573</v>
      </c>
      <c r="E44" s="51">
        <f>D44-C44</f>
        <v>-1826584</v>
      </c>
      <c r="F44" s="70">
        <f>IF(C44=0,0,E44/C44)</f>
        <v>-0.92477914413892159</v>
      </c>
    </row>
    <row r="45" spans="1:6" ht="23.1" customHeight="1" x14ac:dyDescent="0.2">
      <c r="A45" s="44"/>
      <c r="B45" s="48" t="s">
        <v>99</v>
      </c>
      <c r="C45" s="51">
        <v>200000</v>
      </c>
      <c r="D45" s="51">
        <v>0</v>
      </c>
      <c r="E45" s="51">
        <f>D45-C45</f>
        <v>-200000</v>
      </c>
      <c r="F45" s="70">
        <f>IF(C45=0,0,E45/C45)</f>
        <v>-1</v>
      </c>
    </row>
    <row r="46" spans="1:6" ht="23.1" customHeight="1" x14ac:dyDescent="0.25">
      <c r="A46" s="20"/>
      <c r="B46" s="74" t="s">
        <v>100</v>
      </c>
      <c r="C46" s="27">
        <f>SUM(C44:C45)</f>
        <v>2175157</v>
      </c>
      <c r="D46" s="27">
        <f>SUM(D44:D45)</f>
        <v>148573</v>
      </c>
      <c r="E46" s="27">
        <f>D46-C46</f>
        <v>-2026584</v>
      </c>
      <c r="F46" s="28">
        <f>IF(C46=0,0,E46/C46)</f>
        <v>-0.93169550519801558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734845</v>
      </c>
      <c r="D48" s="27">
        <f>D41+D46</f>
        <v>917039</v>
      </c>
      <c r="E48" s="27">
        <f>D48-C48</f>
        <v>182194</v>
      </c>
      <c r="F48" s="28">
        <f>IF(C48=0,0,E48/C48)</f>
        <v>0.24793527886833278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RAPHAEL HEALTHCARE SYSTEM, INC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2012-06-21T13:32:27Z</cp:lastPrinted>
  <dcterms:created xsi:type="dcterms:W3CDTF">2006-08-03T13:49:12Z</dcterms:created>
  <dcterms:modified xsi:type="dcterms:W3CDTF">2012-06-29T18:16:11Z</dcterms:modified>
</cp:coreProperties>
</file>