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D219" i="18"/>
  <c r="C219" i="18"/>
  <c r="C243" i="18"/>
  <c r="D218" i="18"/>
  <c r="D242" i="18"/>
  <c r="C218" i="18"/>
  <c r="D217" i="18"/>
  <c r="D216" i="18"/>
  <c r="D240" i="18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D157" i="18"/>
  <c r="E155" i="18"/>
  <c r="E154" i="18"/>
  <c r="E153" i="18"/>
  <c r="E152" i="18"/>
  <c r="D151" i="18"/>
  <c r="C151" i="18"/>
  <c r="E151" i="18"/>
  <c r="E150" i="18"/>
  <c r="E149" i="18"/>
  <c r="C144" i="18"/>
  <c r="E143" i="18"/>
  <c r="E142" i="18"/>
  <c r="E141" i="18"/>
  <c r="E140" i="18"/>
  <c r="D139" i="18"/>
  <c r="D163" i="18"/>
  <c r="C139" i="18"/>
  <c r="C175" i="18"/>
  <c r="E138" i="18"/>
  <c r="E137" i="18"/>
  <c r="D75" i="18"/>
  <c r="C75" i="18"/>
  <c r="E75" i="18"/>
  <c r="D74" i="18"/>
  <c r="E74" i="18"/>
  <c r="C74" i="18"/>
  <c r="D73" i="18"/>
  <c r="C73" i="18"/>
  <c r="E73" i="18"/>
  <c r="D72" i="18"/>
  <c r="E72" i="18"/>
  <c r="C72" i="18"/>
  <c r="C71" i="18"/>
  <c r="D70" i="18"/>
  <c r="E70" i="18"/>
  <c r="C70" i="18"/>
  <c r="C76" i="18"/>
  <c r="D69" i="18"/>
  <c r="C69" i="18"/>
  <c r="C77" i="18"/>
  <c r="C65" i="18"/>
  <c r="C66" i="18"/>
  <c r="E64" i="18"/>
  <c r="E63" i="18"/>
  <c r="E62" i="18"/>
  <c r="E61" i="18"/>
  <c r="D60" i="18"/>
  <c r="C60" i="18"/>
  <c r="C289" i="18"/>
  <c r="E59" i="18"/>
  <c r="E58" i="18"/>
  <c r="C55" i="18"/>
  <c r="D54" i="18"/>
  <c r="C54" i="18"/>
  <c r="E53" i="18"/>
  <c r="E52" i="18"/>
  <c r="E51" i="18"/>
  <c r="E50" i="18"/>
  <c r="E49" i="18"/>
  <c r="E48" i="18"/>
  <c r="E47" i="18"/>
  <c r="D42" i="18"/>
  <c r="E42" i="18"/>
  <c r="C42" i="18"/>
  <c r="D41" i="18"/>
  <c r="C41" i="18"/>
  <c r="E41" i="18"/>
  <c r="D40" i="18"/>
  <c r="E40" i="18"/>
  <c r="C40" i="18"/>
  <c r="D39" i="18"/>
  <c r="C39" i="18"/>
  <c r="E39" i="18"/>
  <c r="D38" i="18"/>
  <c r="E38" i="18"/>
  <c r="C38" i="18"/>
  <c r="D37" i="18"/>
  <c r="D43" i="18"/>
  <c r="C37" i="18"/>
  <c r="C43" i="18"/>
  <c r="C259" i="18"/>
  <c r="D36" i="18"/>
  <c r="D44" i="18"/>
  <c r="C36" i="18"/>
  <c r="C44" i="18"/>
  <c r="C33" i="18"/>
  <c r="C295" i="18"/>
  <c r="D32" i="18"/>
  <c r="D33" i="18"/>
  <c r="C32" i="18"/>
  <c r="C294" i="18"/>
  <c r="E31" i="18"/>
  <c r="E30" i="18"/>
  <c r="E29" i="18"/>
  <c r="E28" i="18"/>
  <c r="E27" i="18"/>
  <c r="E26" i="18"/>
  <c r="E25" i="18"/>
  <c r="D22" i="18"/>
  <c r="D21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F308" i="17"/>
  <c r="E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F228" i="17"/>
  <c r="E228" i="17"/>
  <c r="D226" i="17"/>
  <c r="D227" i="17"/>
  <c r="C226" i="17"/>
  <c r="C227" i="17"/>
  <c r="F225" i="17"/>
  <c r="E225" i="17"/>
  <c r="F224" i="17"/>
  <c r="E224" i="17"/>
  <c r="D223" i="17"/>
  <c r="E223" i="17"/>
  <c r="F223" i="17"/>
  <c r="C223" i="17"/>
  <c r="F222" i="17"/>
  <c r="E222" i="17"/>
  <c r="F221" i="17"/>
  <c r="E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D280" i="17"/>
  <c r="C191" i="17"/>
  <c r="C280" i="17"/>
  <c r="D189" i="17"/>
  <c r="C189" i="17"/>
  <c r="C278" i="17"/>
  <c r="D188" i="17"/>
  <c r="C188" i="17"/>
  <c r="C277" i="17"/>
  <c r="F180" i="17"/>
  <c r="D180" i="17"/>
  <c r="E180" i="17"/>
  <c r="C180" i="17"/>
  <c r="F179" i="17"/>
  <c r="D179" i="17"/>
  <c r="E179" i="17"/>
  <c r="C179" i="17"/>
  <c r="C181" i="17"/>
  <c r="F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F144" i="17"/>
  <c r="D144" i="17"/>
  <c r="E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D192" i="17"/>
  <c r="C12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D111" i="17"/>
  <c r="E111" i="17"/>
  <c r="C109" i="17"/>
  <c r="C111" i="17"/>
  <c r="D101" i="17"/>
  <c r="D102" i="17"/>
  <c r="C101" i="17"/>
  <c r="C102" i="17"/>
  <c r="D100" i="17"/>
  <c r="E100" i="17"/>
  <c r="F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E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E67" i="17"/>
  <c r="D66" i="17"/>
  <c r="D68" i="17"/>
  <c r="E68" i="17"/>
  <c r="C66" i="17"/>
  <c r="C68" i="17"/>
  <c r="D59" i="17"/>
  <c r="D60" i="17"/>
  <c r="C59" i="17"/>
  <c r="C60" i="17"/>
  <c r="D58" i="17"/>
  <c r="C58" i="17"/>
  <c r="E58" i="17"/>
  <c r="E57" i="17"/>
  <c r="F57" i="17"/>
  <c r="E56" i="17"/>
  <c r="F56" i="17"/>
  <c r="D53" i="17"/>
  <c r="C53" i="17"/>
  <c r="E53" i="17"/>
  <c r="D52" i="17"/>
  <c r="C52" i="17"/>
  <c r="E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7" i="17"/>
  <c r="E16" i="17"/>
  <c r="F16" i="17"/>
  <c r="E15" i="17"/>
  <c r="F15" i="17"/>
  <c r="D23" i="16"/>
  <c r="E23" i="16"/>
  <c r="F23" i="16"/>
  <c r="C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D60" i="15"/>
  <c r="C60" i="15"/>
  <c r="F59" i="15"/>
  <c r="E59" i="15"/>
  <c r="F58" i="15"/>
  <c r="E58" i="15"/>
  <c r="E60" i="15"/>
  <c r="F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F37" i="15"/>
  <c r="D37" i="15"/>
  <c r="E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C80" i="13"/>
  <c r="C77" i="13"/>
  <c r="E79" i="13"/>
  <c r="D79" i="13"/>
  <c r="C79" i="13"/>
  <c r="E78" i="13"/>
  <c r="E80" i="13"/>
  <c r="E77" i="13"/>
  <c r="D78" i="13"/>
  <c r="D80" i="13"/>
  <c r="D77" i="13"/>
  <c r="C78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/>
  <c r="C154" i="9"/>
  <c r="F153" i="9"/>
  <c r="D153" i="9"/>
  <c r="E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/>
  <c r="C89" i="9"/>
  <c r="D88" i="9"/>
  <c r="E88" i="9"/>
  <c r="F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D63" i="9"/>
  <c r="E63" i="9"/>
  <c r="F63" i="9"/>
  <c r="C63" i="9"/>
  <c r="D62" i="9"/>
  <c r="E62" i="9"/>
  <c r="F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C164" i="8"/>
  <c r="E162" i="8"/>
  <c r="D162" i="8"/>
  <c r="C162" i="8"/>
  <c r="E161" i="8"/>
  <c r="D161" i="8"/>
  <c r="C161" i="8"/>
  <c r="E160" i="8"/>
  <c r="E166" i="8"/>
  <c r="D160" i="8"/>
  <c r="D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2" i="8"/>
  <c r="E104" i="8"/>
  <c r="D102" i="8"/>
  <c r="D104" i="8"/>
  <c r="C102" i="8"/>
  <c r="C104" i="8"/>
  <c r="E100" i="8"/>
  <c r="D100" i="8"/>
  <c r="C100" i="8"/>
  <c r="E95" i="8"/>
  <c r="D95" i="8"/>
  <c r="C95" i="8"/>
  <c r="E94" i="8"/>
  <c r="D94" i="8"/>
  <c r="C94" i="8"/>
  <c r="E89" i="8"/>
  <c r="D89" i="8"/>
  <c r="C89" i="8"/>
  <c r="E87" i="8"/>
  <c r="D87" i="8"/>
  <c r="C87" i="8"/>
  <c r="E84" i="8"/>
  <c r="D84" i="8"/>
  <c r="C84" i="8"/>
  <c r="E83" i="8"/>
  <c r="D83" i="8"/>
  <c r="C83" i="8"/>
  <c r="E79" i="8"/>
  <c r="D79" i="8"/>
  <c r="C79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E38" i="8"/>
  <c r="E57" i="8"/>
  <c r="E62" i="8"/>
  <c r="D38" i="8"/>
  <c r="D53" i="8"/>
  <c r="C38" i="8"/>
  <c r="C57" i="8"/>
  <c r="C62" i="8"/>
  <c r="E33" i="8"/>
  <c r="E34" i="8"/>
  <c r="D33" i="8"/>
  <c r="D34" i="8"/>
  <c r="E26" i="8"/>
  <c r="D26" i="8"/>
  <c r="C26" i="8"/>
  <c r="E15" i="8"/>
  <c r="E24" i="8"/>
  <c r="C15" i="8"/>
  <c r="C24" i="8"/>
  <c r="E13" i="8"/>
  <c r="E25" i="8"/>
  <c r="E27" i="8"/>
  <c r="D13" i="8"/>
  <c r="D25" i="8"/>
  <c r="D27" i="8"/>
  <c r="C13" i="8"/>
  <c r="C25" i="8"/>
  <c r="C27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E73" i="4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E65" i="4"/>
  <c r="C61" i="4"/>
  <c r="C65" i="4"/>
  <c r="F60" i="4"/>
  <c r="E60" i="4"/>
  <c r="F59" i="4"/>
  <c r="E59" i="4"/>
  <c r="D56" i="4"/>
  <c r="D75" i="4"/>
  <c r="E75" i="4"/>
  <c r="C56" i="4"/>
  <c r="C75" i="4"/>
  <c r="F55" i="4"/>
  <c r="E55" i="4"/>
  <c r="F54" i="4"/>
  <c r="E54" i="4"/>
  <c r="F53" i="4"/>
  <c r="E53" i="4"/>
  <c r="F52" i="4"/>
  <c r="E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C109" i="22"/>
  <c r="C108" i="22"/>
  <c r="E109" i="22"/>
  <c r="E108" i="22"/>
  <c r="D22" i="22"/>
  <c r="C23" i="22"/>
  <c r="E2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1" i="21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C22" i="19"/>
  <c r="D258" i="18"/>
  <c r="D100" i="18"/>
  <c r="D98" i="18"/>
  <c r="D96" i="18"/>
  <c r="D89" i="18"/>
  <c r="D87" i="18"/>
  <c r="D85" i="18"/>
  <c r="D83" i="18"/>
  <c r="D101" i="18"/>
  <c r="D99" i="18"/>
  <c r="E99" i="18"/>
  <c r="D97" i="18"/>
  <c r="D95" i="18"/>
  <c r="D88" i="18"/>
  <c r="D86" i="18"/>
  <c r="E86" i="18"/>
  <c r="D84" i="18"/>
  <c r="E44" i="18"/>
  <c r="E43" i="18"/>
  <c r="C126" i="18"/>
  <c r="C124" i="18"/>
  <c r="C122" i="18"/>
  <c r="C115" i="18"/>
  <c r="C113" i="18"/>
  <c r="C111" i="18"/>
  <c r="C109" i="18"/>
  <c r="C127" i="18"/>
  <c r="C125" i="18"/>
  <c r="C123" i="18"/>
  <c r="C121" i="18"/>
  <c r="C114" i="18"/>
  <c r="C112" i="18"/>
  <c r="C110" i="18"/>
  <c r="C116" i="18"/>
  <c r="E33" i="18"/>
  <c r="C258" i="18"/>
  <c r="C101" i="18"/>
  <c r="C99" i="18"/>
  <c r="C97" i="18"/>
  <c r="C95" i="18"/>
  <c r="C88" i="18"/>
  <c r="C86" i="18"/>
  <c r="C84" i="18"/>
  <c r="C100" i="18"/>
  <c r="C98" i="18"/>
  <c r="C96" i="18"/>
  <c r="C89" i="18"/>
  <c r="C87" i="18"/>
  <c r="C85" i="18"/>
  <c r="C83" i="18"/>
  <c r="E23" i="17"/>
  <c r="E24" i="17"/>
  <c r="E29" i="17"/>
  <c r="E36" i="17"/>
  <c r="E44" i="17"/>
  <c r="E294" i="17"/>
  <c r="E295" i="17"/>
  <c r="E296" i="17"/>
  <c r="E297" i="17"/>
  <c r="E298" i="17"/>
  <c r="E299" i="17"/>
  <c r="D283" i="18"/>
  <c r="E283" i="18"/>
  <c r="C22" i="18"/>
  <c r="C284" i="18"/>
  <c r="E32" i="18"/>
  <c r="E36" i="18"/>
  <c r="E163" i="18"/>
  <c r="E21" i="18"/>
  <c r="E37" i="18"/>
  <c r="D55" i="18"/>
  <c r="E55" i="18"/>
  <c r="E54" i="18"/>
  <c r="D289" i="18"/>
  <c r="E289" i="18"/>
  <c r="D71" i="18"/>
  <c r="E71" i="18"/>
  <c r="D65" i="18"/>
  <c r="E60" i="18"/>
  <c r="E69" i="18"/>
  <c r="E139" i="18"/>
  <c r="D144" i="18"/>
  <c r="C145" i="18"/>
  <c r="C156" i="18"/>
  <c r="C157" i="18"/>
  <c r="E157" i="18"/>
  <c r="E156" i="18"/>
  <c r="C163" i="18"/>
  <c r="D175" i="18"/>
  <c r="E175" i="18"/>
  <c r="E261" i="18"/>
  <c r="C229" i="18"/>
  <c r="C210" i="18"/>
  <c r="C180" i="18"/>
  <c r="E205" i="18"/>
  <c r="C240" i="18"/>
  <c r="E240" i="18"/>
  <c r="C222" i="18"/>
  <c r="C246" i="18"/>
  <c r="E216" i="18"/>
  <c r="C242" i="18"/>
  <c r="C217" i="18"/>
  <c r="C241" i="18"/>
  <c r="E218" i="18"/>
  <c r="D243" i="18"/>
  <c r="E219" i="18"/>
  <c r="E244" i="18"/>
  <c r="E245" i="18"/>
  <c r="D253" i="18"/>
  <c r="E302" i="18"/>
  <c r="C303" i="18"/>
  <c r="C306" i="18"/>
  <c r="C310" i="18"/>
  <c r="C261" i="18"/>
  <c r="C263" i="18"/>
  <c r="C189" i="18"/>
  <c r="E189" i="18"/>
  <c r="E188" i="18"/>
  <c r="D260" i="18"/>
  <c r="E195" i="18"/>
  <c r="E229" i="18"/>
  <c r="D234" i="18"/>
  <c r="D211" i="18"/>
  <c r="D239" i="18"/>
  <c r="E239" i="18"/>
  <c r="E215" i="18"/>
  <c r="D241" i="18"/>
  <c r="E241" i="18"/>
  <c r="E242" i="18"/>
  <c r="C244" i="18"/>
  <c r="E220" i="18"/>
  <c r="E303" i="18"/>
  <c r="D306" i="18"/>
  <c r="D320" i="18"/>
  <c r="E320" i="18"/>
  <c r="E316" i="18"/>
  <c r="E326" i="18"/>
  <c r="D330" i="18"/>
  <c r="E330" i="18"/>
  <c r="E221" i="18"/>
  <c r="D222" i="18"/>
  <c r="C223" i="18"/>
  <c r="C247" i="18"/>
  <c r="C252" i="18"/>
  <c r="E265" i="18"/>
  <c r="E314" i="18"/>
  <c r="E233" i="18"/>
  <c r="E301" i="18"/>
  <c r="E324" i="18"/>
  <c r="E31" i="17"/>
  <c r="F31" i="17"/>
  <c r="D32" i="17"/>
  <c r="D90" i="17"/>
  <c r="E48" i="17"/>
  <c r="F48" i="17"/>
  <c r="C61" i="17"/>
  <c r="F68" i="17"/>
  <c r="F89" i="17"/>
  <c r="C103" i="17"/>
  <c r="F111" i="17"/>
  <c r="C32" i="17"/>
  <c r="C160" i="17"/>
  <c r="C90" i="17"/>
  <c r="E60" i="17"/>
  <c r="F60" i="17"/>
  <c r="D61" i="17"/>
  <c r="D103" i="17"/>
  <c r="E102" i="17"/>
  <c r="F102" i="17"/>
  <c r="F17" i="17"/>
  <c r="D21" i="17"/>
  <c r="F23" i="17"/>
  <c r="F24" i="17"/>
  <c r="F29" i="17"/>
  <c r="F36" i="17"/>
  <c r="F44" i="17"/>
  <c r="F52" i="17"/>
  <c r="F53" i="17"/>
  <c r="F58" i="17"/>
  <c r="F67" i="17"/>
  <c r="E88" i="17"/>
  <c r="F88" i="17"/>
  <c r="E101" i="17"/>
  <c r="F101" i="17"/>
  <c r="E109" i="17"/>
  <c r="F109" i="17"/>
  <c r="C193" i="17"/>
  <c r="C192" i="17"/>
  <c r="E192" i="17"/>
  <c r="E123" i="17"/>
  <c r="F123" i="17"/>
  <c r="C124" i="17"/>
  <c r="C207" i="17"/>
  <c r="C138" i="17"/>
  <c r="F172" i="17"/>
  <c r="D277" i="17"/>
  <c r="D261" i="17"/>
  <c r="D214" i="17"/>
  <c r="D206" i="17"/>
  <c r="D190" i="17"/>
  <c r="E188" i="17"/>
  <c r="F188" i="17"/>
  <c r="C288" i="17"/>
  <c r="E227" i="17"/>
  <c r="E239" i="17"/>
  <c r="F239" i="17"/>
  <c r="C282" i="17"/>
  <c r="C266" i="17"/>
  <c r="E20" i="17"/>
  <c r="F20" i="17"/>
  <c r="C21" i="17"/>
  <c r="E30" i="17"/>
  <c r="F30" i="17"/>
  <c r="E35" i="17"/>
  <c r="F35" i="17"/>
  <c r="C37" i="17"/>
  <c r="E37" i="17"/>
  <c r="E47" i="17"/>
  <c r="F47" i="17"/>
  <c r="E59" i="17"/>
  <c r="F59" i="17"/>
  <c r="E66" i="17"/>
  <c r="F66" i="17"/>
  <c r="E76" i="17"/>
  <c r="F76" i="17"/>
  <c r="D124" i="17"/>
  <c r="E124" i="17"/>
  <c r="D137" i="17"/>
  <c r="D146" i="17"/>
  <c r="E146" i="17"/>
  <c r="F146" i="17"/>
  <c r="D159" i="17"/>
  <c r="E159" i="17"/>
  <c r="D172" i="17"/>
  <c r="D181" i="17"/>
  <c r="E181" i="17"/>
  <c r="C287" i="17"/>
  <c r="C284" i="17"/>
  <c r="C279" i="17"/>
  <c r="D278" i="17"/>
  <c r="D262" i="17"/>
  <c r="D215" i="17"/>
  <c r="E189" i="17"/>
  <c r="F189" i="17"/>
  <c r="F227" i="17"/>
  <c r="C190" i="17"/>
  <c r="C281" i="17"/>
  <c r="E191" i="17"/>
  <c r="F191" i="17"/>
  <c r="C199" i="17"/>
  <c r="C200" i="17"/>
  <c r="C286" i="17"/>
  <c r="C205" i="17"/>
  <c r="C206" i="17"/>
  <c r="C21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E280" i="17"/>
  <c r="F280" i="17"/>
  <c r="D193" i="17"/>
  <c r="D290" i="17"/>
  <c r="E290" i="17"/>
  <c r="F290" i="17"/>
  <c r="D274" i="17"/>
  <c r="D199" i="17"/>
  <c r="E199" i="17"/>
  <c r="D200" i="17"/>
  <c r="D283" i="17"/>
  <c r="D267" i="17"/>
  <c r="D285" i="17"/>
  <c r="E285" i="17"/>
  <c r="F285" i="17"/>
  <c r="D269" i="17"/>
  <c r="E269" i="17"/>
  <c r="D205" i="17"/>
  <c r="E205" i="17"/>
  <c r="D264" i="17"/>
  <c r="F294" i="17"/>
  <c r="F295" i="17"/>
  <c r="F296" i="17"/>
  <c r="F297" i="17"/>
  <c r="F298" i="17"/>
  <c r="F299" i="17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D21" i="13"/>
  <c r="C20" i="13"/>
  <c r="C21" i="13"/>
  <c r="E21" i="13"/>
  <c r="E20" i="13"/>
  <c r="D15" i="13"/>
  <c r="C17" i="13"/>
  <c r="C28" i="13"/>
  <c r="C70" i="13"/>
  <c r="C72" i="13"/>
  <c r="C69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E43" i="11"/>
  <c r="E41" i="11"/>
  <c r="F75" i="11"/>
  <c r="F65" i="11"/>
  <c r="F43" i="11"/>
  <c r="F41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F206" i="9"/>
  <c r="E198" i="9"/>
  <c r="F198" i="9"/>
  <c r="E199" i="9"/>
  <c r="F199" i="9"/>
  <c r="D21" i="8"/>
  <c r="C20" i="8"/>
  <c r="C21" i="8"/>
  <c r="E20" i="8"/>
  <c r="E21" i="8"/>
  <c r="E140" i="8"/>
  <c r="E138" i="8"/>
  <c r="E136" i="8"/>
  <c r="E139" i="8"/>
  <c r="E137" i="8"/>
  <c r="E135" i="8"/>
  <c r="E141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E157" i="8"/>
  <c r="E155" i="8"/>
  <c r="E153" i="8"/>
  <c r="E156" i="8"/>
  <c r="E154" i="8"/>
  <c r="E152" i="8"/>
  <c r="E158" i="8"/>
  <c r="C140" i="8"/>
  <c r="C138" i="8"/>
  <c r="C136" i="8"/>
  <c r="C139" i="8"/>
  <c r="C137" i="8"/>
  <c r="C135" i="8"/>
  <c r="D156" i="8"/>
  <c r="D154" i="8"/>
  <c r="D152" i="8"/>
  <c r="D157" i="8"/>
  <c r="D155" i="8"/>
  <c r="D153" i="8"/>
  <c r="D15" i="8"/>
  <c r="C17" i="8"/>
  <c r="E17" i="8"/>
  <c r="C43" i="8"/>
  <c r="E43" i="8"/>
  <c r="D49" i="8"/>
  <c r="C53" i="8"/>
  <c r="E53" i="8"/>
  <c r="D57" i="8"/>
  <c r="D62" i="8"/>
  <c r="D77" i="8"/>
  <c r="D71" i="8"/>
  <c r="D43" i="8"/>
  <c r="C49" i="8"/>
  <c r="E49" i="8"/>
  <c r="C77" i="8"/>
  <c r="C71" i="8"/>
  <c r="E77" i="8"/>
  <c r="E71" i="8"/>
  <c r="F95" i="7"/>
  <c r="F188" i="7"/>
  <c r="E90" i="7"/>
  <c r="F90" i="7"/>
  <c r="E183" i="7"/>
  <c r="F183" i="7"/>
  <c r="F52" i="6"/>
  <c r="E95" i="6"/>
  <c r="F95" i="6"/>
  <c r="E41" i="6"/>
  <c r="F41" i="6"/>
  <c r="E84" i="6"/>
  <c r="F84" i="6"/>
  <c r="F18" i="5"/>
  <c r="C21" i="5"/>
  <c r="D21" i="5"/>
  <c r="E18" i="5"/>
  <c r="E16" i="5"/>
  <c r="F16" i="5"/>
  <c r="F43" i="4"/>
  <c r="E43" i="4"/>
  <c r="E41" i="4"/>
  <c r="F75" i="4"/>
  <c r="F65" i="4"/>
  <c r="F73" i="4"/>
  <c r="F41" i="4"/>
  <c r="E22" i="4"/>
  <c r="F22" i="4"/>
  <c r="E38" i="4"/>
  <c r="F38" i="4"/>
  <c r="E56" i="4"/>
  <c r="F56" i="4"/>
  <c r="E61" i="4"/>
  <c r="F61" i="4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222" i="18"/>
  <c r="D246" i="18"/>
  <c r="E246" i="18"/>
  <c r="E306" i="18"/>
  <c r="D310" i="18"/>
  <c r="E310" i="18"/>
  <c r="C253" i="18"/>
  <c r="C254" i="18"/>
  <c r="E217" i="18"/>
  <c r="D223" i="18"/>
  <c r="E210" i="18"/>
  <c r="D180" i="18"/>
  <c r="E180" i="18"/>
  <c r="D145" i="18"/>
  <c r="E144" i="18"/>
  <c r="D168" i="18"/>
  <c r="E168" i="18"/>
  <c r="C168" i="18"/>
  <c r="D284" i="18"/>
  <c r="E284" i="18"/>
  <c r="D76" i="18"/>
  <c r="C91" i="18"/>
  <c r="C102" i="18"/>
  <c r="C103" i="18"/>
  <c r="C264" i="18"/>
  <c r="C266" i="18"/>
  <c r="C267" i="18"/>
  <c r="C117" i="18"/>
  <c r="C128" i="18"/>
  <c r="C129" i="18"/>
  <c r="E84" i="18"/>
  <c r="D90" i="18"/>
  <c r="E88" i="18"/>
  <c r="E97" i="18"/>
  <c r="E101" i="18"/>
  <c r="E85" i="18"/>
  <c r="E89" i="18"/>
  <c r="E98" i="18"/>
  <c r="E258" i="18"/>
  <c r="D235" i="18"/>
  <c r="E211" i="18"/>
  <c r="E260" i="18"/>
  <c r="D252" i="18"/>
  <c r="E243" i="18"/>
  <c r="C234" i="18"/>
  <c r="E234" i="18"/>
  <c r="C211" i="18"/>
  <c r="C235" i="18"/>
  <c r="C181" i="18"/>
  <c r="C169" i="18"/>
  <c r="E65" i="18"/>
  <c r="D66" i="18"/>
  <c r="D294" i="18"/>
  <c r="E294" i="18"/>
  <c r="C90" i="18"/>
  <c r="E95" i="18"/>
  <c r="D91" i="18"/>
  <c r="E83" i="18"/>
  <c r="E87" i="18"/>
  <c r="D102" i="18"/>
  <c r="E102" i="18"/>
  <c r="E96" i="18"/>
  <c r="E100" i="18"/>
  <c r="E22" i="18"/>
  <c r="D300" i="17"/>
  <c r="E264" i="17"/>
  <c r="F264" i="17"/>
  <c r="D270" i="17"/>
  <c r="E267" i="17"/>
  <c r="E200" i="17"/>
  <c r="F200" i="17"/>
  <c r="E274" i="17"/>
  <c r="F274" i="17"/>
  <c r="D194" i="17"/>
  <c r="E193" i="17"/>
  <c r="F193" i="17"/>
  <c r="F269" i="17"/>
  <c r="C300" i="17"/>
  <c r="C265" i="17"/>
  <c r="C271" i="17"/>
  <c r="C268" i="17"/>
  <c r="C263" i="17"/>
  <c r="F199" i="17"/>
  <c r="D272" i="17"/>
  <c r="E262" i="17"/>
  <c r="F262" i="17"/>
  <c r="D207" i="17"/>
  <c r="E137" i="17"/>
  <c r="F137" i="17"/>
  <c r="D138" i="17"/>
  <c r="E138" i="17"/>
  <c r="E190" i="17"/>
  <c r="F190" i="17"/>
  <c r="D254" i="17"/>
  <c r="D216" i="17"/>
  <c r="E214" i="17"/>
  <c r="D287" i="17"/>
  <c r="D284" i="17"/>
  <c r="E284" i="17"/>
  <c r="F284" i="17"/>
  <c r="D279" i="17"/>
  <c r="E279" i="17"/>
  <c r="F279" i="17"/>
  <c r="E277" i="17"/>
  <c r="F277" i="17"/>
  <c r="C208" i="17"/>
  <c r="C194" i="17"/>
  <c r="D266" i="17"/>
  <c r="E266" i="17"/>
  <c r="F266" i="17"/>
  <c r="E103" i="17"/>
  <c r="F103" i="17"/>
  <c r="C210" i="17"/>
  <c r="C175" i="17"/>
  <c r="C140" i="17"/>
  <c r="C62" i="17"/>
  <c r="C105" i="17"/>
  <c r="C209" i="17"/>
  <c r="C174" i="17"/>
  <c r="C139" i="17"/>
  <c r="C104" i="17"/>
  <c r="E90" i="17"/>
  <c r="F90" i="17"/>
  <c r="D160" i="17"/>
  <c r="E160" i="17"/>
  <c r="F160" i="17"/>
  <c r="E283" i="17"/>
  <c r="F283" i="17"/>
  <c r="D286" i="17"/>
  <c r="E286" i="17"/>
  <c r="F286" i="17"/>
  <c r="F267" i="17"/>
  <c r="C270" i="17"/>
  <c r="C272" i="17"/>
  <c r="F214" i="17"/>
  <c r="C216" i="17"/>
  <c r="F205" i="17"/>
  <c r="D255" i="17"/>
  <c r="E255" i="17"/>
  <c r="F255" i="17"/>
  <c r="E215" i="17"/>
  <c r="F215" i="17"/>
  <c r="D288" i="17"/>
  <c r="E288" i="17"/>
  <c r="F288" i="17"/>
  <c r="E278" i="17"/>
  <c r="F278" i="17"/>
  <c r="C291" i="17"/>
  <c r="C289" i="17"/>
  <c r="E172" i="17"/>
  <c r="D173" i="17"/>
  <c r="E173" i="17"/>
  <c r="F37" i="17"/>
  <c r="C304" i="17"/>
  <c r="C196" i="17"/>
  <c r="C161" i="17"/>
  <c r="C49" i="17"/>
  <c r="C126" i="17"/>
  <c r="C91" i="17"/>
  <c r="E206" i="17"/>
  <c r="F206" i="17"/>
  <c r="D271" i="17"/>
  <c r="D268" i="17"/>
  <c r="E268" i="17"/>
  <c r="D263" i="17"/>
  <c r="E263" i="17"/>
  <c r="E261" i="17"/>
  <c r="F261" i="17"/>
  <c r="F138" i="17"/>
  <c r="F124" i="17"/>
  <c r="F192" i="17"/>
  <c r="D196" i="17"/>
  <c r="D161" i="17"/>
  <c r="D126" i="17"/>
  <c r="D91" i="17"/>
  <c r="E21" i="17"/>
  <c r="F21" i="17"/>
  <c r="D49" i="17"/>
  <c r="D282" i="17"/>
  <c r="D139" i="17"/>
  <c r="E139" i="17"/>
  <c r="D104" i="17"/>
  <c r="E104" i="17"/>
  <c r="E61" i="17"/>
  <c r="F61" i="17"/>
  <c r="C125" i="17"/>
  <c r="D125" i="17"/>
  <c r="E125" i="17"/>
  <c r="D140" i="17"/>
  <c r="D105" i="17"/>
  <c r="E32" i="17"/>
  <c r="F32" i="17"/>
  <c r="D62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C22" i="13"/>
  <c r="D34" i="12"/>
  <c r="E20" i="12"/>
  <c r="F20" i="12"/>
  <c r="C34" i="12"/>
  <c r="D24" i="8"/>
  <c r="D20" i="8"/>
  <c r="D17" i="8"/>
  <c r="D158" i="8"/>
  <c r="C158" i="8"/>
  <c r="C112" i="8"/>
  <c r="C111" i="8"/>
  <c r="C28" i="8"/>
  <c r="C141" i="8"/>
  <c r="D141" i="8"/>
  <c r="E112" i="8"/>
  <c r="E111" i="8"/>
  <c r="E28" i="8"/>
  <c r="D35" i="5"/>
  <c r="E21" i="5"/>
  <c r="F21" i="5"/>
  <c r="C35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D174" i="17"/>
  <c r="E174" i="17"/>
  <c r="D175" i="17"/>
  <c r="E175" i="17"/>
  <c r="F175" i="17"/>
  <c r="D103" i="18"/>
  <c r="E103" i="18"/>
  <c r="E66" i="18"/>
  <c r="D295" i="18"/>
  <c r="E295" i="18"/>
  <c r="E253" i="18"/>
  <c r="E235" i="18"/>
  <c r="E90" i="18"/>
  <c r="E76" i="18"/>
  <c r="D77" i="18"/>
  <c r="D259" i="18"/>
  <c r="D105" i="18"/>
  <c r="E91" i="18"/>
  <c r="D254" i="18"/>
  <c r="E254" i="18"/>
  <c r="E252" i="18"/>
  <c r="C131" i="18"/>
  <c r="C269" i="18"/>
  <c r="C268" i="18"/>
  <c r="C271" i="18"/>
  <c r="C105" i="18"/>
  <c r="D169" i="18"/>
  <c r="E169" i="18"/>
  <c r="D181" i="18"/>
  <c r="E181" i="18"/>
  <c r="E145" i="18"/>
  <c r="D247" i="18"/>
  <c r="E247" i="18"/>
  <c r="E223" i="18"/>
  <c r="E62" i="17"/>
  <c r="D63" i="17"/>
  <c r="F125" i="17"/>
  <c r="D197" i="17"/>
  <c r="E196" i="17"/>
  <c r="E140" i="17"/>
  <c r="D141" i="17"/>
  <c r="E49" i="17"/>
  <c r="D50" i="17"/>
  <c r="D92" i="17"/>
  <c r="E91" i="17"/>
  <c r="E161" i="17"/>
  <c r="D162" i="17"/>
  <c r="D304" i="17"/>
  <c r="D273" i="17"/>
  <c r="E271" i="17"/>
  <c r="F91" i="17"/>
  <c r="C92" i="17"/>
  <c r="C50" i="17"/>
  <c r="F49" i="17"/>
  <c r="F196" i="17"/>
  <c r="F104" i="17"/>
  <c r="F174" i="17"/>
  <c r="C63" i="17"/>
  <c r="F62" i="17"/>
  <c r="C176" i="17"/>
  <c r="F176" i="17"/>
  <c r="C195" i="17"/>
  <c r="E254" i="17"/>
  <c r="F254" i="17"/>
  <c r="D208" i="17"/>
  <c r="E207" i="17"/>
  <c r="F207" i="17"/>
  <c r="E272" i="17"/>
  <c r="F272" i="17"/>
  <c r="F263" i="17"/>
  <c r="F271" i="17"/>
  <c r="C273" i="17"/>
  <c r="D265" i="17"/>
  <c r="E265" i="17"/>
  <c r="F265" i="17"/>
  <c r="D106" i="17"/>
  <c r="E106" i="17"/>
  <c r="E105" i="17"/>
  <c r="F105" i="17"/>
  <c r="E282" i="17"/>
  <c r="F282" i="17"/>
  <c r="D281" i="17"/>
  <c r="E281" i="17"/>
  <c r="F281" i="17"/>
  <c r="D127" i="17"/>
  <c r="E126" i="17"/>
  <c r="F126" i="17"/>
  <c r="C127" i="17"/>
  <c r="C162" i="17"/>
  <c r="F161" i="17"/>
  <c r="C305" i="17"/>
  <c r="F139" i="17"/>
  <c r="C106" i="17"/>
  <c r="C141" i="17"/>
  <c r="F140" i="17"/>
  <c r="E287" i="17"/>
  <c r="F287" i="17"/>
  <c r="D291" i="17"/>
  <c r="D289" i="17"/>
  <c r="E289" i="17"/>
  <c r="F289" i="17"/>
  <c r="E216" i="17"/>
  <c r="F216" i="17"/>
  <c r="F268" i="17"/>
  <c r="E194" i="17"/>
  <c r="F194" i="17"/>
  <c r="D195" i="17"/>
  <c r="E195" i="17"/>
  <c r="E270" i="17"/>
  <c r="F270" i="17"/>
  <c r="E300" i="17"/>
  <c r="F300" i="17"/>
  <c r="D70" i="13"/>
  <c r="D72" i="13"/>
  <c r="D69" i="13"/>
  <c r="D22" i="13"/>
  <c r="D42" i="12"/>
  <c r="E34" i="12"/>
  <c r="F34" i="12"/>
  <c r="C42" i="12"/>
  <c r="E99" i="8"/>
  <c r="E101" i="8"/>
  <c r="E98" i="8"/>
  <c r="E22" i="8"/>
  <c r="C99" i="8"/>
  <c r="C101" i="8"/>
  <c r="C98" i="8"/>
  <c r="C22" i="8"/>
  <c r="D28" i="8"/>
  <c r="D112" i="8"/>
  <c r="D111" i="8"/>
  <c r="D43" i="5"/>
  <c r="E35" i="5"/>
  <c r="F35" i="5"/>
  <c r="C43" i="5"/>
  <c r="D176" i="17"/>
  <c r="E176" i="17"/>
  <c r="D263" i="18"/>
  <c r="E259" i="18"/>
  <c r="E105" i="18"/>
  <c r="D127" i="18"/>
  <c r="E127" i="18"/>
  <c r="D125" i="18"/>
  <c r="E125" i="18"/>
  <c r="D123" i="18"/>
  <c r="E123" i="18"/>
  <c r="D121" i="18"/>
  <c r="D114" i="18"/>
  <c r="E114" i="18"/>
  <c r="D112" i="18"/>
  <c r="E112" i="18"/>
  <c r="D110" i="18"/>
  <c r="D126" i="18"/>
  <c r="E126" i="18"/>
  <c r="D124" i="18"/>
  <c r="E124" i="18"/>
  <c r="D122" i="18"/>
  <c r="D115" i="18"/>
  <c r="E115" i="18"/>
  <c r="D113" i="18"/>
  <c r="E113" i="18"/>
  <c r="D111" i="18"/>
  <c r="E111" i="18"/>
  <c r="D109" i="18"/>
  <c r="E77" i="18"/>
  <c r="E291" i="17"/>
  <c r="F291" i="17"/>
  <c r="D305" i="17"/>
  <c r="C322" i="17"/>
  <c r="C211" i="17"/>
  <c r="C323" i="17"/>
  <c r="F323" i="17"/>
  <c r="C183" i="17"/>
  <c r="F183" i="17"/>
  <c r="F162" i="17"/>
  <c r="D148" i="17"/>
  <c r="E127" i="17"/>
  <c r="F127" i="17"/>
  <c r="F106" i="17"/>
  <c r="C309" i="17"/>
  <c r="C197" i="17"/>
  <c r="C148" i="17"/>
  <c r="E208" i="17"/>
  <c r="F208" i="17"/>
  <c r="D209" i="17"/>
  <c r="E209" i="17"/>
  <c r="F209" i="17"/>
  <c r="D210" i="17"/>
  <c r="F195" i="17"/>
  <c r="C324" i="17"/>
  <c r="C113" i="17"/>
  <c r="E304" i="17"/>
  <c r="F304" i="17"/>
  <c r="D324" i="17"/>
  <c r="D113" i="17"/>
  <c r="E92" i="17"/>
  <c r="F92" i="17"/>
  <c r="E197" i="17"/>
  <c r="E63" i="17"/>
  <c r="F63" i="17"/>
  <c r="C70" i="17"/>
  <c r="E273" i="17"/>
  <c r="F273" i="17"/>
  <c r="E162" i="17"/>
  <c r="E50" i="17"/>
  <c r="F50" i="17"/>
  <c r="D70" i="17"/>
  <c r="D322" i="17"/>
  <c r="E322" i="17"/>
  <c r="E141" i="17"/>
  <c r="F141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D183" i="17"/>
  <c r="E183" i="17"/>
  <c r="D323" i="17"/>
  <c r="E323" i="17"/>
  <c r="E109" i="18"/>
  <c r="E122" i="18"/>
  <c r="D128" i="18"/>
  <c r="E128" i="18"/>
  <c r="D129" i="18"/>
  <c r="E129" i="18"/>
  <c r="E121" i="18"/>
  <c r="E263" i="18"/>
  <c r="D264" i="18"/>
  <c r="D116" i="18"/>
  <c r="E116" i="18"/>
  <c r="E110" i="18"/>
  <c r="D325" i="17"/>
  <c r="E324" i="17"/>
  <c r="F324" i="17"/>
  <c r="C325" i="17"/>
  <c r="E70" i="17"/>
  <c r="F70" i="17"/>
  <c r="E113" i="17"/>
  <c r="F113" i="17"/>
  <c r="F197" i="17"/>
  <c r="C310" i="17"/>
  <c r="D309" i="17"/>
  <c r="E305" i="17"/>
  <c r="F305" i="17"/>
  <c r="D211" i="17"/>
  <c r="E211" i="17"/>
  <c r="F211" i="17"/>
  <c r="E210" i="17"/>
  <c r="F210" i="17"/>
  <c r="F148" i="17"/>
  <c r="E148" i="17"/>
  <c r="F322" i="17"/>
  <c r="F49" i="12"/>
  <c r="F50" i="5"/>
  <c r="E264" i="18"/>
  <c r="D266" i="18"/>
  <c r="D117" i="18"/>
  <c r="E309" i="17"/>
  <c r="F309" i="17"/>
  <c r="D310" i="17"/>
  <c r="C312" i="17"/>
  <c r="E325" i="17"/>
  <c r="F325" i="17"/>
  <c r="E117" i="18"/>
  <c r="D131" i="18"/>
  <c r="E131" i="18"/>
  <c r="E266" i="18"/>
  <c r="D267" i="18"/>
  <c r="C313" i="17"/>
  <c r="D312" i="17"/>
  <c r="E310" i="17"/>
  <c r="F310" i="17"/>
  <c r="D269" i="18"/>
  <c r="E269" i="18"/>
  <c r="E267" i="18"/>
  <c r="D268" i="18"/>
  <c r="E312" i="17"/>
  <c r="F312" i="17"/>
  <c r="D313" i="17"/>
  <c r="C314" i="17"/>
  <c r="C251" i="17"/>
  <c r="C315" i="17"/>
  <c r="C256" i="17"/>
  <c r="D271" i="18"/>
  <c r="E271" i="18"/>
  <c r="E268" i="18"/>
  <c r="C257" i="17"/>
  <c r="C318" i="17"/>
  <c r="D315" i="17"/>
  <c r="E315" i="17"/>
  <c r="F315" i="17"/>
  <c r="D314" i="17"/>
  <c r="E313" i="17"/>
  <c r="F313" i="17"/>
  <c r="D251" i="17"/>
  <c r="E251" i="17"/>
  <c r="F251" i="17"/>
  <c r="D256" i="17"/>
  <c r="D257" i="17"/>
  <c r="E257" i="17"/>
  <c r="F257" i="17"/>
  <c r="E256" i="17"/>
  <c r="F256" i="17"/>
  <c r="D318" i="17"/>
  <c r="E318" i="17"/>
  <c r="E314" i="17"/>
  <c r="F314" i="17"/>
  <c r="F318" i="17"/>
</calcChain>
</file>

<file path=xl/sharedStrings.xml><?xml version="1.0" encoding="utf-8"?>
<sst xmlns="http://schemas.openxmlformats.org/spreadsheetml/2006/main" count="2335" uniqueCount="1009">
  <si>
    <t>SAINT MARY`S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</si>
  <si>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</si>
  <si>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</si>
  <si>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</si>
  <si>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</si>
  <si>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</si>
  <si>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</si>
  <si>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</si>
  <si>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</si>
  <si>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</si>
  <si>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</si>
  <si>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</si>
  <si>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</si>
  <si>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</si>
  <si>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</si>
  <si>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</si>
  <si>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</si>
  <si>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</si>
  <si>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</si>
  <si>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</si>
  <si>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</si>
  <si>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</si>
  <si>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</si>
  <si>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</si>
  <si>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</si>
  <si>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</si>
  <si>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</si>
  <si>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</si>
  <si>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</si>
  <si>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</si>
  <si>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</si>
  <si>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</si>
  <si>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</si>
  <si>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</si>
  <si>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</si>
  <si>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</si>
  <si>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</si>
  <si>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</si>
  <si>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</si>
  <si>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</si>
  <si>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</si>
  <si>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</si>
  <si>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</si>
  <si>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</si>
  <si>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</si>
  <si>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</si>
  <si>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</si>
  <si>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</si>
  <si>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</si>
  <si>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</si>
  <si>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</si>
  <si>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</si>
  <si>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</si>
  <si>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</si>
  <si>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</si>
  <si>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</si>
  <si>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</si>
  <si>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</si>
  <si>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</si>
  <si>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</si>
  <si>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</si>
  <si>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</si>
  <si>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</si>
  <si>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</si>
  <si>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</si>
  <si>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</si>
  <si>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</si>
  <si>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</si>
  <si>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</si>
  <si>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</si>
  <si>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</si>
  <si>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</si>
  <si>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</si>
  <si>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</si>
  <si>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</si>
  <si>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</si>
  <si>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</si>
  <si>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</si>
  <si>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</si>
  <si>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</si>
  <si>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</si>
  <si>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</si>
  <si>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</si>
  <si>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</si>
  <si>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</si>
  <si>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</si>
  <si>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</si>
  <si>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</si>
  <si>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</si>
  <si>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</si>
  <si>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</si>
  <si>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</si>
  <si>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</si>
  <si>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</si>
  <si>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</si>
  <si>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</si>
  <si>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</si>
  <si>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</si>
  <si>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</si>
  <si>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</si>
  <si>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</si>
  <si>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</si>
  <si>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</si>
  <si>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</si>
  <si>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</si>
  <si>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</si>
  <si>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</si>
  <si>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</si>
  <si>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</si>
  <si>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</si>
  <si>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</si>
  <si>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</si>
  <si>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</si>
  <si>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</si>
  <si>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</si>
  <si>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</si>
  <si>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</si>
  <si>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</si>
  <si>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</si>
  <si>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</si>
  <si>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</si>
  <si>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</si>
  <si>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</si>
  <si>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</si>
  <si>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</si>
  <si>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</si>
  <si>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</si>
  <si>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</si>
  <si>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</si>
  <si>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</si>
  <si>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</si>
  <si>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</si>
  <si>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</si>
  <si>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</si>
  <si>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</si>
  <si>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</si>
  <si>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</si>
  <si>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</si>
  <si>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</si>
  <si>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</si>
  <si>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</si>
  <si>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</si>
  <si>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</si>
  <si>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</si>
  <si>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</si>
  <si>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</si>
  <si>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</si>
  <si>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</si>
  <si>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</si>
  <si>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</si>
  <si>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</si>
  <si>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</si>
  <si>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</si>
  <si>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</si>
  <si>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</si>
  <si>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</si>
  <si>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</si>
  <si>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</si>
  <si>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</si>
  <si>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</si>
  <si>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</si>
  <si>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</si>
  <si>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</si>
  <si>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</si>
  <si>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</si>
  <si>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</si>
  <si>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</si>
  <si>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</si>
  <si>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</si>
  <si>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</si>
  <si>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</si>
  <si>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</si>
  <si>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</si>
  <si>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</si>
  <si>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</si>
  <si>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</si>
  <si>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</si>
  <si>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</si>
  <si>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</si>
  <si>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</si>
  <si>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</si>
  <si>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</si>
  <si>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</si>
  <si>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</si>
  <si>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</si>
  <si>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</si>
  <si>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</si>
  <si>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</si>
  <si>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</si>
  <si>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</si>
  <si>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</si>
  <si>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</si>
  <si>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</si>
  <si>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</si>
  <si>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</si>
  <si>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</si>
  <si>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</si>
  <si>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</si>
  <si>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</si>
  <si>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</si>
  <si>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</si>
  <si>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</si>
  <si>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</si>
  <si>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</si>
  <si>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</si>
  <si>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</si>
  <si>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</si>
  <si>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</si>
  <si>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</si>
  <si>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</si>
  <si>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</si>
  <si>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</si>
  <si>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</si>
  <si>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</si>
  <si>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</si>
  <si>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</si>
  <si>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</si>
  <si>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</si>
  <si>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</si>
  <si>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</si>
  <si>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</si>
  <si>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</si>
  <si>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</si>
  <si>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</si>
  <si>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</si>
  <si>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</si>
  <si>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</si>
  <si>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</si>
  <si>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</si>
  <si>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</si>
  <si>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</si>
  <si>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</si>
  <si>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</si>
  <si>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</si>
  <si>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</si>
  <si>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</si>
  <si>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</si>
  <si>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</si>
  <si>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</si>
  <si>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</si>
  <si>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</si>
  <si>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</si>
  <si>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</si>
  <si>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</si>
  <si>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</si>
  <si>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</si>
  <si>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</si>
  <si>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</si>
  <si>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</si>
  <si>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</si>
  <si>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</si>
  <si>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</si>
  <si>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</si>
  <si>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</si>
  <si>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</si>
  <si>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</si>
  <si>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</si>
  <si>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</si>
  <si>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</si>
  <si>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</si>
  <si>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</si>
  <si>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</si>
  <si>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</si>
  <si>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</si>
  <si>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</si>
  <si>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</si>
  <si>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</si>
  <si>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</si>
  <si>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</si>
  <si>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</si>
  <si>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</si>
  <si>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</si>
  <si>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</si>
  <si>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</si>
  <si>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</si>
  <si>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</si>
  <si>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</si>
  <si>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</si>
  <si>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</si>
  <si>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</si>
  <si>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</si>
  <si>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</si>
  <si>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</si>
  <si>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</si>
  <si>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</si>
  <si>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</si>
  <si>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</si>
  <si>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</si>
  <si>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</si>
  <si>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</si>
  <si>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</si>
  <si>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</si>
  <si>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</si>
  <si>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</si>
  <si>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</si>
  <si>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</si>
  <si>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</si>
  <si>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</si>
  <si>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</si>
  <si>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</si>
  <si>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</si>
  <si>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</si>
  <si>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</si>
  <si>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</si>
  <si>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</si>
  <si>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</si>
  <si>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</si>
  <si>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</si>
  <si>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</si>
  <si>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</si>
  <si>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</si>
  <si>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</si>
  <si>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</si>
  <si>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</si>
  <si>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</si>
  <si>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</si>
  <si>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</si>
  <si>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</si>
  <si>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</si>
  <si>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</si>
  <si>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</si>
  <si>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</si>
  <si>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</si>
  <si>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</si>
  <si>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</si>
  <si>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</si>
  <si>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</si>
  <si>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</si>
  <si>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</si>
  <si>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</si>
  <si>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</si>
  <si>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</si>
  <si>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</si>
  <si>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</si>
  <si>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</si>
  <si>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</si>
  <si>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</si>
  <si>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</si>
  <si>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</si>
  <si>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</si>
  <si>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</si>
  <si>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</si>
  <si>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</si>
  <si>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</si>
  <si>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</si>
  <si>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</si>
  <si>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</si>
  <si>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</si>
  <si>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</si>
  <si>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</si>
  <si>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</si>
  <si>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</si>
  <si>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</si>
  <si>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</si>
  <si>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</si>
  <si>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</si>
  <si>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</si>
  <si>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</si>
  <si>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</si>
  <si>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</si>
  <si>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</si>
  <si>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</si>
  <si>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</si>
  <si>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</si>
  <si>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</si>
  <si>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</si>
  <si>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</si>
  <si>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</si>
  <si>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</si>
  <si>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</si>
  <si>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</si>
  <si>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</si>
  <si>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</si>
  <si>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</si>
  <si>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</si>
  <si>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</si>
  <si>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</si>
  <si>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</si>
  <si>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</si>
  <si>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</si>
  <si>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</si>
  <si>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</si>
  <si>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</si>
  <si>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</si>
  <si>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</si>
  <si>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</si>
  <si>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</si>
  <si>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</si>
  <si>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</si>
  <si>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</si>
  <si>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</si>
  <si>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</si>
  <si>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</si>
  <si>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</si>
  <si>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</si>
  <si>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</si>
  <si>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</si>
  <si>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</si>
  <si>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</si>
  <si>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</si>
  <si>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</si>
  <si>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</si>
  <si>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</si>
  <si>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</si>
  <si>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</si>
  <si>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</si>
  <si>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</si>
  <si>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</si>
  <si>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</si>
  <si>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</si>
  <si>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</si>
  <si>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</si>
  <si>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</si>
  <si>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</si>
  <si>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</si>
  <si>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</si>
  <si>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</si>
  <si>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</si>
  <si>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</si>
  <si>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</si>
  <si>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</si>
  <si>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</si>
  <si>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</si>
  <si>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</si>
  <si>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</si>
  <si>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</si>
  <si>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</si>
  <si>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</si>
  <si>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</si>
  <si>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</si>
  <si>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</si>
  <si>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</si>
  <si>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</si>
  <si>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</si>
  <si>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</si>
  <si>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</si>
  <si>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</si>
  <si>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</si>
  <si>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</si>
  <si>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</si>
  <si>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</si>
  <si>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</si>
  <si>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</si>
  <si>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</si>
  <si>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</si>
  <si>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</si>
  <si>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</si>
  <si>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</si>
  <si>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</si>
  <si>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</si>
  <si>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</si>
  <si>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</si>
  <si>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</si>
  <si>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</si>
  <si>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</si>
  <si>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</si>
  <si>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</si>
  <si>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</si>
  <si>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</si>
  <si>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</si>
  <si>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</si>
  <si>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</si>
  <si>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</si>
  <si>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</si>
  <si>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</si>
  <si>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</si>
  <si>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</si>
  <si>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</si>
  <si>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</si>
  <si>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</si>
  <si>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</si>
  <si>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</si>
  <si>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</si>
  <si>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</si>
  <si>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</si>
  <si>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</si>
  <si>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</si>
  <si>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</si>
  <si>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</si>
  <si>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</si>
  <si>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</si>
  <si>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</si>
  <si>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</si>
  <si>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</si>
  <si>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</si>
  <si>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</si>
  <si>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</si>
  <si>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</si>
  <si>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</si>
  <si>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</si>
  <si>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</si>
  <si>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</si>
  <si>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</si>
  <si>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</si>
  <si>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</si>
  <si>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</si>
  <si>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</si>
  <si>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</si>
  <si>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</si>
  <si>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</si>
  <si>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SAINT MARY`S HEALTH SYSTEM,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</si>
  <si>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</si>
  <si>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</si>
  <si>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</si>
  <si>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</si>
  <si>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</si>
  <si>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</si>
  <si>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</si>
  <si>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</si>
  <si>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</si>
  <si>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</si>
  <si>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</si>
  <si>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</si>
  <si>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</si>
  <si>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</si>
  <si>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</si>
  <si>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</si>
  <si>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</si>
  <si>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</si>
  <si>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</si>
  <si>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</si>
  <si>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</si>
  <si>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</si>
  <si>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</si>
  <si>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</si>
  <si>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</si>
  <si>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</si>
  <si>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</si>
  <si>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</si>
  <si>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</si>
  <si>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</si>
  <si>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</si>
  <si>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</si>
  <si>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</si>
  <si>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</si>
  <si>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</si>
  <si>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</si>
  <si>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</si>
  <si>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</si>
  <si>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</si>
  <si>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</si>
  <si>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</si>
  <si>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</si>
  <si>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</si>
  <si>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</si>
  <si>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</si>
  <si>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</si>
  <si>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</si>
  <si>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</si>
  <si>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</si>
  <si>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</si>
  <si>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</si>
  <si>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</si>
  <si>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</si>
  <si>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</si>
  <si>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</si>
  <si>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</si>
  <si>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</si>
  <si>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</si>
  <si>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</si>
  <si>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</si>
  <si>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</si>
  <si>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</si>
  <si>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</si>
  <si>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</si>
  <si>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</si>
  <si>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</si>
  <si>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</si>
  <si>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</si>
  <si>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</si>
  <si>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</si>
  <si>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</si>
  <si>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</si>
  <si>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</si>
  <si>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</si>
  <si>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</si>
  <si>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</si>
  <si>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</si>
  <si>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</si>
  <si>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</si>
  <si>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</si>
  <si>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</si>
  <si>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</si>
  <si>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</si>
  <si>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</si>
  <si>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</si>
  <si>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</si>
  <si>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</si>
  <si>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</si>
  <si>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</si>
  <si>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</si>
  <si>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</si>
  <si>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</si>
  <si>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</si>
  <si>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</si>
  <si>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</si>
  <si>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</si>
  <si>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</si>
  <si>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</si>
  <si>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</si>
  <si>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</si>
  <si>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</si>
  <si>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</si>
  <si>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</si>
  <si>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</si>
  <si>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</si>
  <si>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</si>
  <si>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</si>
  <si>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</si>
  <si>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</si>
  <si>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</si>
  <si>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</si>
  <si>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</si>
  <si>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</si>
  <si>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</si>
  <si>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</si>
  <si>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</si>
  <si>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</si>
  <si>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</si>
  <si>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</si>
  <si>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</si>
  <si>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</si>
  <si>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Naugatuck Valley Surgical Center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</si>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</sst>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28153000</v>
      </c>
      <c r="D13" s="22">
        <v>24610000</v>
      </c>
      <c r="E13" s="22">
        <f t="shared" ref="E13:E22" si="0">D13-C13</f>
        <v>-3543000</v>
      </c>
      <c r="F13" s="23">
        <f t="shared" ref="F13:F22" si="1">IF(C13=0,0,E13/C13)</f>
        <v>-0.12584804461336269</v>
      </c>
    </row>
    <row r="14" spans="1:8" ht="24" customHeight="1" x14ac:dyDescent="0.2">
      <c r="A14" s="20">
        <v>2</v>
      </c>
      <c r="B14" s="21" t="s">
        <v>17</v>
      </c>
      <c r="C14" s="22">
        <v>29000</v>
      </c>
      <c r="D14" s="22">
        <v>17000</v>
      </c>
      <c r="E14" s="22">
        <f t="shared" si="0"/>
        <v>-12000</v>
      </c>
      <c r="F14" s="23">
        <f t="shared" si="1"/>
        <v>-0.41379310344827586</v>
      </c>
    </row>
    <row r="15" spans="1:8" ht="24" customHeight="1" x14ac:dyDescent="0.2">
      <c r="A15" s="20">
        <v>3</v>
      </c>
      <c r="B15" s="21" t="s">
        <v>18</v>
      </c>
      <c r="C15" s="22">
        <v>28777000</v>
      </c>
      <c r="D15" s="22">
        <v>26816000</v>
      </c>
      <c r="E15" s="22">
        <f t="shared" si="0"/>
        <v>-1961000</v>
      </c>
      <c r="F15" s="23">
        <f t="shared" si="1"/>
        <v>-6.8144698891475827E-2</v>
      </c>
    </row>
    <row r="16" spans="1:8" ht="24" customHeight="1" x14ac:dyDescent="0.2">
      <c r="A16" s="20">
        <v>4</v>
      </c>
      <c r="B16" s="21" t="s">
        <v>19</v>
      </c>
      <c r="C16" s="22">
        <v>1148000</v>
      </c>
      <c r="D16" s="22">
        <v>1145000</v>
      </c>
      <c r="E16" s="22">
        <f t="shared" si="0"/>
        <v>-3000</v>
      </c>
      <c r="F16" s="23">
        <f t="shared" si="1"/>
        <v>-2.6132404181184671E-3</v>
      </c>
    </row>
    <row r="17" spans="1:11" ht="24" customHeight="1" x14ac:dyDescent="0.2">
      <c r="A17" s="20">
        <v>5</v>
      </c>
      <c r="B17" s="21" t="s">
        <v>20</v>
      </c>
      <c r="C17" s="22">
        <v>0</v>
      </c>
      <c r="D17" s="22">
        <v>0</v>
      </c>
      <c r="E17" s="22">
        <f t="shared" si="0"/>
        <v>0</v>
      </c>
      <c r="F17" s="23">
        <f t="shared" si="1"/>
        <v>0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2220000</v>
      </c>
      <c r="D19" s="22">
        <v>3645000</v>
      </c>
      <c r="E19" s="22">
        <f t="shared" si="0"/>
        <v>1425000</v>
      </c>
      <c r="F19" s="23">
        <f t="shared" si="1"/>
        <v>0.64189189189189189</v>
      </c>
    </row>
    <row r="20" spans="1:11" ht="24" customHeight="1" x14ac:dyDescent="0.2">
      <c r="A20" s="20">
        <v>8</v>
      </c>
      <c r="B20" s="21" t="s">
        <v>23</v>
      </c>
      <c r="C20" s="22">
        <v>1686000</v>
      </c>
      <c r="D20" s="22">
        <v>2374000</v>
      </c>
      <c r="E20" s="22">
        <f t="shared" si="0"/>
        <v>688000</v>
      </c>
      <c r="F20" s="23">
        <f t="shared" si="1"/>
        <v>0.4080664294187426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89000</v>
      </c>
      <c r="E21" s="22">
        <f t="shared" si="0"/>
        <v>89000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62013000</v>
      </c>
      <c r="D22" s="26">
        <f>SUM(D13:D21)</f>
        <v>58696000</v>
      </c>
      <c r="E22" s="26">
        <f t="shared" si="0"/>
        <v>-3317000</v>
      </c>
      <c r="F22" s="27">
        <f t="shared" si="1"/>
        <v>-5.3488784609678618E-2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15258000</v>
      </c>
      <c r="D25" s="22">
        <v>15696000</v>
      </c>
      <c r="E25" s="22">
        <f>D25-C25</f>
        <v>438000</v>
      </c>
      <c r="F25" s="23">
        <f>IF(C25=0,0,E25/C25)</f>
        <v>2.8706252457727094E-2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4330000</v>
      </c>
      <c r="D28" s="22">
        <v>4327000</v>
      </c>
      <c r="E28" s="22">
        <f>D28-C28</f>
        <v>-3000</v>
      </c>
      <c r="F28" s="23">
        <f>IF(C28=0,0,E28/C28)</f>
        <v>-6.928406466512702E-4</v>
      </c>
    </row>
    <row r="29" spans="1:11" ht="24" customHeight="1" x14ac:dyDescent="0.25">
      <c r="A29" s="24"/>
      <c r="B29" s="25" t="s">
        <v>32</v>
      </c>
      <c r="C29" s="26">
        <f>SUM(C25:C28)</f>
        <v>19588000</v>
      </c>
      <c r="D29" s="26">
        <f>SUM(D25:D28)</f>
        <v>20023000</v>
      </c>
      <c r="E29" s="26">
        <f>D29-C29</f>
        <v>435000</v>
      </c>
      <c r="F29" s="27">
        <f>IF(C29=0,0,E29/C29)</f>
        <v>2.2207473963651216E-2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4874000</v>
      </c>
      <c r="D31" s="22">
        <v>5182000</v>
      </c>
      <c r="E31" s="22">
        <f>D31-C31</f>
        <v>308000</v>
      </c>
      <c r="F31" s="23">
        <f>IF(C31=0,0,E31/C31)</f>
        <v>6.3192449733278616E-2</v>
      </c>
    </row>
    <row r="32" spans="1:11" ht="24" customHeight="1" x14ac:dyDescent="0.2">
      <c r="A32" s="20">
        <v>6</v>
      </c>
      <c r="B32" s="21" t="s">
        <v>34</v>
      </c>
      <c r="C32" s="22">
        <v>17358000</v>
      </c>
      <c r="D32" s="22">
        <v>19658000</v>
      </c>
      <c r="E32" s="22">
        <f>D32-C32</f>
        <v>2300000</v>
      </c>
      <c r="F32" s="23">
        <f>IF(C32=0,0,E32/C32)</f>
        <v>0.13250374467104506</v>
      </c>
    </row>
    <row r="33" spans="1:8" ht="24" customHeight="1" x14ac:dyDescent="0.2">
      <c r="A33" s="20">
        <v>7</v>
      </c>
      <c r="B33" s="21" t="s">
        <v>35</v>
      </c>
      <c r="C33" s="22">
        <v>22387000</v>
      </c>
      <c r="D33" s="22">
        <v>23826000</v>
      </c>
      <c r="E33" s="22">
        <f>D33-C33</f>
        <v>1439000</v>
      </c>
      <c r="F33" s="23">
        <f>IF(C33=0,0,E33/C33)</f>
        <v>6.4278375843123237E-2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180915000</v>
      </c>
      <c r="D36" s="22">
        <v>188968000</v>
      </c>
      <c r="E36" s="22">
        <f>D36-C36</f>
        <v>8053000</v>
      </c>
      <c r="F36" s="23">
        <f>IF(C36=0,0,E36/C36)</f>
        <v>4.4512616422076663E-2</v>
      </c>
    </row>
    <row r="37" spans="1:8" ht="24" customHeight="1" x14ac:dyDescent="0.2">
      <c r="A37" s="20">
        <v>2</v>
      </c>
      <c r="B37" s="21" t="s">
        <v>39</v>
      </c>
      <c r="C37" s="22">
        <v>119872000</v>
      </c>
      <c r="D37" s="22">
        <v>129200000</v>
      </c>
      <c r="E37" s="22">
        <f>D37-C37</f>
        <v>9328000</v>
      </c>
      <c r="F37" s="23">
        <f>IF(C37=0,0,E37/C37)</f>
        <v>7.7816337426588361E-2</v>
      </c>
    </row>
    <row r="38" spans="1:8" ht="24" customHeight="1" x14ac:dyDescent="0.25">
      <c r="A38" s="24"/>
      <c r="B38" s="25" t="s">
        <v>40</v>
      </c>
      <c r="C38" s="26">
        <f>C36-C37</f>
        <v>61043000</v>
      </c>
      <c r="D38" s="26">
        <f>D36-D37</f>
        <v>59768000</v>
      </c>
      <c r="E38" s="26">
        <f>D38-C38</f>
        <v>-1275000</v>
      </c>
      <c r="F38" s="27">
        <f>IF(C38=0,0,E38/C38)</f>
        <v>-2.0886915780679194E-2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0</v>
      </c>
      <c r="D40" s="22">
        <v>0</v>
      </c>
      <c r="E40" s="22">
        <f>D40-C40</f>
        <v>0</v>
      </c>
      <c r="F40" s="23">
        <f>IF(C40=0,0,E40/C40)</f>
        <v>0</v>
      </c>
    </row>
    <row r="41" spans="1:8" ht="24" customHeight="1" x14ac:dyDescent="0.25">
      <c r="A41" s="24"/>
      <c r="B41" s="25" t="s">
        <v>42</v>
      </c>
      <c r="C41" s="26">
        <f>+C38+C40</f>
        <v>61043000</v>
      </c>
      <c r="D41" s="26">
        <f>+D38+D40</f>
        <v>59768000</v>
      </c>
      <c r="E41" s="26">
        <f>D41-C41</f>
        <v>-1275000</v>
      </c>
      <c r="F41" s="27">
        <f>IF(C41=0,0,E41/C41)</f>
        <v>-2.0886915780679194E-2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187263000</v>
      </c>
      <c r="D43" s="26">
        <f>D22+D29+D31+D32+D33+D41</f>
        <v>187153000</v>
      </c>
      <c r="E43" s="26">
        <f>D43-C43</f>
        <v>-110000</v>
      </c>
      <c r="F43" s="27">
        <f>IF(C43=0,0,E43/C43)</f>
        <v>-5.8740915183458559E-4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20297000</v>
      </c>
      <c r="D49" s="22">
        <v>16795000</v>
      </c>
      <c r="E49" s="22">
        <f t="shared" ref="E49:E56" si="2">D49-C49</f>
        <v>-3502000</v>
      </c>
      <c r="F49" s="23">
        <f t="shared" ref="F49:F56" si="3">IF(C49=0,0,E49/C49)</f>
        <v>-0.17253781346997094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3236000</v>
      </c>
      <c r="D50" s="22">
        <v>3974000</v>
      </c>
      <c r="E50" s="22">
        <f t="shared" si="2"/>
        <v>738000</v>
      </c>
      <c r="F50" s="23">
        <f t="shared" si="3"/>
        <v>0.22805933250927071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6035000</v>
      </c>
      <c r="D51" s="22">
        <v>783000</v>
      </c>
      <c r="E51" s="22">
        <f t="shared" si="2"/>
        <v>-5252000</v>
      </c>
      <c r="F51" s="23">
        <f t="shared" si="3"/>
        <v>-0.87025683512841756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1998000</v>
      </c>
      <c r="D53" s="22">
        <v>2101000</v>
      </c>
      <c r="E53" s="22">
        <f t="shared" si="2"/>
        <v>103000</v>
      </c>
      <c r="F53" s="23">
        <f t="shared" si="3"/>
        <v>5.1551551551551549E-2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13915000</v>
      </c>
      <c r="D55" s="22">
        <v>13994000</v>
      </c>
      <c r="E55" s="22">
        <f t="shared" si="2"/>
        <v>79000</v>
      </c>
      <c r="F55" s="23">
        <f t="shared" si="3"/>
        <v>5.6773266259432268E-3</v>
      </c>
    </row>
    <row r="56" spans="1:6" ht="24" customHeight="1" x14ac:dyDescent="0.25">
      <c r="A56" s="24"/>
      <c r="B56" s="25" t="s">
        <v>54</v>
      </c>
      <c r="C56" s="26">
        <f>SUM(C49:C55)</f>
        <v>45481000</v>
      </c>
      <c r="D56" s="26">
        <f>SUM(D49:D55)</f>
        <v>37647000</v>
      </c>
      <c r="E56" s="26">
        <f t="shared" si="2"/>
        <v>-7834000</v>
      </c>
      <c r="F56" s="27">
        <f t="shared" si="3"/>
        <v>-0.17224775180844748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19892000</v>
      </c>
      <c r="D59" s="22">
        <v>17818000</v>
      </c>
      <c r="E59" s="22">
        <f>D59-C59</f>
        <v>-2074000</v>
      </c>
      <c r="F59" s="23">
        <f>IF(C59=0,0,E59/C59)</f>
        <v>-0.10426302030967223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19892000</v>
      </c>
      <c r="D61" s="26">
        <f>SUM(D59:D60)</f>
        <v>17818000</v>
      </c>
      <c r="E61" s="26">
        <f>D61-C61</f>
        <v>-2074000</v>
      </c>
      <c r="F61" s="27">
        <f>IF(C61=0,0,E61/C61)</f>
        <v>-0.10426302030967223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58823000</v>
      </c>
      <c r="D63" s="22">
        <v>72182000</v>
      </c>
      <c r="E63" s="22">
        <f>D63-C63</f>
        <v>13359000</v>
      </c>
      <c r="F63" s="23">
        <f>IF(C63=0,0,E63/C63)</f>
        <v>0.22710504394539552</v>
      </c>
    </row>
    <row r="64" spans="1:6" ht="24" customHeight="1" x14ac:dyDescent="0.2">
      <c r="A64" s="20">
        <v>4</v>
      </c>
      <c r="B64" s="21" t="s">
        <v>60</v>
      </c>
      <c r="C64" s="22">
        <v>13370000</v>
      </c>
      <c r="D64" s="22">
        <v>12742000</v>
      </c>
      <c r="E64" s="22">
        <f>D64-C64</f>
        <v>-628000</v>
      </c>
      <c r="F64" s="23">
        <f>IF(C64=0,0,E64/C64)</f>
        <v>-4.6970830216903514E-2</v>
      </c>
    </row>
    <row r="65" spans="1:6" ht="24" customHeight="1" x14ac:dyDescent="0.25">
      <c r="A65" s="24"/>
      <c r="B65" s="25" t="s">
        <v>61</v>
      </c>
      <c r="C65" s="26">
        <f>SUM(C61:C64)</f>
        <v>92085000</v>
      </c>
      <c r="D65" s="26">
        <f>SUM(D61:D64)</f>
        <v>102742000</v>
      </c>
      <c r="E65" s="26">
        <f>D65-C65</f>
        <v>10657000</v>
      </c>
      <c r="F65" s="27">
        <f>IF(C65=0,0,E65/C65)</f>
        <v>0.11573003203561927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31173000</v>
      </c>
      <c r="D70" s="22">
        <v>27668000</v>
      </c>
      <c r="E70" s="22">
        <f>D70-C70</f>
        <v>-3505000</v>
      </c>
      <c r="F70" s="23">
        <f>IF(C70=0,0,E70/C70)</f>
        <v>-0.11243704487858082</v>
      </c>
    </row>
    <row r="71" spans="1:6" ht="24" customHeight="1" x14ac:dyDescent="0.2">
      <c r="A71" s="20">
        <v>2</v>
      </c>
      <c r="B71" s="21" t="s">
        <v>65</v>
      </c>
      <c r="C71" s="22">
        <v>2269000</v>
      </c>
      <c r="D71" s="22">
        <v>2415000</v>
      </c>
      <c r="E71" s="22">
        <f>D71-C71</f>
        <v>146000</v>
      </c>
      <c r="F71" s="23">
        <f>IF(C71=0,0,E71/C71)</f>
        <v>6.4345526663728517E-2</v>
      </c>
    </row>
    <row r="72" spans="1:6" ht="24" customHeight="1" x14ac:dyDescent="0.2">
      <c r="A72" s="20">
        <v>3</v>
      </c>
      <c r="B72" s="21" t="s">
        <v>66</v>
      </c>
      <c r="C72" s="22">
        <v>16255000</v>
      </c>
      <c r="D72" s="22">
        <v>16681000</v>
      </c>
      <c r="E72" s="22">
        <f>D72-C72</f>
        <v>426000</v>
      </c>
      <c r="F72" s="23">
        <f>IF(C72=0,0,E72/C72)</f>
        <v>2.6207320824361734E-2</v>
      </c>
    </row>
    <row r="73" spans="1:6" ht="24" customHeight="1" x14ac:dyDescent="0.25">
      <c r="A73" s="20"/>
      <c r="B73" s="25" t="s">
        <v>67</v>
      </c>
      <c r="C73" s="26">
        <f>SUM(C70:C72)</f>
        <v>49697000</v>
      </c>
      <c r="D73" s="26">
        <f>SUM(D70:D72)</f>
        <v>46764000</v>
      </c>
      <c r="E73" s="26">
        <f>D73-C73</f>
        <v>-2933000</v>
      </c>
      <c r="F73" s="27">
        <f>IF(C73=0,0,E73/C73)</f>
        <v>-5.9017646940459183E-2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187263000</v>
      </c>
      <c r="D75" s="26">
        <f>D56+D65+D67+D73</f>
        <v>187153000</v>
      </c>
      <c r="E75" s="26">
        <f>D75-C75</f>
        <v>-110000</v>
      </c>
      <c r="F75" s="27">
        <f>IF(C75=0,0,E75/C75)</f>
        <v>-5.8740915183458559E-4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259820000</v>
      </c>
      <c r="D11" s="76">
        <v>256021000</v>
      </c>
      <c r="E11" s="76">
        <v>268087000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6695000</v>
      </c>
      <c r="D12" s="185">
        <v>7864000</v>
      </c>
      <c r="E12" s="185">
        <v>10774000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266515000</v>
      </c>
      <c r="D13" s="76">
        <f>+D11+D12</f>
        <v>263885000</v>
      </c>
      <c r="E13" s="76">
        <f>+E11+E12</f>
        <v>278861000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261980000</v>
      </c>
      <c r="D14" s="185">
        <v>255204000</v>
      </c>
      <c r="E14" s="185">
        <v>269715000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4535000</v>
      </c>
      <c r="D15" s="76">
        <f>+D13-D14</f>
        <v>8681000</v>
      </c>
      <c r="E15" s="76">
        <f>+E13-E14</f>
        <v>9146000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2620000</v>
      </c>
      <c r="D16" s="185">
        <v>1758000</v>
      </c>
      <c r="E16" s="185">
        <v>3684000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7155000</v>
      </c>
      <c r="D17" s="76">
        <f>D15+D16</f>
        <v>10439000</v>
      </c>
      <c r="E17" s="76">
        <f>E15+E16</f>
        <v>12830000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1.6850279599457521E-2</v>
      </c>
      <c r="D20" s="189">
        <f>IF(+D27=0,0,+D24/+D27)</f>
        <v>3.2679197268514509E-2</v>
      </c>
      <c r="E20" s="189">
        <f>IF(+E27=0,0,+E24/+E27)</f>
        <v>3.2370064945406923E-2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9.7348914113734742E-3</v>
      </c>
      <c r="D21" s="189">
        <f>IF(+D27=0,0,+D26/+D27)</f>
        <v>6.6179044808257698E-3</v>
      </c>
      <c r="E21" s="189">
        <f>IF(+E27=0,0,+E26/+E27)</f>
        <v>1.303863101452866E-2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2.6585171010830997E-2</v>
      </c>
      <c r="D22" s="189">
        <f>IF(+D27=0,0,+D28/+D27)</f>
        <v>3.9297101749340278E-2</v>
      </c>
      <c r="E22" s="189">
        <f>IF(+E27=0,0,+E28/+E27)</f>
        <v>4.5408695959935588E-2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4535000</v>
      </c>
      <c r="D24" s="76">
        <f>+D15</f>
        <v>8681000</v>
      </c>
      <c r="E24" s="76">
        <f>+E15</f>
        <v>9146000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266515000</v>
      </c>
      <c r="D25" s="76">
        <f>+D13</f>
        <v>263885000</v>
      </c>
      <c r="E25" s="76">
        <f>+E13</f>
        <v>278861000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2620000</v>
      </c>
      <c r="D26" s="76">
        <f>+D16</f>
        <v>1758000</v>
      </c>
      <c r="E26" s="76">
        <f>+E16</f>
        <v>3684000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269135000</v>
      </c>
      <c r="D27" s="76">
        <f>SUM(D25:D26)</f>
        <v>265643000</v>
      </c>
      <c r="E27" s="76">
        <f>SUM(E25:E26)</f>
        <v>282545000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7155000</v>
      </c>
      <c r="D28" s="76">
        <f>+D17</f>
        <v>10439000</v>
      </c>
      <c r="E28" s="76">
        <f>+E17</f>
        <v>12830000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2333000</v>
      </c>
      <c r="D31" s="76">
        <v>34102000</v>
      </c>
      <c r="E31" s="76">
        <v>32525000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20185000</v>
      </c>
      <c r="D32" s="76">
        <v>52626000</v>
      </c>
      <c r="E32" s="76">
        <v>51621000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6092000</v>
      </c>
      <c r="D33" s="76">
        <f>+D32-C32</f>
        <v>32441000</v>
      </c>
      <c r="E33" s="76">
        <f>+E32-D32</f>
        <v>-1005000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1.4321999999999999</v>
      </c>
      <c r="D34" s="193">
        <f>IF(C32=0,0,+D33/C32)</f>
        <v>1.6071835521426803</v>
      </c>
      <c r="E34" s="193">
        <f>IF(D32=0,0,+E33/D32)</f>
        <v>-1.9097024284574163E-2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1.4304794097036151</v>
      </c>
      <c r="D38" s="338">
        <f>IF(+D40=0,0,+D39/+D40)</f>
        <v>1.4509954661935738</v>
      </c>
      <c r="E38" s="338">
        <f>IF(+E40=0,0,+E39/+E40)</f>
        <v>1.7283561508913621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69404000</v>
      </c>
      <c r="D39" s="341">
        <v>73609000</v>
      </c>
      <c r="E39" s="341">
        <v>70192000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48518000</v>
      </c>
      <c r="D40" s="341">
        <v>50730000</v>
      </c>
      <c r="E40" s="341">
        <v>40612000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34.307810847320653</v>
      </c>
      <c r="D42" s="343">
        <f>IF((D48/365)=0,0,+D45/(D48/365))</f>
        <v>44.618522386111472</v>
      </c>
      <c r="E42" s="343">
        <f>IF((E48/365)=0,0,+E45/(E48/365))</f>
        <v>37.85812119481762</v>
      </c>
    </row>
    <row r="43" spans="1:14" ht="24" customHeight="1" x14ac:dyDescent="0.2">
      <c r="A43" s="339">
        <v>5</v>
      </c>
      <c r="B43" s="344" t="s">
        <v>16</v>
      </c>
      <c r="C43" s="345">
        <v>23689000</v>
      </c>
      <c r="D43" s="345">
        <v>29939000</v>
      </c>
      <c r="E43" s="345">
        <v>26866000</v>
      </c>
    </row>
    <row r="44" spans="1:14" ht="24" customHeight="1" x14ac:dyDescent="0.2">
      <c r="A44" s="339">
        <v>6</v>
      </c>
      <c r="B44" s="346" t="s">
        <v>17</v>
      </c>
      <c r="C44" s="345">
        <v>38000</v>
      </c>
      <c r="D44" s="345">
        <v>29000</v>
      </c>
      <c r="E44" s="345">
        <v>17000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23727000</v>
      </c>
      <c r="D45" s="341">
        <f>+D43+D44</f>
        <v>29968000</v>
      </c>
      <c r="E45" s="341">
        <f>+E43+E44</f>
        <v>26883000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261980000</v>
      </c>
      <c r="D46" s="341">
        <f>+D14</f>
        <v>255204000</v>
      </c>
      <c r="E46" s="341">
        <f>+E14</f>
        <v>269715000</v>
      </c>
    </row>
    <row r="47" spans="1:14" ht="24" customHeight="1" x14ac:dyDescent="0.2">
      <c r="A47" s="339">
        <v>9</v>
      </c>
      <c r="B47" s="340" t="s">
        <v>356</v>
      </c>
      <c r="C47" s="341">
        <v>9549000</v>
      </c>
      <c r="D47" s="341">
        <v>10052000</v>
      </c>
      <c r="E47" s="341">
        <v>10529000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252431000</v>
      </c>
      <c r="D48" s="341">
        <f>+D46-D47</f>
        <v>245152000</v>
      </c>
      <c r="E48" s="341">
        <f>+E46-E47</f>
        <v>259186000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38.039681317835431</v>
      </c>
      <c r="D50" s="350">
        <f>IF((D55/365)=0,0,+D54/(D55/365))</f>
        <v>35.260955156022362</v>
      </c>
      <c r="E50" s="350">
        <f>IF((E55/365)=0,0,+E54/(E55/365))</f>
        <v>40.102933003092275</v>
      </c>
    </row>
    <row r="51" spans="1:5" ht="24" customHeight="1" x14ac:dyDescent="0.2">
      <c r="A51" s="339">
        <v>12</v>
      </c>
      <c r="B51" s="344" t="s">
        <v>359</v>
      </c>
      <c r="C51" s="351">
        <v>34085000</v>
      </c>
      <c r="D51" s="351">
        <v>30768000</v>
      </c>
      <c r="E51" s="351">
        <v>30238000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7007000</v>
      </c>
      <c r="D53" s="341">
        <v>6035000</v>
      </c>
      <c r="E53" s="341">
        <v>783000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27078000</v>
      </c>
      <c r="D54" s="352">
        <f>+D51+D52-D53</f>
        <v>24733000</v>
      </c>
      <c r="E54" s="352">
        <f>+E51+E52-E53</f>
        <v>29455000</v>
      </c>
    </row>
    <row r="55" spans="1:5" ht="24" customHeight="1" x14ac:dyDescent="0.2">
      <c r="A55" s="339">
        <v>16</v>
      </c>
      <c r="B55" s="340" t="s">
        <v>75</v>
      </c>
      <c r="C55" s="341">
        <f>+C11</f>
        <v>259820000</v>
      </c>
      <c r="D55" s="341">
        <f>+D11</f>
        <v>256021000</v>
      </c>
      <c r="E55" s="341">
        <f>+E11</f>
        <v>268087000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70.154101516850147</v>
      </c>
      <c r="D57" s="355">
        <f>IF((D61/365)=0,0,+D58/(D61/365))</f>
        <v>75.530487207936304</v>
      </c>
      <c r="E57" s="355">
        <f>IF((E61/365)=0,0,+E58/(E61/365))</f>
        <v>57.192055126434305</v>
      </c>
    </row>
    <row r="58" spans="1:5" ht="24" customHeight="1" x14ac:dyDescent="0.2">
      <c r="A58" s="339">
        <v>18</v>
      </c>
      <c r="B58" s="340" t="s">
        <v>54</v>
      </c>
      <c r="C58" s="353">
        <f>+C40</f>
        <v>48518000</v>
      </c>
      <c r="D58" s="353">
        <f>+D40</f>
        <v>50730000</v>
      </c>
      <c r="E58" s="353">
        <f>+E40</f>
        <v>40612000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261980000</v>
      </c>
      <c r="D59" s="353">
        <f t="shared" si="0"/>
        <v>255204000</v>
      </c>
      <c r="E59" s="353">
        <f t="shared" si="0"/>
        <v>269715000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9549000</v>
      </c>
      <c r="D60" s="356">
        <f t="shared" si="0"/>
        <v>10052000</v>
      </c>
      <c r="E60" s="356">
        <f t="shared" si="0"/>
        <v>10529000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252431000</v>
      </c>
      <c r="D61" s="353">
        <f>+D59-D60</f>
        <v>245152000</v>
      </c>
      <c r="E61" s="353">
        <f>+E59-E60</f>
        <v>259186000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10.107307205055406</v>
      </c>
      <c r="D65" s="357">
        <f>IF(D67=0,0,(D66/D67)*100)</f>
        <v>24.484611626770882</v>
      </c>
      <c r="E65" s="357">
        <f>IF(E67=0,0,(E66/E67)*100)</f>
        <v>23.04375192511149</v>
      </c>
    </row>
    <row r="66" spans="1:5" ht="24" customHeight="1" x14ac:dyDescent="0.2">
      <c r="A66" s="339">
        <v>2</v>
      </c>
      <c r="B66" s="340" t="s">
        <v>67</v>
      </c>
      <c r="C66" s="353">
        <f>+C32</f>
        <v>20185000</v>
      </c>
      <c r="D66" s="353">
        <f>+D32</f>
        <v>52626000</v>
      </c>
      <c r="E66" s="353">
        <f>+E32</f>
        <v>51621000</v>
      </c>
    </row>
    <row r="67" spans="1:5" ht="24" customHeight="1" x14ac:dyDescent="0.2">
      <c r="A67" s="339">
        <v>3</v>
      </c>
      <c r="B67" s="340" t="s">
        <v>43</v>
      </c>
      <c r="C67" s="353">
        <v>199707000</v>
      </c>
      <c r="D67" s="353">
        <v>214935000</v>
      </c>
      <c r="E67" s="353">
        <v>224013000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23.586557469641345</v>
      </c>
      <c r="D69" s="357">
        <f>IF(D75=0,0,(D72/D75)*100)</f>
        <v>28.818350585058504</v>
      </c>
      <c r="E69" s="357">
        <f>IF(E75=0,0,(E72/E75)*100)</f>
        <v>39.927866946994172</v>
      </c>
    </row>
    <row r="70" spans="1:5" ht="24" customHeight="1" x14ac:dyDescent="0.2">
      <c r="A70" s="339">
        <v>5</v>
      </c>
      <c r="B70" s="340" t="s">
        <v>366</v>
      </c>
      <c r="C70" s="353">
        <f>+C28</f>
        <v>7155000</v>
      </c>
      <c r="D70" s="353">
        <f>+D28</f>
        <v>10439000</v>
      </c>
      <c r="E70" s="353">
        <f>+E28</f>
        <v>12830000</v>
      </c>
    </row>
    <row r="71" spans="1:5" ht="24" customHeight="1" x14ac:dyDescent="0.2">
      <c r="A71" s="339">
        <v>6</v>
      </c>
      <c r="B71" s="340" t="s">
        <v>356</v>
      </c>
      <c r="C71" s="356">
        <f>+C47</f>
        <v>9549000</v>
      </c>
      <c r="D71" s="356">
        <f>+D47</f>
        <v>10052000</v>
      </c>
      <c r="E71" s="356">
        <f>+E47</f>
        <v>10529000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16704000</v>
      </c>
      <c r="D72" s="353">
        <f>+D70+D71</f>
        <v>20491000</v>
      </c>
      <c r="E72" s="353">
        <f>+E70+E71</f>
        <v>23359000</v>
      </c>
    </row>
    <row r="73" spans="1:5" ht="24" customHeight="1" x14ac:dyDescent="0.2">
      <c r="A73" s="339">
        <v>8</v>
      </c>
      <c r="B73" s="340" t="s">
        <v>54</v>
      </c>
      <c r="C73" s="341">
        <f>+C40</f>
        <v>48518000</v>
      </c>
      <c r="D73" s="341">
        <f>+D40</f>
        <v>50730000</v>
      </c>
      <c r="E73" s="341">
        <f>+E40</f>
        <v>40612000</v>
      </c>
    </row>
    <row r="74" spans="1:5" ht="24" customHeight="1" x14ac:dyDescent="0.2">
      <c r="A74" s="339">
        <v>9</v>
      </c>
      <c r="B74" s="340" t="s">
        <v>58</v>
      </c>
      <c r="C74" s="353">
        <v>22302000</v>
      </c>
      <c r="D74" s="353">
        <v>20374000</v>
      </c>
      <c r="E74" s="353">
        <v>17891000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70820000</v>
      </c>
      <c r="D75" s="341">
        <f>+D73+D74</f>
        <v>71104000</v>
      </c>
      <c r="E75" s="341">
        <f>+E73+E74</f>
        <v>58503000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52.491350295384478</v>
      </c>
      <c r="D77" s="359">
        <f>IF(D80=0,0,(D78/D80)*100)</f>
        <v>27.909589041095888</v>
      </c>
      <c r="E77" s="359">
        <f>IF(E80=0,0,(E78/E80)*100)</f>
        <v>25.738002071584766</v>
      </c>
    </row>
    <row r="78" spans="1:5" ht="24" customHeight="1" x14ac:dyDescent="0.2">
      <c r="A78" s="339">
        <v>12</v>
      </c>
      <c r="B78" s="340" t="s">
        <v>58</v>
      </c>
      <c r="C78" s="341">
        <f>+C74</f>
        <v>22302000</v>
      </c>
      <c r="D78" s="341">
        <f>+D74</f>
        <v>20374000</v>
      </c>
      <c r="E78" s="341">
        <f>+E74</f>
        <v>17891000</v>
      </c>
    </row>
    <row r="79" spans="1:5" ht="24" customHeight="1" x14ac:dyDescent="0.2">
      <c r="A79" s="339">
        <v>13</v>
      </c>
      <c r="B79" s="340" t="s">
        <v>67</v>
      </c>
      <c r="C79" s="341">
        <f>+C32</f>
        <v>20185000</v>
      </c>
      <c r="D79" s="341">
        <f>+D32</f>
        <v>52626000</v>
      </c>
      <c r="E79" s="341">
        <f>+E32</f>
        <v>51621000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42487000</v>
      </c>
      <c r="D80" s="341">
        <f>+D78+D79</f>
        <v>73000000</v>
      </c>
      <c r="E80" s="341">
        <f>+E78+E79</f>
        <v>69512000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FILING&amp;R&amp;8SAINT MARY`S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36500</v>
      </c>
      <c r="D11" s="376">
        <v>8842</v>
      </c>
      <c r="E11" s="376">
        <v>9003</v>
      </c>
      <c r="F11" s="377">
        <v>122</v>
      </c>
      <c r="G11" s="377">
        <v>122</v>
      </c>
      <c r="H11" s="378">
        <f>IF(F11=0,0,$C11/(F11*365))</f>
        <v>0.81967213114754101</v>
      </c>
      <c r="I11" s="378">
        <f>IF(G11=0,0,$C11/(G11*365))</f>
        <v>0.81967213114754101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4163</v>
      </c>
      <c r="D13" s="376">
        <v>1272</v>
      </c>
      <c r="E13" s="376">
        <v>0</v>
      </c>
      <c r="F13" s="377">
        <v>16</v>
      </c>
      <c r="G13" s="377">
        <v>16</v>
      </c>
      <c r="H13" s="378">
        <f>IF(F13=0,0,$C13/(F13*365))</f>
        <v>0.71284246575342469</v>
      </c>
      <c r="I13" s="378">
        <f>IF(G13=0,0,$C13/(G13*365))</f>
        <v>0.71284246575342469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3993</v>
      </c>
      <c r="D16" s="376">
        <v>633</v>
      </c>
      <c r="E16" s="376">
        <v>622</v>
      </c>
      <c r="F16" s="377">
        <v>12</v>
      </c>
      <c r="G16" s="377">
        <v>12</v>
      </c>
      <c r="H16" s="378">
        <f t="shared" si="0"/>
        <v>0.91164383561643836</v>
      </c>
      <c r="I16" s="378">
        <f t="shared" si="0"/>
        <v>0.91164383561643836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3993</v>
      </c>
      <c r="D17" s="381">
        <f>SUM(D15:D16)</f>
        <v>633</v>
      </c>
      <c r="E17" s="381">
        <f>SUM(E15:E16)</f>
        <v>622</v>
      </c>
      <c r="F17" s="381">
        <f>SUM(F15:F16)</f>
        <v>12</v>
      </c>
      <c r="G17" s="381">
        <f>SUM(G15:G16)</f>
        <v>12</v>
      </c>
      <c r="H17" s="382">
        <f t="shared" si="0"/>
        <v>0.91164383561643836</v>
      </c>
      <c r="I17" s="382">
        <f t="shared" si="0"/>
        <v>0.91164383561643836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2855</v>
      </c>
      <c r="D21" s="376">
        <v>1066</v>
      </c>
      <c r="E21" s="376">
        <v>1132</v>
      </c>
      <c r="F21" s="377">
        <v>16</v>
      </c>
      <c r="G21" s="377">
        <v>16</v>
      </c>
      <c r="H21" s="378">
        <f>IF(F21=0,0,$C21/(F21*365))</f>
        <v>0.48886986301369861</v>
      </c>
      <c r="I21" s="378">
        <f>IF(G21=0,0,$C21/(G21*365))</f>
        <v>0.48886986301369861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2173</v>
      </c>
      <c r="D23" s="376">
        <v>955</v>
      </c>
      <c r="E23" s="376">
        <v>1017</v>
      </c>
      <c r="F23" s="377">
        <v>11</v>
      </c>
      <c r="G23" s="377">
        <v>11</v>
      </c>
      <c r="H23" s="378">
        <f>IF(F23=0,0,$C23/(F23*365))</f>
        <v>0.54122042341220422</v>
      </c>
      <c r="I23" s="378">
        <f>IF(G23=0,0,$C23/(G23*365))</f>
        <v>0.54122042341220422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1240</v>
      </c>
      <c r="D25" s="376">
        <v>146</v>
      </c>
      <c r="E25" s="376">
        <v>0</v>
      </c>
      <c r="F25" s="377">
        <v>5</v>
      </c>
      <c r="G25" s="377">
        <v>5</v>
      </c>
      <c r="H25" s="378">
        <f>IF(F25=0,0,$C25/(F25*365))</f>
        <v>0.67945205479452053</v>
      </c>
      <c r="I25" s="378">
        <f>IF(G25=0,0,$C25/(G25*365))</f>
        <v>0.67945205479452053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48751</v>
      </c>
      <c r="D31" s="384">
        <f>SUM(D10:D29)-D13-D17-D23</f>
        <v>10687</v>
      </c>
      <c r="E31" s="384">
        <f>SUM(E10:E29)-E17-E23</f>
        <v>10757</v>
      </c>
      <c r="F31" s="384">
        <f>SUM(F10:F29)-F17-F23</f>
        <v>171</v>
      </c>
      <c r="G31" s="384">
        <f>SUM(G10:G29)-G17-G23</f>
        <v>171</v>
      </c>
      <c r="H31" s="385">
        <f>IF(F31=0,0,$C31/(F31*365))</f>
        <v>0.78107826644236156</v>
      </c>
      <c r="I31" s="385">
        <f>IF(G31=0,0,$C31/(G31*365))</f>
        <v>0.78107826644236156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50924</v>
      </c>
      <c r="D33" s="384">
        <f>SUM(D10:D29)-D13-D17</f>
        <v>11642</v>
      </c>
      <c r="E33" s="384">
        <f>SUM(E10:E29)-E17</f>
        <v>11774</v>
      </c>
      <c r="F33" s="384">
        <f>SUM(F10:F29)-F17</f>
        <v>182</v>
      </c>
      <c r="G33" s="384">
        <f>SUM(G10:G29)-G17</f>
        <v>182</v>
      </c>
      <c r="H33" s="385">
        <f>IF(F33=0,0,$C33/(F33*365))</f>
        <v>0.76658136384163778</v>
      </c>
      <c r="I33" s="385">
        <f>IF(G33=0,0,$C33/(G33*365))</f>
        <v>0.76658136384163778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50924</v>
      </c>
      <c r="D36" s="384">
        <f t="shared" si="1"/>
        <v>11642</v>
      </c>
      <c r="E36" s="384">
        <f t="shared" si="1"/>
        <v>11774</v>
      </c>
      <c r="F36" s="384">
        <f t="shared" si="1"/>
        <v>182</v>
      </c>
      <c r="G36" s="384">
        <f t="shared" si="1"/>
        <v>182</v>
      </c>
      <c r="H36" s="387">
        <f t="shared" si="1"/>
        <v>0.76658136384163778</v>
      </c>
      <c r="I36" s="387">
        <f t="shared" si="1"/>
        <v>0.76658136384163778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51833</v>
      </c>
      <c r="D37" s="384">
        <v>11729</v>
      </c>
      <c r="E37" s="384">
        <v>11615</v>
      </c>
      <c r="F37" s="386">
        <v>182</v>
      </c>
      <c r="G37" s="386">
        <v>182</v>
      </c>
      <c r="H37" s="385">
        <f>IF(F37=0,0,$C37/(F37*365))</f>
        <v>0.78026494053891315</v>
      </c>
      <c r="I37" s="385">
        <f>IF(G37=0,0,$C37/(G37*365))</f>
        <v>0.78026494053891315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-909</v>
      </c>
      <c r="D38" s="384">
        <f t="shared" si="2"/>
        <v>-87</v>
      </c>
      <c r="E38" s="384">
        <f t="shared" si="2"/>
        <v>159</v>
      </c>
      <c r="F38" s="384">
        <f t="shared" si="2"/>
        <v>0</v>
      </c>
      <c r="G38" s="384">
        <f t="shared" si="2"/>
        <v>0</v>
      </c>
      <c r="H38" s="387">
        <f t="shared" si="2"/>
        <v>-1.3683576697275379E-2</v>
      </c>
      <c r="I38" s="387">
        <f t="shared" si="2"/>
        <v>-1.3683576697275379E-2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-1.7537090270676983E-2</v>
      </c>
      <c r="D40" s="389">
        <f t="shared" si="3"/>
        <v>-7.4175121493733481E-3</v>
      </c>
      <c r="E40" s="389">
        <f t="shared" si="3"/>
        <v>1.3689195006457168E-2</v>
      </c>
      <c r="F40" s="389">
        <f t="shared" si="3"/>
        <v>0</v>
      </c>
      <c r="G40" s="389">
        <f t="shared" si="3"/>
        <v>0</v>
      </c>
      <c r="H40" s="389">
        <f t="shared" si="3"/>
        <v>-1.7537090270677048E-2</v>
      </c>
      <c r="I40" s="389">
        <f t="shared" si="3"/>
        <v>-1.7537090270677048E-2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379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FILING&amp;RSAINT MARY`S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5358</v>
      </c>
      <c r="D12" s="409">
        <v>5491</v>
      </c>
      <c r="E12" s="409">
        <f>+D12-C12</f>
        <v>133</v>
      </c>
      <c r="F12" s="410">
        <f>IF(C12=0,0,+E12/C12)</f>
        <v>2.4822695035460994E-2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3738</v>
      </c>
      <c r="D13" s="409">
        <v>3991</v>
      </c>
      <c r="E13" s="409">
        <f>+D13-C13</f>
        <v>253</v>
      </c>
      <c r="F13" s="410">
        <f>IF(C13=0,0,+E13/C13)</f>
        <v>6.7683253076511504E-2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8316</v>
      </c>
      <c r="D14" s="409">
        <v>8664</v>
      </c>
      <c r="E14" s="409">
        <f>+D14-C14</f>
        <v>348</v>
      </c>
      <c r="F14" s="410">
        <f>IF(C14=0,0,+E14/C14)</f>
        <v>4.1847041847041848E-2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3167</v>
      </c>
      <c r="D15" s="409">
        <v>4189</v>
      </c>
      <c r="E15" s="409">
        <f>+D15-C15</f>
        <v>1022</v>
      </c>
      <c r="F15" s="410">
        <f>IF(C15=0,0,+E15/C15)</f>
        <v>0.3227028733817493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20579</v>
      </c>
      <c r="D16" s="401">
        <f>SUM(D12:D15)</f>
        <v>22335</v>
      </c>
      <c r="E16" s="401">
        <f>+D16-C16</f>
        <v>1756</v>
      </c>
      <c r="F16" s="402">
        <f>IF(C16=0,0,+E16/C16)</f>
        <v>8.5329705039117548E-2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1117</v>
      </c>
      <c r="D19" s="409">
        <v>1253</v>
      </c>
      <c r="E19" s="409">
        <f>+D19-C19</f>
        <v>136</v>
      </c>
      <c r="F19" s="410">
        <f>IF(C19=0,0,+E19/C19)</f>
        <v>0.12175470008952552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1939</v>
      </c>
      <c r="D20" s="409">
        <v>2408</v>
      </c>
      <c r="E20" s="409">
        <f>+D20-C20</f>
        <v>469</v>
      </c>
      <c r="F20" s="410">
        <f>IF(C20=0,0,+E20/C20)</f>
        <v>0.24187725631768953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140</v>
      </c>
      <c r="D21" s="409">
        <v>205</v>
      </c>
      <c r="E21" s="409">
        <f>+D21-C21</f>
        <v>65</v>
      </c>
      <c r="F21" s="410">
        <f>IF(C21=0,0,+E21/C21)</f>
        <v>0.4642857142857143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10041</v>
      </c>
      <c r="D22" s="409">
        <v>8666</v>
      </c>
      <c r="E22" s="409">
        <f>+D22-C22</f>
        <v>-1375</v>
      </c>
      <c r="F22" s="410">
        <f>IF(C22=0,0,+E22/C22)</f>
        <v>-0.13693855193705806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13237</v>
      </c>
      <c r="D23" s="401">
        <f>SUM(D19:D22)</f>
        <v>12532</v>
      </c>
      <c r="E23" s="401">
        <f>+D23-C23</f>
        <v>-705</v>
      </c>
      <c r="F23" s="402">
        <f>IF(C23=0,0,+E23/C23)</f>
        <v>-5.3259802069955425E-2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747</v>
      </c>
      <c r="D29" s="409">
        <v>0</v>
      </c>
      <c r="E29" s="409">
        <f>+D29-C29</f>
        <v>-747</v>
      </c>
      <c r="F29" s="410">
        <f>IF(C29=0,0,+E29/C29)</f>
        <v>-1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747</v>
      </c>
      <c r="D30" s="401">
        <f>SUM(D26:D29)</f>
        <v>0</v>
      </c>
      <c r="E30" s="401">
        <f>+D30-C30</f>
        <v>-747</v>
      </c>
      <c r="F30" s="402">
        <f>IF(C30=0,0,+E30/C30)</f>
        <v>-1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0</v>
      </c>
      <c r="D33" s="409">
        <v>0</v>
      </c>
      <c r="E33" s="409">
        <f>+D33-C33</f>
        <v>0</v>
      </c>
      <c r="F33" s="410">
        <f>IF(C33=0,0,+E33/C33)</f>
        <v>0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0</v>
      </c>
      <c r="D34" s="409">
        <v>0</v>
      </c>
      <c r="E34" s="409">
        <f>+D34-C34</f>
        <v>0</v>
      </c>
      <c r="F34" s="410">
        <f>IF(C34=0,0,+E34/C34)</f>
        <v>0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785</v>
      </c>
      <c r="E36" s="409">
        <f>+D36-C36</f>
        <v>785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0</v>
      </c>
      <c r="D37" s="401">
        <f>SUM(D33:D36)</f>
        <v>785</v>
      </c>
      <c r="E37" s="401">
        <f>+D37-C37</f>
        <v>785</v>
      </c>
      <c r="F37" s="402">
        <f>IF(C37=0,0,+E37/C37)</f>
        <v>0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0</v>
      </c>
      <c r="D43" s="409">
        <v>0</v>
      </c>
      <c r="E43" s="409">
        <f>+D43-C43</f>
        <v>0</v>
      </c>
      <c r="F43" s="410">
        <f>IF(C43=0,0,+E43/C43)</f>
        <v>0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11664</v>
      </c>
      <c r="D44" s="409">
        <v>11742</v>
      </c>
      <c r="E44" s="409">
        <f>+D44-C44</f>
        <v>78</v>
      </c>
      <c r="F44" s="410">
        <f>IF(C44=0,0,+E44/C44)</f>
        <v>6.6872427983539094E-3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11664</v>
      </c>
      <c r="D45" s="401">
        <f>SUM(D43:D44)</f>
        <v>11742</v>
      </c>
      <c r="E45" s="401">
        <f>+D45-C45</f>
        <v>78</v>
      </c>
      <c r="F45" s="402">
        <f>IF(C45=0,0,+E45/C45)</f>
        <v>6.6872427983539094E-3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563</v>
      </c>
      <c r="D48" s="409">
        <v>421</v>
      </c>
      <c r="E48" s="409">
        <f>+D48-C48</f>
        <v>-142</v>
      </c>
      <c r="F48" s="410">
        <f>IF(C48=0,0,+E48/C48)</f>
        <v>-0.25222024866785081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340</v>
      </c>
      <c r="D49" s="409">
        <v>414</v>
      </c>
      <c r="E49" s="409">
        <f>+D49-C49</f>
        <v>74</v>
      </c>
      <c r="F49" s="410">
        <f>IF(C49=0,0,+E49/C49)</f>
        <v>0.21764705882352942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903</v>
      </c>
      <c r="D50" s="401">
        <f>SUM(D48:D49)</f>
        <v>835</v>
      </c>
      <c r="E50" s="401">
        <f>+D50-C50</f>
        <v>-68</v>
      </c>
      <c r="F50" s="402">
        <f>IF(C50=0,0,+E50/C50)</f>
        <v>-7.5304540420819494E-2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342</v>
      </c>
      <c r="D53" s="409">
        <v>284</v>
      </c>
      <c r="E53" s="409">
        <f>+D53-C53</f>
        <v>-58</v>
      </c>
      <c r="F53" s="410">
        <f>IF(C53=0,0,+E53/C53)</f>
        <v>-0.16959064327485379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342</v>
      </c>
      <c r="D55" s="401">
        <f>SUM(D53:D54)</f>
        <v>284</v>
      </c>
      <c r="E55" s="401">
        <f>+D55-C55</f>
        <v>-58</v>
      </c>
      <c r="F55" s="402">
        <f>IF(C55=0,0,+E55/C55)</f>
        <v>-0.16959064327485379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116</v>
      </c>
      <c r="D58" s="409">
        <v>119</v>
      </c>
      <c r="E58" s="409">
        <f>+D58-C58</f>
        <v>3</v>
      </c>
      <c r="F58" s="410">
        <f>IF(C58=0,0,+E58/C58)</f>
        <v>2.5862068965517241E-2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87</v>
      </c>
      <c r="D59" s="409">
        <v>95</v>
      </c>
      <c r="E59" s="409">
        <f>+D59-C59</f>
        <v>8</v>
      </c>
      <c r="F59" s="410">
        <f>IF(C59=0,0,+E59/C59)</f>
        <v>9.1954022988505746E-2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203</v>
      </c>
      <c r="D60" s="401">
        <f>SUM(D58:D59)</f>
        <v>214</v>
      </c>
      <c r="E60" s="401">
        <f>SUM(E58:E59)</f>
        <v>11</v>
      </c>
      <c r="F60" s="402">
        <f>IF(C60=0,0,+E60/C60)</f>
        <v>5.4187192118226604E-2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2249</v>
      </c>
      <c r="D63" s="409">
        <v>2152</v>
      </c>
      <c r="E63" s="409">
        <f>+D63-C63</f>
        <v>-97</v>
      </c>
      <c r="F63" s="410">
        <f>IF(C63=0,0,+E63/C63)</f>
        <v>-4.3130280124499779E-2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7888</v>
      </c>
      <c r="D64" s="409">
        <v>8041</v>
      </c>
      <c r="E64" s="409">
        <f>+D64-C64</f>
        <v>153</v>
      </c>
      <c r="F64" s="410">
        <f>IF(C64=0,0,+E64/C64)</f>
        <v>1.9396551724137932E-2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10137</v>
      </c>
      <c r="D65" s="401">
        <f>SUM(D63:D64)</f>
        <v>10193</v>
      </c>
      <c r="E65" s="401">
        <f>+D65-C65</f>
        <v>56</v>
      </c>
      <c r="F65" s="402">
        <f>IF(C65=0,0,+E65/C65)</f>
        <v>5.5243168590312719E-3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335</v>
      </c>
      <c r="D68" s="409">
        <v>564</v>
      </c>
      <c r="E68" s="409">
        <f>+D68-C68</f>
        <v>229</v>
      </c>
      <c r="F68" s="410">
        <f>IF(C68=0,0,+E68/C68)</f>
        <v>0.68358208955223876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3950</v>
      </c>
      <c r="D69" s="409">
        <v>3700</v>
      </c>
      <c r="E69" s="409">
        <f>+D69-C69</f>
        <v>-250</v>
      </c>
      <c r="F69" s="412">
        <f>IF(C69=0,0,+E69/C69)</f>
        <v>-6.3291139240506333E-2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4285</v>
      </c>
      <c r="D70" s="401">
        <f>SUM(D68:D69)</f>
        <v>4264</v>
      </c>
      <c r="E70" s="401">
        <f>+D70-C70</f>
        <v>-21</v>
      </c>
      <c r="F70" s="402">
        <f>IF(C70=0,0,+E70/C70)</f>
        <v>-4.9008168028004664E-3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7991</v>
      </c>
      <c r="D73" s="376">
        <v>7886</v>
      </c>
      <c r="E73" s="409">
        <f>+D73-C73</f>
        <v>-105</v>
      </c>
      <c r="F73" s="410">
        <f>IF(C73=0,0,+E73/C73)</f>
        <v>-1.3139782255036916E-2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62003</v>
      </c>
      <c r="D74" s="376">
        <v>62335</v>
      </c>
      <c r="E74" s="409">
        <f>+D74-C74</f>
        <v>332</v>
      </c>
      <c r="F74" s="410">
        <f>IF(C74=0,0,+E74/C74)</f>
        <v>5.3545796171153006E-3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69994</v>
      </c>
      <c r="D75" s="401">
        <f>SUM(D73:D74)</f>
        <v>70221</v>
      </c>
      <c r="E75" s="401">
        <f>SUM(E73:E74)</f>
        <v>227</v>
      </c>
      <c r="F75" s="402">
        <f>IF(C75=0,0,+E75/C75)</f>
        <v>3.2431351258679314E-3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2157</v>
      </c>
      <c r="D79" s="376">
        <v>2354</v>
      </c>
      <c r="E79" s="409">
        <f t="shared" ref="E79:E92" si="0">+D79-C79</f>
        <v>197</v>
      </c>
      <c r="F79" s="410">
        <f t="shared" ref="F79:F92" si="1">IF(C79=0,0,+E79/C79)</f>
        <v>9.1330551692165043E-2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3691</v>
      </c>
      <c r="D80" s="376">
        <v>3352</v>
      </c>
      <c r="E80" s="409">
        <f t="shared" si="0"/>
        <v>-339</v>
      </c>
      <c r="F80" s="410">
        <f t="shared" si="1"/>
        <v>-9.184502844757518E-2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2558</v>
      </c>
      <c r="D81" s="376">
        <v>2999</v>
      </c>
      <c r="E81" s="409">
        <f t="shared" si="0"/>
        <v>441</v>
      </c>
      <c r="F81" s="410">
        <f t="shared" si="1"/>
        <v>0.17240031274433151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27775</v>
      </c>
      <c r="D86" s="376">
        <v>21131</v>
      </c>
      <c r="E86" s="409">
        <f t="shared" si="0"/>
        <v>-6644</v>
      </c>
      <c r="F86" s="410">
        <f t="shared" si="1"/>
        <v>-0.2392079207920792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36181</v>
      </c>
      <c r="D92" s="381">
        <f>SUM(D79:D91)</f>
        <v>29836</v>
      </c>
      <c r="E92" s="401">
        <f t="shared" si="0"/>
        <v>-6345</v>
      </c>
      <c r="F92" s="402">
        <f t="shared" si="1"/>
        <v>-0.17536828722257539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12187</v>
      </c>
      <c r="D95" s="414">
        <v>11011</v>
      </c>
      <c r="E95" s="415">
        <f t="shared" ref="E95:E100" si="2">+D95-C95</f>
        <v>-1176</v>
      </c>
      <c r="F95" s="412">
        <f t="shared" ref="F95:F100" si="3">IF(C95=0,0,+E95/C95)</f>
        <v>-9.6496266513497991E-2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2632</v>
      </c>
      <c r="D96" s="414">
        <v>2084</v>
      </c>
      <c r="E96" s="409">
        <f t="shared" si="2"/>
        <v>-548</v>
      </c>
      <c r="F96" s="410">
        <f t="shared" si="3"/>
        <v>-0.20820668693009117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154</v>
      </c>
      <c r="D97" s="414">
        <v>131</v>
      </c>
      <c r="E97" s="409">
        <f t="shared" si="2"/>
        <v>-23</v>
      </c>
      <c r="F97" s="410">
        <f t="shared" si="3"/>
        <v>-0.14935064935064934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4115</v>
      </c>
      <c r="D98" s="414">
        <v>3700</v>
      </c>
      <c r="E98" s="409">
        <f t="shared" si="2"/>
        <v>-415</v>
      </c>
      <c r="F98" s="410">
        <f t="shared" si="3"/>
        <v>-0.10085054678007291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138199</v>
      </c>
      <c r="D99" s="414">
        <v>142477</v>
      </c>
      <c r="E99" s="409">
        <f t="shared" si="2"/>
        <v>4278</v>
      </c>
      <c r="F99" s="410">
        <f t="shared" si="3"/>
        <v>3.0955361471501242E-2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157287</v>
      </c>
      <c r="D100" s="381">
        <f>SUM(D95:D99)</f>
        <v>159403</v>
      </c>
      <c r="E100" s="401">
        <f t="shared" si="2"/>
        <v>2116</v>
      </c>
      <c r="F100" s="402">
        <f t="shared" si="3"/>
        <v>1.3453114370545563E-2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347.3</v>
      </c>
      <c r="D104" s="416">
        <v>373.1</v>
      </c>
      <c r="E104" s="417">
        <f>+D104-C104</f>
        <v>25.800000000000011</v>
      </c>
      <c r="F104" s="410">
        <f>IF(C104=0,0,+E104/C104)</f>
        <v>7.428735963144259E-2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56.1</v>
      </c>
      <c r="D105" s="416">
        <v>57.3</v>
      </c>
      <c r="E105" s="417">
        <f>+D105-C105</f>
        <v>1.1999999999999957</v>
      </c>
      <c r="F105" s="410">
        <f>IF(C105=0,0,+E105/C105)</f>
        <v>2.1390374331550725E-2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951.8</v>
      </c>
      <c r="D106" s="416">
        <v>885</v>
      </c>
      <c r="E106" s="417">
        <f>+D106-C106</f>
        <v>-66.799999999999955</v>
      </c>
      <c r="F106" s="410">
        <f>IF(C106=0,0,+E106/C106)</f>
        <v>-7.0182811515024118E-2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1355.2</v>
      </c>
      <c r="D107" s="418">
        <f>SUM(D104:D106)</f>
        <v>1315.4</v>
      </c>
      <c r="E107" s="418">
        <f>+D107-C107</f>
        <v>-39.799999999999955</v>
      </c>
      <c r="F107" s="402">
        <f>IF(C107=0,0,+E107/C107)</f>
        <v>-2.9368358913813425E-2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MARY`S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3464</v>
      </c>
      <c r="D12" s="409">
        <v>3367</v>
      </c>
      <c r="E12" s="409">
        <f>+D12-C12</f>
        <v>-97</v>
      </c>
      <c r="F12" s="410">
        <f>IF(C12=0,0,+E12/C12)</f>
        <v>-2.8002309468822172E-2</v>
      </c>
    </row>
    <row r="13" spans="1:6" ht="15.75" customHeight="1" x14ac:dyDescent="0.2">
      <c r="A13" s="374">
        <v>2</v>
      </c>
      <c r="B13" s="408" t="s">
        <v>622</v>
      </c>
      <c r="C13" s="409">
        <v>4424</v>
      </c>
      <c r="D13" s="409">
        <v>4674</v>
      </c>
      <c r="E13" s="409">
        <f>+D13-C13</f>
        <v>250</v>
      </c>
      <c r="F13" s="410">
        <f>IF(C13=0,0,+E13/C13)</f>
        <v>5.6509945750452081E-2</v>
      </c>
    </row>
    <row r="14" spans="1:6" ht="15.75" customHeight="1" x14ac:dyDescent="0.25">
      <c r="A14" s="374"/>
      <c r="B14" s="399" t="s">
        <v>623</v>
      </c>
      <c r="C14" s="401">
        <f>SUM(C11:C13)</f>
        <v>7888</v>
      </c>
      <c r="D14" s="401">
        <f>SUM(D11:D13)</f>
        <v>8041</v>
      </c>
      <c r="E14" s="401">
        <f>+D14-C14</f>
        <v>153</v>
      </c>
      <c r="F14" s="402">
        <f>IF(C14=0,0,+E14/C14)</f>
        <v>1.9396551724137932E-2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0</v>
      </c>
      <c r="D17" s="409">
        <v>0</v>
      </c>
      <c r="E17" s="409">
        <f>+D17-C17</f>
        <v>0</v>
      </c>
      <c r="F17" s="410">
        <f>IF(C17=0,0,+E17/C17)</f>
        <v>0</v>
      </c>
    </row>
    <row r="18" spans="1:6" ht="15.75" customHeight="1" x14ac:dyDescent="0.2">
      <c r="A18" s="374">
        <v>2</v>
      </c>
      <c r="B18" s="408" t="s">
        <v>622</v>
      </c>
      <c r="C18" s="409">
        <v>3950</v>
      </c>
      <c r="D18" s="409">
        <v>3700</v>
      </c>
      <c r="E18" s="409">
        <f>+D18-C18</f>
        <v>-250</v>
      </c>
      <c r="F18" s="410">
        <f>IF(C18=0,0,+E18/C18)</f>
        <v>-6.3291139240506333E-2</v>
      </c>
    </row>
    <row r="19" spans="1:6" ht="15.75" customHeight="1" x14ac:dyDescent="0.25">
      <c r="A19" s="374"/>
      <c r="B19" s="399" t="s">
        <v>624</v>
      </c>
      <c r="C19" s="401">
        <f>SUM(C16:C18)</f>
        <v>3950</v>
      </c>
      <c r="D19" s="401">
        <f>SUM(D16:D18)</f>
        <v>3700</v>
      </c>
      <c r="E19" s="401">
        <f>+D19-C19</f>
        <v>-250</v>
      </c>
      <c r="F19" s="402">
        <f>IF(C19=0,0,+E19/C19)</f>
        <v>-6.3291139240506333E-2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62003</v>
      </c>
      <c r="D22" s="409">
        <v>62335</v>
      </c>
      <c r="E22" s="409">
        <f>+D22-C22</f>
        <v>332</v>
      </c>
      <c r="F22" s="410">
        <f>IF(C22=0,0,+E22/C22)</f>
        <v>5.3545796171153006E-3</v>
      </c>
    </row>
    <row r="23" spans="1:6" ht="15.75" customHeight="1" x14ac:dyDescent="0.25">
      <c r="A23" s="374"/>
      <c r="B23" s="399" t="s">
        <v>626</v>
      </c>
      <c r="C23" s="401">
        <f>SUM(C21:C22)</f>
        <v>62003</v>
      </c>
      <c r="D23" s="401">
        <f>SUM(D21:D22)</f>
        <v>62335</v>
      </c>
      <c r="E23" s="401">
        <f>+D23-C23</f>
        <v>332</v>
      </c>
      <c r="F23" s="402">
        <f>IF(C23=0,0,+E23/C23)</f>
        <v>5.3545796171153006E-3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627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628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629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FILING&amp;RSAINT MARY`S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136828081</v>
      </c>
      <c r="D15" s="448">
        <v>148284057</v>
      </c>
      <c r="E15" s="448">
        <f t="shared" ref="E15:E24" si="0">D15-C15</f>
        <v>11455976</v>
      </c>
      <c r="F15" s="449">
        <f t="shared" ref="F15:F24" si="1">IF(C15=0,0,E15/C15)</f>
        <v>8.3725328282576728E-2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63438379</v>
      </c>
      <c r="D16" s="448">
        <v>66934078</v>
      </c>
      <c r="E16" s="448">
        <f t="shared" si="0"/>
        <v>3495699</v>
      </c>
      <c r="F16" s="449">
        <f t="shared" si="1"/>
        <v>5.5103851250675871E-2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0.46363566993240224</v>
      </c>
      <c r="D17" s="453">
        <f>IF(LN_IA1=0,0,LN_IA2/LN_IA1)</f>
        <v>0.45139092734696351</v>
      </c>
      <c r="E17" s="454">
        <f t="shared" si="0"/>
        <v>-1.2244742585438728E-2</v>
      </c>
      <c r="F17" s="449">
        <f t="shared" si="1"/>
        <v>-2.6410268621532083E-2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5053</v>
      </c>
      <c r="D18" s="456">
        <v>5069</v>
      </c>
      <c r="E18" s="456">
        <f t="shared" si="0"/>
        <v>16</v>
      </c>
      <c r="F18" s="449">
        <f t="shared" si="1"/>
        <v>3.166435780724322E-3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1.49895</v>
      </c>
      <c r="D19" s="459">
        <v>1.5586</v>
      </c>
      <c r="E19" s="460">
        <f t="shared" si="0"/>
        <v>5.9649999999999981E-2</v>
      </c>
      <c r="F19" s="449">
        <f t="shared" si="1"/>
        <v>3.9794522832649511E-2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7574.1943499999998</v>
      </c>
      <c r="D20" s="463">
        <f>LN_IA4*LN_IA5</f>
        <v>7900.5433999999996</v>
      </c>
      <c r="E20" s="463">
        <f t="shared" si="0"/>
        <v>326.34904999999981</v>
      </c>
      <c r="F20" s="449">
        <f t="shared" si="1"/>
        <v>4.3086965414347971E-2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8375.5942967056289</v>
      </c>
      <c r="D21" s="465">
        <f>IF(LN_IA6=0,0,LN_IA2/LN_IA6)</f>
        <v>8472.0853504836141</v>
      </c>
      <c r="E21" s="465">
        <f t="shared" si="0"/>
        <v>96.491053777985144</v>
      </c>
      <c r="F21" s="449">
        <f t="shared" si="1"/>
        <v>1.1520502350016877E-2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26610</v>
      </c>
      <c r="D22" s="456">
        <v>26236</v>
      </c>
      <c r="E22" s="456">
        <f t="shared" si="0"/>
        <v>-374</v>
      </c>
      <c r="F22" s="449">
        <f t="shared" si="1"/>
        <v>-1.4054866591506952E-2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2384.0052236001502</v>
      </c>
      <c r="D23" s="465">
        <f>IF(LN_IA8=0,0,LN_IA2/LN_IA8)</f>
        <v>2551.2302942521724</v>
      </c>
      <c r="E23" s="465">
        <f t="shared" si="0"/>
        <v>167.22507065202217</v>
      </c>
      <c r="F23" s="449">
        <f t="shared" si="1"/>
        <v>7.0144590706681054E-2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5.2661785078171386</v>
      </c>
      <c r="D24" s="466">
        <f>IF(LN_IA4=0,0,LN_IA8/LN_IA4)</f>
        <v>5.1757743144604458</v>
      </c>
      <c r="E24" s="466">
        <f t="shared" si="0"/>
        <v>-9.0404193356692808E-2</v>
      </c>
      <c r="F24" s="449">
        <f t="shared" si="1"/>
        <v>-1.7166944345410325E-2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93355888</v>
      </c>
      <c r="D27" s="448">
        <v>108576625</v>
      </c>
      <c r="E27" s="448">
        <f t="shared" ref="E27:E32" si="2">D27-C27</f>
        <v>15220737</v>
      </c>
      <c r="F27" s="449">
        <f t="shared" ref="F27:F32" si="3">IF(C27=0,0,E27/C27)</f>
        <v>0.16303992523749547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19692299</v>
      </c>
      <c r="D28" s="448">
        <v>23085184</v>
      </c>
      <c r="E28" s="448">
        <f t="shared" si="2"/>
        <v>3392885</v>
      </c>
      <c r="F28" s="449">
        <f t="shared" si="3"/>
        <v>0.17229501745834755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0.21093794319646983</v>
      </c>
      <c r="D29" s="453">
        <f>IF(LN_IA11=0,0,LN_IA12/LN_IA11)</f>
        <v>0.2126165185186038</v>
      </c>
      <c r="E29" s="454">
        <f t="shared" si="2"/>
        <v>1.6785753221339739E-3</v>
      </c>
      <c r="F29" s="449">
        <f t="shared" si="3"/>
        <v>7.9576736963369882E-3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0.68228602869903587</v>
      </c>
      <c r="D30" s="453">
        <f>IF(LN_IA1=0,0,LN_IA11/LN_IA1)</f>
        <v>0.73222049083806762</v>
      </c>
      <c r="E30" s="454">
        <f t="shared" si="2"/>
        <v>4.9934462139031743E-2</v>
      </c>
      <c r="F30" s="449">
        <f t="shared" si="3"/>
        <v>7.3186992021872982E-2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3447.5913030162283</v>
      </c>
      <c r="D31" s="463">
        <f>LN_IA14*LN_IA4</f>
        <v>3711.6256680581646</v>
      </c>
      <c r="E31" s="463">
        <f t="shared" si="2"/>
        <v>264.03436504193633</v>
      </c>
      <c r="F31" s="449">
        <f t="shared" si="3"/>
        <v>7.658516971281891E-2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5711.9006486562384</v>
      </c>
      <c r="D32" s="465">
        <f>IF(LN_IA15=0,0,LN_IA12/LN_IA15)</f>
        <v>6219.6961829067277</v>
      </c>
      <c r="E32" s="465">
        <f t="shared" si="2"/>
        <v>507.79553425048925</v>
      </c>
      <c r="F32" s="449">
        <f t="shared" si="3"/>
        <v>8.8901324705280269E-2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230183969</v>
      </c>
      <c r="D35" s="448">
        <f>LN_IA1+LN_IA11</f>
        <v>256860682</v>
      </c>
      <c r="E35" s="448">
        <f>D35-C35</f>
        <v>26676713</v>
      </c>
      <c r="F35" s="449">
        <f>IF(C35=0,0,E35/C35)</f>
        <v>0.1158930099080879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83130678</v>
      </c>
      <c r="D36" s="448">
        <f>LN_IA2+LN_IA12</f>
        <v>90019262</v>
      </c>
      <c r="E36" s="448">
        <f>D36-C36</f>
        <v>6888584</v>
      </c>
      <c r="F36" s="449">
        <f>IF(C36=0,0,E36/C36)</f>
        <v>8.2864523250971198E-2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147053291</v>
      </c>
      <c r="D37" s="448">
        <f>LN_IA17-LN_IA18</f>
        <v>166841420</v>
      </c>
      <c r="E37" s="448">
        <f>D37-C37</f>
        <v>19788129</v>
      </c>
      <c r="F37" s="449">
        <f>IF(C37=0,0,E37/C37)</f>
        <v>0.13456433967193568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70498050</v>
      </c>
      <c r="D42" s="448">
        <v>76196512</v>
      </c>
      <c r="E42" s="448">
        <f t="shared" ref="E42:E53" si="4">D42-C42</f>
        <v>5698462</v>
      </c>
      <c r="F42" s="449">
        <f t="shared" ref="F42:F53" si="5">IF(C42=0,0,E42/C42)</f>
        <v>8.0831483991401179E-2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34301365</v>
      </c>
      <c r="D43" s="448">
        <v>38590610</v>
      </c>
      <c r="E43" s="448">
        <f t="shared" si="4"/>
        <v>4289245</v>
      </c>
      <c r="F43" s="449">
        <f t="shared" si="5"/>
        <v>0.12504589831920684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0.48655764237450538</v>
      </c>
      <c r="D44" s="453">
        <f>IF(LN_IB1=0,0,LN_IB2/LN_IB1)</f>
        <v>0.50646163435932601</v>
      </c>
      <c r="E44" s="454">
        <f t="shared" si="4"/>
        <v>1.9903991984820624E-2</v>
      </c>
      <c r="F44" s="449">
        <f t="shared" si="5"/>
        <v>4.0907777930863205E-2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3306</v>
      </c>
      <c r="D45" s="456">
        <v>2984</v>
      </c>
      <c r="E45" s="456">
        <f t="shared" si="4"/>
        <v>-322</v>
      </c>
      <c r="F45" s="449">
        <f t="shared" si="5"/>
        <v>-9.7398669086509376E-2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1.1974</v>
      </c>
      <c r="D46" s="459">
        <v>1.3211999999999999</v>
      </c>
      <c r="E46" s="460">
        <f t="shared" si="4"/>
        <v>0.12379999999999991</v>
      </c>
      <c r="F46" s="449">
        <f t="shared" si="5"/>
        <v>0.10339067980624679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3958.6044000000002</v>
      </c>
      <c r="D47" s="463">
        <f>LN_IB4*LN_IB5</f>
        <v>3942.4607999999998</v>
      </c>
      <c r="E47" s="463">
        <f t="shared" si="4"/>
        <v>-16.143600000000333</v>
      </c>
      <c r="F47" s="449">
        <f t="shared" si="5"/>
        <v>-4.0781038893404785E-3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8665.0146197988361</v>
      </c>
      <c r="D48" s="465">
        <f>IF(LN_IB6=0,0,LN_IB2/LN_IB6)</f>
        <v>9788.4575034962945</v>
      </c>
      <c r="E48" s="465">
        <f t="shared" si="4"/>
        <v>1123.4428836974585</v>
      </c>
      <c r="F48" s="449">
        <f t="shared" si="5"/>
        <v>0.12965273954996973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-289.42032309320712</v>
      </c>
      <c r="D49" s="465">
        <f>LN_IA7-LN_IB7</f>
        <v>-1316.3721530126804</v>
      </c>
      <c r="E49" s="465">
        <f t="shared" si="4"/>
        <v>-1026.9518299194733</v>
      </c>
      <c r="F49" s="449">
        <f t="shared" si="5"/>
        <v>3.5483058651300929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-1145700.5644461913</v>
      </c>
      <c r="D50" s="479">
        <f>LN_IB8*LN_IB6</f>
        <v>-5189745.6114640944</v>
      </c>
      <c r="E50" s="479">
        <f t="shared" si="4"/>
        <v>-4044045.0470179031</v>
      </c>
      <c r="F50" s="449">
        <f t="shared" si="5"/>
        <v>3.529757401291596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12205</v>
      </c>
      <c r="D51" s="456">
        <v>11197</v>
      </c>
      <c r="E51" s="456">
        <f t="shared" si="4"/>
        <v>-1008</v>
      </c>
      <c r="F51" s="449">
        <f t="shared" si="5"/>
        <v>-8.2589102826710364E-2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2810.4354772634165</v>
      </c>
      <c r="D52" s="465">
        <f>IF(LN_IB10=0,0,LN_IB2/LN_IB10)</f>
        <v>3446.5133517906584</v>
      </c>
      <c r="E52" s="465">
        <f t="shared" si="4"/>
        <v>636.07787452724187</v>
      </c>
      <c r="F52" s="449">
        <f t="shared" si="5"/>
        <v>0.22632715807679921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3.691772534785239</v>
      </c>
      <c r="D53" s="466">
        <f>IF(LN_IB4=0,0,LN_IB10/LN_IB4)</f>
        <v>3.7523458445040214</v>
      </c>
      <c r="E53" s="466">
        <f t="shared" si="4"/>
        <v>6.0573309718782387E-2</v>
      </c>
      <c r="F53" s="449">
        <f t="shared" si="5"/>
        <v>1.6407649482203569E-2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140629707</v>
      </c>
      <c r="D56" s="448">
        <v>150639456</v>
      </c>
      <c r="E56" s="448">
        <f t="shared" ref="E56:E63" si="6">D56-C56</f>
        <v>10009749</v>
      </c>
      <c r="F56" s="449">
        <f t="shared" ref="F56:F63" si="7">IF(C56=0,0,E56/C56)</f>
        <v>7.1178054861481016E-2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45811830</v>
      </c>
      <c r="D57" s="448">
        <v>50018908</v>
      </c>
      <c r="E57" s="448">
        <f t="shared" si="6"/>
        <v>4207078</v>
      </c>
      <c r="F57" s="449">
        <f t="shared" si="7"/>
        <v>9.1833877843343084E-2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0.32576210942400669</v>
      </c>
      <c r="D58" s="453">
        <f>IF(LN_IB13=0,0,LN_IB14/LN_IB13)</f>
        <v>0.33204387036554356</v>
      </c>
      <c r="E58" s="454">
        <f t="shared" si="6"/>
        <v>6.2817609415368736E-3</v>
      </c>
      <c r="F58" s="449">
        <f t="shared" si="7"/>
        <v>1.9283276844700915E-2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1.9948027924176626</v>
      </c>
      <c r="D59" s="453">
        <f>IF(LN_IB1=0,0,LN_IB13/LN_IB1)</f>
        <v>1.9769862431498177</v>
      </c>
      <c r="E59" s="454">
        <f t="shared" si="6"/>
        <v>-1.7816549267844817E-2</v>
      </c>
      <c r="F59" s="449">
        <f t="shared" si="7"/>
        <v>-8.9314840221631636E-3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6594.8180317327924</v>
      </c>
      <c r="D60" s="463">
        <f>LN_IB16*LN_IB4</f>
        <v>5899.3269495590557</v>
      </c>
      <c r="E60" s="463">
        <f t="shared" si="6"/>
        <v>-695.49108217373669</v>
      </c>
      <c r="F60" s="449">
        <f t="shared" si="7"/>
        <v>-0.10546023845194649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6946.6404955472162</v>
      </c>
      <c r="D61" s="465">
        <f>IF(LN_IB17=0,0,LN_IB14/LN_IB17)</f>
        <v>8478.748241566549</v>
      </c>
      <c r="E61" s="465">
        <f t="shared" si="6"/>
        <v>1532.1077460193328</v>
      </c>
      <c r="F61" s="449">
        <f t="shared" si="7"/>
        <v>0.22055376940859558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-1234.7398468909778</v>
      </c>
      <c r="D62" s="465">
        <f>LN_IA16-LN_IB18</f>
        <v>-2259.0520586598213</v>
      </c>
      <c r="E62" s="465">
        <f t="shared" si="6"/>
        <v>-1024.3122117688436</v>
      </c>
      <c r="F62" s="449">
        <f t="shared" si="7"/>
        <v>0.829577351332767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-8142884.6067756079</v>
      </c>
      <c r="D63" s="448">
        <f>LN_IB19*LN_IB17</f>
        <v>-13326886.690108748</v>
      </c>
      <c r="E63" s="448">
        <f t="shared" si="6"/>
        <v>-5184002.0833331402</v>
      </c>
      <c r="F63" s="449">
        <f t="shared" si="7"/>
        <v>0.63662968759493255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211127757</v>
      </c>
      <c r="D66" s="448">
        <f>LN_IB1+LN_IB13</f>
        <v>226835968</v>
      </c>
      <c r="E66" s="448">
        <f>D66-C66</f>
        <v>15708211</v>
      </c>
      <c r="F66" s="449">
        <f>IF(C66=0,0,E66/C66)</f>
        <v>7.4401448787238339E-2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80113195</v>
      </c>
      <c r="D67" s="448">
        <f>LN_IB2+LN_IB14</f>
        <v>88609518</v>
      </c>
      <c r="E67" s="448">
        <f>D67-C67</f>
        <v>8496323</v>
      </c>
      <c r="F67" s="449">
        <f>IF(C67=0,0,E67/C67)</f>
        <v>0.10605397774985756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131014562</v>
      </c>
      <c r="D68" s="448">
        <f>LN_IB21-LN_IB22</f>
        <v>138226450</v>
      </c>
      <c r="E68" s="448">
        <f>D68-C68</f>
        <v>7211888</v>
      </c>
      <c r="F68" s="449">
        <f>IF(C68=0,0,E68/C68)</f>
        <v>5.5046461171239881E-2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-9288585.1712218001</v>
      </c>
      <c r="D70" s="441">
        <f>LN_IB9+LN_IB20</f>
        <v>-18516632.301572844</v>
      </c>
      <c r="E70" s="448">
        <f>D70-C70</f>
        <v>-9228047.1303510442</v>
      </c>
      <c r="F70" s="449">
        <f>IF(C70=0,0,E70/C70)</f>
        <v>0.99348253369540962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211127757</v>
      </c>
      <c r="D73" s="488">
        <v>215458545</v>
      </c>
      <c r="E73" s="488">
        <f>D73-C73</f>
        <v>4330788</v>
      </c>
      <c r="F73" s="489">
        <f>IF(C73=0,0,E73/C73)</f>
        <v>2.0512641547174682E-2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80113195</v>
      </c>
      <c r="D74" s="488">
        <v>88204682</v>
      </c>
      <c r="E74" s="488">
        <f>D74-C74</f>
        <v>8091487</v>
      </c>
      <c r="F74" s="489">
        <f>IF(C74=0,0,E74/C74)</f>
        <v>0.10100067785337984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131014562</v>
      </c>
      <c r="D76" s="441">
        <f>LN_IB32-LN_IB33</f>
        <v>127253863</v>
      </c>
      <c r="E76" s="488">
        <f>D76-C76</f>
        <v>-3760699</v>
      </c>
      <c r="F76" s="489">
        <f>IF(E76=0,0,E76/C76)</f>
        <v>-2.8704435160421329E-2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0.6205463642565956</v>
      </c>
      <c r="D77" s="453">
        <f>IF(LN_IB32=0,0,LN_IB34/LN_IB32)</f>
        <v>0.59061878005349011</v>
      </c>
      <c r="E77" s="493">
        <f>D77-C77</f>
        <v>-2.9927584203105484E-2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1787877</v>
      </c>
      <c r="D83" s="448">
        <v>1781260</v>
      </c>
      <c r="E83" s="448">
        <f t="shared" ref="E83:E95" si="8">D83-C83</f>
        <v>-6617</v>
      </c>
      <c r="F83" s="449">
        <f t="shared" ref="F83:F95" si="9">IF(C83=0,0,E83/C83)</f>
        <v>-3.7010375993426839E-3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37435</v>
      </c>
      <c r="D84" s="448">
        <v>21594</v>
      </c>
      <c r="E84" s="448">
        <f t="shared" si="8"/>
        <v>-15841</v>
      </c>
      <c r="F84" s="449">
        <f t="shared" si="9"/>
        <v>-0.4231601442500334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2.0938241277224327E-2</v>
      </c>
      <c r="D85" s="453">
        <f>IF(LN_IC1=0,0,LN_IC2/LN_IC1)</f>
        <v>1.2122879310151241E-2</v>
      </c>
      <c r="E85" s="454">
        <f t="shared" si="8"/>
        <v>-8.8153619670730855E-3</v>
      </c>
      <c r="F85" s="449">
        <f t="shared" si="9"/>
        <v>-0.42101730753585492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178</v>
      </c>
      <c r="D86" s="456">
        <v>115</v>
      </c>
      <c r="E86" s="456">
        <f t="shared" si="8"/>
        <v>-63</v>
      </c>
      <c r="F86" s="449">
        <f t="shared" si="9"/>
        <v>-0.3539325842696629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0.93111999999999995</v>
      </c>
      <c r="D87" s="459">
        <v>1.1728000000000001</v>
      </c>
      <c r="E87" s="460">
        <f t="shared" si="8"/>
        <v>0.24168000000000012</v>
      </c>
      <c r="F87" s="449">
        <f t="shared" si="9"/>
        <v>0.25955838130423592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165.73935999999998</v>
      </c>
      <c r="D88" s="463">
        <f>LN_IC4*LN_IC5</f>
        <v>134.87200000000001</v>
      </c>
      <c r="E88" s="463">
        <f t="shared" si="8"/>
        <v>-30.867359999999962</v>
      </c>
      <c r="F88" s="449">
        <f t="shared" si="9"/>
        <v>-0.18624037162928569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225.86668610280626</v>
      </c>
      <c r="D89" s="465">
        <f>IF(LN_IC6=0,0,LN_IC2/LN_IC6)</f>
        <v>160.10736105344324</v>
      </c>
      <c r="E89" s="465">
        <f t="shared" si="8"/>
        <v>-65.759325049363014</v>
      </c>
      <c r="F89" s="449">
        <f t="shared" si="9"/>
        <v>-0.29114220509452099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8439.1479336960292</v>
      </c>
      <c r="D90" s="465">
        <f>LN_IB7-LN_IC7</f>
        <v>9628.3501424428505</v>
      </c>
      <c r="E90" s="465">
        <f t="shared" si="8"/>
        <v>1189.2022087468213</v>
      </c>
      <c r="F90" s="449">
        <f t="shared" si="9"/>
        <v>0.14091496180539112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8149.727610602823</v>
      </c>
      <c r="D91" s="465">
        <f>LN_IA7-LN_IC7</f>
        <v>8311.9779894301701</v>
      </c>
      <c r="E91" s="465">
        <f t="shared" si="8"/>
        <v>162.25037882734705</v>
      </c>
      <c r="F91" s="449">
        <f t="shared" si="9"/>
        <v>1.9908687330391112E-2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1350730.6383556409</v>
      </c>
      <c r="D92" s="441">
        <f>LN_IC9*LN_IC6</f>
        <v>1121053.095390426</v>
      </c>
      <c r="E92" s="441">
        <f t="shared" si="8"/>
        <v>-229677.54296521493</v>
      </c>
      <c r="F92" s="449">
        <f t="shared" si="9"/>
        <v>-0.17003948562595789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529</v>
      </c>
      <c r="D93" s="456">
        <v>389</v>
      </c>
      <c r="E93" s="456">
        <f t="shared" si="8"/>
        <v>-140</v>
      </c>
      <c r="F93" s="449">
        <f t="shared" si="9"/>
        <v>-0.26465028355387521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70.765595463137998</v>
      </c>
      <c r="D94" s="499">
        <f>IF(LN_IC11=0,0,LN_IC2/LN_IC11)</f>
        <v>55.511568123393317</v>
      </c>
      <c r="E94" s="499">
        <f t="shared" si="8"/>
        <v>-15.254027339744681</v>
      </c>
      <c r="F94" s="449">
        <f t="shared" si="9"/>
        <v>-0.21555711133230762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2.9719101123595504</v>
      </c>
      <c r="D95" s="466">
        <f>IF(LN_IC4=0,0,LN_IC11/LN_IC4)</f>
        <v>3.3826086956521739</v>
      </c>
      <c r="E95" s="466">
        <f t="shared" si="8"/>
        <v>0.41069858329262354</v>
      </c>
      <c r="F95" s="449">
        <f t="shared" si="9"/>
        <v>0.13819347415139319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10776290</v>
      </c>
      <c r="D98" s="448">
        <v>9596163</v>
      </c>
      <c r="E98" s="448">
        <f t="shared" ref="E98:E106" si="10">D98-C98</f>
        <v>-1180127</v>
      </c>
      <c r="F98" s="449">
        <f t="shared" ref="F98:F106" si="11">IF(C98=0,0,E98/C98)</f>
        <v>-0.10951143668182649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208733</v>
      </c>
      <c r="D99" s="448">
        <v>383242</v>
      </c>
      <c r="E99" s="448">
        <f t="shared" si="10"/>
        <v>174509</v>
      </c>
      <c r="F99" s="449">
        <f t="shared" si="11"/>
        <v>0.83603934212606534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1.9369653192332425E-2</v>
      </c>
      <c r="D100" s="453">
        <f>IF(LN_IC14=0,0,LN_IC15/LN_IC14)</f>
        <v>3.9937003987948097E-2</v>
      </c>
      <c r="E100" s="454">
        <f t="shared" si="10"/>
        <v>2.0567350795615672E-2</v>
      </c>
      <c r="F100" s="449">
        <f t="shared" si="11"/>
        <v>1.0618337143876877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6.0274224681004345</v>
      </c>
      <c r="D101" s="453">
        <f>IF(LN_IC1=0,0,LN_IC14/LN_IC1)</f>
        <v>5.3872893345160167</v>
      </c>
      <c r="E101" s="454">
        <f t="shared" si="10"/>
        <v>-0.64013313358441781</v>
      </c>
      <c r="F101" s="449">
        <f t="shared" si="11"/>
        <v>-0.10620346208885507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1072.8811993218774</v>
      </c>
      <c r="D102" s="463">
        <f>LN_IC17*LN_IC4</f>
        <v>619.5382734693419</v>
      </c>
      <c r="E102" s="463">
        <f t="shared" si="10"/>
        <v>-453.34292585253547</v>
      </c>
      <c r="F102" s="449">
        <f t="shared" si="11"/>
        <v>-0.42254718056302437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194.55369348622312</v>
      </c>
      <c r="D103" s="465">
        <f>IF(LN_IC18=0,0,LN_IC15/LN_IC18)</f>
        <v>618.59293672671686</v>
      </c>
      <c r="E103" s="465">
        <f t="shared" si="10"/>
        <v>424.03924324049376</v>
      </c>
      <c r="F103" s="449">
        <f t="shared" si="11"/>
        <v>2.1795486667053234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6752.0868020609933</v>
      </c>
      <c r="D104" s="465">
        <f>LN_IB18-LN_IC19</f>
        <v>7860.1553048398318</v>
      </c>
      <c r="E104" s="465">
        <f t="shared" si="10"/>
        <v>1108.0685027788386</v>
      </c>
      <c r="F104" s="449">
        <f t="shared" si="11"/>
        <v>0.16410756189340073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5517.3469551700155</v>
      </c>
      <c r="D105" s="465">
        <f>LN_IA16-LN_IC19</f>
        <v>5601.1032461800105</v>
      </c>
      <c r="E105" s="465">
        <f t="shared" si="10"/>
        <v>83.756291009995039</v>
      </c>
      <c r="F105" s="449">
        <f t="shared" si="11"/>
        <v>1.5180537256499961E-2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5919457.8183377143</v>
      </c>
      <c r="D106" s="448">
        <f>LN_IC21*LN_IC18</f>
        <v>3470097.8346618898</v>
      </c>
      <c r="E106" s="448">
        <f t="shared" si="10"/>
        <v>-2449359.9836758245</v>
      </c>
      <c r="F106" s="449">
        <f t="shared" si="11"/>
        <v>-0.41378113652369042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12564167</v>
      </c>
      <c r="D109" s="448">
        <f>LN_IC1+LN_IC14</f>
        <v>11377423</v>
      </c>
      <c r="E109" s="448">
        <f>D109-C109</f>
        <v>-1186744</v>
      </c>
      <c r="F109" s="449">
        <f>IF(C109=0,0,E109/C109)</f>
        <v>-9.4454650276456845E-2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246168</v>
      </c>
      <c r="D110" s="448">
        <f>LN_IC2+LN_IC15</f>
        <v>404836</v>
      </c>
      <c r="E110" s="448">
        <f>D110-C110</f>
        <v>158668</v>
      </c>
      <c r="F110" s="449">
        <f>IF(C110=0,0,E110/C110)</f>
        <v>0.64455168827792397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12317999</v>
      </c>
      <c r="D111" s="448">
        <f>LN_IC23-LN_IC24</f>
        <v>10972587</v>
      </c>
      <c r="E111" s="448">
        <f>D111-C111</f>
        <v>-1345412</v>
      </c>
      <c r="F111" s="449">
        <f>IF(C111=0,0,E111/C111)</f>
        <v>-0.1092232593946468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7270188.456693355</v>
      </c>
      <c r="D113" s="448">
        <f>LN_IC10+LN_IC22</f>
        <v>4591150.9300523158</v>
      </c>
      <c r="E113" s="448">
        <f>D113-C113</f>
        <v>-2679037.5266410392</v>
      </c>
      <c r="F113" s="449">
        <f>IF(C113=0,0,E113/C113)</f>
        <v>-0.36849629725548072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55012283</v>
      </c>
      <c r="D118" s="448">
        <v>59517687</v>
      </c>
      <c r="E118" s="448">
        <f t="shared" ref="E118:E130" si="12">D118-C118</f>
        <v>4505404</v>
      </c>
      <c r="F118" s="449">
        <f t="shared" ref="F118:F130" si="13">IF(C118=0,0,E118/C118)</f>
        <v>8.1898146273987574E-2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21678280</v>
      </c>
      <c r="D119" s="448">
        <v>21911696</v>
      </c>
      <c r="E119" s="448">
        <f t="shared" si="12"/>
        <v>233416</v>
      </c>
      <c r="F119" s="449">
        <f t="shared" si="13"/>
        <v>1.07672748945027E-2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0.39406254054208223</v>
      </c>
      <c r="D120" s="453">
        <f>IF(LN_ID1=0,0,LN_1D2/LN_ID1)</f>
        <v>0.36815436056848111</v>
      </c>
      <c r="E120" s="454">
        <f t="shared" si="12"/>
        <v>-2.590817997360112E-2</v>
      </c>
      <c r="F120" s="449">
        <f t="shared" si="13"/>
        <v>-6.5746365888930181E-2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3345</v>
      </c>
      <c r="D121" s="456">
        <v>3568</v>
      </c>
      <c r="E121" s="456">
        <f t="shared" si="12"/>
        <v>223</v>
      </c>
      <c r="F121" s="449">
        <f t="shared" si="13"/>
        <v>6.6666666666666666E-2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1.0439700000000001</v>
      </c>
      <c r="D122" s="459">
        <v>1.0233000000000001</v>
      </c>
      <c r="E122" s="460">
        <f t="shared" si="12"/>
        <v>-2.0669999999999966E-2</v>
      </c>
      <c r="F122" s="449">
        <f t="shared" si="13"/>
        <v>-1.9799419523549494E-2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3492.0796500000001</v>
      </c>
      <c r="D123" s="463">
        <f>LN_ID4*LN_ID5</f>
        <v>3651.1344000000004</v>
      </c>
      <c r="E123" s="463">
        <f t="shared" si="12"/>
        <v>159.05475000000024</v>
      </c>
      <c r="F123" s="449">
        <f t="shared" si="13"/>
        <v>4.5547285841547235E-2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6207.8423669402846</v>
      </c>
      <c r="D124" s="465">
        <f>IF(LN_ID6=0,0,LN_1D2/LN_ID6)</f>
        <v>6001.3392002222645</v>
      </c>
      <c r="E124" s="465">
        <f t="shared" si="12"/>
        <v>-206.50316671802011</v>
      </c>
      <c r="F124" s="449">
        <f t="shared" si="13"/>
        <v>-3.3264885690034232E-2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2457.1722528585515</v>
      </c>
      <c r="D125" s="465">
        <f>LN_IB7-LN_ID7</f>
        <v>3787.11830327403</v>
      </c>
      <c r="E125" s="465">
        <f t="shared" si="12"/>
        <v>1329.9460504154786</v>
      </c>
      <c r="F125" s="449">
        <f t="shared" si="13"/>
        <v>0.54125063835809062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2167.7519297653444</v>
      </c>
      <c r="D126" s="465">
        <f>LN_IA7-LN_ID7</f>
        <v>2470.7461502613496</v>
      </c>
      <c r="E126" s="465">
        <f t="shared" si="12"/>
        <v>302.99422049600525</v>
      </c>
      <c r="F126" s="449">
        <f t="shared" si="13"/>
        <v>0.13977347515442134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7569962.400181789</v>
      </c>
      <c r="D127" s="479">
        <f>LN_ID9*LN_ID6</f>
        <v>9021026.2628867831</v>
      </c>
      <c r="E127" s="479">
        <f t="shared" si="12"/>
        <v>1451063.8627049942</v>
      </c>
      <c r="F127" s="449">
        <f t="shared" si="13"/>
        <v>0.19168706342189329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12946</v>
      </c>
      <c r="D128" s="456">
        <v>13442</v>
      </c>
      <c r="E128" s="456">
        <f t="shared" si="12"/>
        <v>496</v>
      </c>
      <c r="F128" s="449">
        <f t="shared" si="13"/>
        <v>3.8312992430094235E-2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1674.5156805190793</v>
      </c>
      <c r="D129" s="465">
        <f>IF(LN_ID11=0,0,LN_1D2/LN_ID11)</f>
        <v>1630.0919506025889</v>
      </c>
      <c r="E129" s="465">
        <f t="shared" si="12"/>
        <v>-44.423729916490402</v>
      </c>
      <c r="F129" s="449">
        <f t="shared" si="13"/>
        <v>-2.6529300640958819E-2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3.870254110612855</v>
      </c>
      <c r="D130" s="466">
        <f>IF(LN_ID4=0,0,LN_ID11/LN_ID4)</f>
        <v>3.7673766816143499</v>
      </c>
      <c r="E130" s="466">
        <f t="shared" si="12"/>
        <v>-0.10287742899850505</v>
      </c>
      <c r="F130" s="449">
        <f t="shared" si="13"/>
        <v>-2.6581569596786606E-2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101301392</v>
      </c>
      <c r="D133" s="448">
        <v>119782447</v>
      </c>
      <c r="E133" s="448">
        <f t="shared" ref="E133:E141" si="14">D133-C133</f>
        <v>18481055</v>
      </c>
      <c r="F133" s="449">
        <f t="shared" ref="F133:F141" si="15">IF(C133=0,0,E133/C133)</f>
        <v>0.18243633809099088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26414789</v>
      </c>
      <c r="D134" s="448">
        <v>28101645</v>
      </c>
      <c r="E134" s="448">
        <f t="shared" si="14"/>
        <v>1686856</v>
      </c>
      <c r="F134" s="449">
        <f t="shared" si="15"/>
        <v>6.3860286750728926E-2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0.2607544524166065</v>
      </c>
      <c r="D135" s="453">
        <f>IF(LN_ID14=0,0,LN_ID15/LN_ID14)</f>
        <v>0.23460570145139881</v>
      </c>
      <c r="E135" s="454">
        <f t="shared" si="14"/>
        <v>-2.614875096520769E-2</v>
      </c>
      <c r="F135" s="449">
        <f t="shared" si="15"/>
        <v>-0.10028112932633618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1.8414322488670394</v>
      </c>
      <c r="D136" s="453">
        <f>IF(LN_ID1=0,0,LN_ID14/LN_ID1)</f>
        <v>2.0125521174907215</v>
      </c>
      <c r="E136" s="454">
        <f t="shared" si="14"/>
        <v>0.17111986862368211</v>
      </c>
      <c r="F136" s="449">
        <f t="shared" si="15"/>
        <v>9.2927594120807547E-2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6159.5908724602468</v>
      </c>
      <c r="D137" s="463">
        <f>LN_ID17*LN_ID4</f>
        <v>7180.785955206894</v>
      </c>
      <c r="E137" s="463">
        <f t="shared" si="14"/>
        <v>1021.1950827466471</v>
      </c>
      <c r="F137" s="449">
        <f t="shared" si="15"/>
        <v>0.16578943372886132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4288.3999192383826</v>
      </c>
      <c r="D138" s="465">
        <f>IF(LN_ID18=0,0,LN_ID15/LN_ID18)</f>
        <v>3913.4497498317828</v>
      </c>
      <c r="E138" s="465">
        <f t="shared" si="14"/>
        <v>-374.9501694065998</v>
      </c>
      <c r="F138" s="449">
        <f t="shared" si="15"/>
        <v>-8.7433582797285081E-2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2658.2405763088336</v>
      </c>
      <c r="D139" s="465">
        <f>LN_IB18-LN_ID19</f>
        <v>4565.2984917347658</v>
      </c>
      <c r="E139" s="465">
        <f t="shared" si="14"/>
        <v>1907.0579154259322</v>
      </c>
      <c r="F139" s="449">
        <f t="shared" si="15"/>
        <v>0.71741359018528905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1423.5007294178558</v>
      </c>
      <c r="D140" s="465">
        <f>LN_IA16-LN_ID19</f>
        <v>2306.2464330749449</v>
      </c>
      <c r="E140" s="465">
        <f t="shared" si="14"/>
        <v>882.74570365708905</v>
      </c>
      <c r="F140" s="449">
        <f t="shared" si="15"/>
        <v>0.62012311298083433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8768182.0998627283</v>
      </c>
      <c r="D141" s="441">
        <f>LN_ID21*LN_ID18</f>
        <v>16560661.99587056</v>
      </c>
      <c r="E141" s="441">
        <f t="shared" si="14"/>
        <v>7792479.8960078321</v>
      </c>
      <c r="F141" s="449">
        <f t="shared" si="15"/>
        <v>0.88872240645296685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156313675</v>
      </c>
      <c r="D144" s="448">
        <f>LN_ID1+LN_ID14</f>
        <v>179300134</v>
      </c>
      <c r="E144" s="448">
        <f>D144-C144</f>
        <v>22986459</v>
      </c>
      <c r="F144" s="449">
        <f>IF(C144=0,0,E144/C144)</f>
        <v>0.14705341039419614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48093069</v>
      </c>
      <c r="D145" s="448">
        <f>LN_1D2+LN_ID15</f>
        <v>50013341</v>
      </c>
      <c r="E145" s="448">
        <f>D145-C145</f>
        <v>1920272</v>
      </c>
      <c r="F145" s="449">
        <f>IF(C145=0,0,E145/C145)</f>
        <v>3.9928248288750301E-2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108220606</v>
      </c>
      <c r="D146" s="448">
        <f>LN_ID23-LN_ID24</f>
        <v>129286793</v>
      </c>
      <c r="E146" s="448">
        <f>D146-C146</f>
        <v>21066187</v>
      </c>
      <c r="F146" s="449">
        <f>IF(C146=0,0,E146/C146)</f>
        <v>0.194659665831108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16338144.500044517</v>
      </c>
      <c r="D148" s="448">
        <f>LN_ID10+LN_ID22</f>
        <v>25581688.258757345</v>
      </c>
      <c r="E148" s="448">
        <f>D148-C148</f>
        <v>9243543.7587128282</v>
      </c>
      <c r="F148" s="503">
        <f>IF(C148=0,0,E148/C148)</f>
        <v>0.5657645982190721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8665.0146197988361</v>
      </c>
      <c r="D160" s="465">
        <f>LN_IB7-LN_IE7</f>
        <v>9788.4575034962945</v>
      </c>
      <c r="E160" s="465">
        <f t="shared" si="16"/>
        <v>1123.4428836974585</v>
      </c>
      <c r="F160" s="449">
        <f t="shared" si="17"/>
        <v>0.12965273954996973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8375.5942967056289</v>
      </c>
      <c r="D161" s="465">
        <f>LN_IA7-LN_IE7</f>
        <v>8472.0853504836141</v>
      </c>
      <c r="E161" s="465">
        <f t="shared" si="16"/>
        <v>96.491053777985144</v>
      </c>
      <c r="F161" s="449">
        <f t="shared" si="17"/>
        <v>1.1520502350016877E-2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6946.6404955472162</v>
      </c>
      <c r="D174" s="465">
        <f>LN_IB18-LN_IE19</f>
        <v>8478.748241566549</v>
      </c>
      <c r="E174" s="465">
        <f t="shared" si="18"/>
        <v>1532.1077460193328</v>
      </c>
      <c r="F174" s="449">
        <f t="shared" si="19"/>
        <v>0.22055376940859558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5711.9006486562384</v>
      </c>
      <c r="D175" s="465">
        <f>LN_IA16-LN_IE19</f>
        <v>6219.6961829067277</v>
      </c>
      <c r="E175" s="465">
        <f t="shared" si="18"/>
        <v>507.79553425048925</v>
      </c>
      <c r="F175" s="449">
        <f t="shared" si="19"/>
        <v>8.8901324705280269E-2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55012283</v>
      </c>
      <c r="D188" s="448">
        <f>LN_ID1+LN_IE1</f>
        <v>59517687</v>
      </c>
      <c r="E188" s="448">
        <f t="shared" ref="E188:E200" si="20">D188-C188</f>
        <v>4505404</v>
      </c>
      <c r="F188" s="449">
        <f t="shared" ref="F188:F200" si="21">IF(C188=0,0,E188/C188)</f>
        <v>8.1898146273987574E-2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21678280</v>
      </c>
      <c r="D189" s="448">
        <f>LN_1D2+LN_IE2</f>
        <v>21911696</v>
      </c>
      <c r="E189" s="448">
        <f t="shared" si="20"/>
        <v>233416</v>
      </c>
      <c r="F189" s="449">
        <f t="shared" si="21"/>
        <v>1.07672748945027E-2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0.39406254054208223</v>
      </c>
      <c r="D190" s="453">
        <f>IF(LN_IF1=0,0,LN_IF2/LN_IF1)</f>
        <v>0.36815436056848111</v>
      </c>
      <c r="E190" s="454">
        <f t="shared" si="20"/>
        <v>-2.590817997360112E-2</v>
      </c>
      <c r="F190" s="449">
        <f t="shared" si="21"/>
        <v>-6.5746365888930181E-2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3345</v>
      </c>
      <c r="D191" s="456">
        <f>LN_ID4+LN_IE4</f>
        <v>3568</v>
      </c>
      <c r="E191" s="456">
        <f t="shared" si="20"/>
        <v>223</v>
      </c>
      <c r="F191" s="449">
        <f t="shared" si="21"/>
        <v>6.6666666666666666E-2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1.0439700000000001</v>
      </c>
      <c r="D192" s="459">
        <f>IF((LN_ID4+LN_IE4)=0,0,(LN_ID6+LN_IE6)/(LN_ID4+LN_IE4))</f>
        <v>1.0233000000000001</v>
      </c>
      <c r="E192" s="460">
        <f t="shared" si="20"/>
        <v>-2.0669999999999966E-2</v>
      </c>
      <c r="F192" s="449">
        <f t="shared" si="21"/>
        <v>-1.9799419523549494E-2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3492.0796500000001</v>
      </c>
      <c r="D193" s="463">
        <f>LN_IF4*LN_IF5</f>
        <v>3651.1344000000004</v>
      </c>
      <c r="E193" s="463">
        <f t="shared" si="20"/>
        <v>159.05475000000024</v>
      </c>
      <c r="F193" s="449">
        <f t="shared" si="21"/>
        <v>4.5547285841547235E-2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6207.8423669402846</v>
      </c>
      <c r="D194" s="465">
        <f>IF(LN_IF6=0,0,LN_IF2/LN_IF6)</f>
        <v>6001.3392002222645</v>
      </c>
      <c r="E194" s="465">
        <f t="shared" si="20"/>
        <v>-206.50316671802011</v>
      </c>
      <c r="F194" s="449">
        <f t="shared" si="21"/>
        <v>-3.3264885690034232E-2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2457.1722528585515</v>
      </c>
      <c r="D195" s="465">
        <f>LN_IB7-LN_IF7</f>
        <v>3787.11830327403</v>
      </c>
      <c r="E195" s="465">
        <f t="shared" si="20"/>
        <v>1329.9460504154786</v>
      </c>
      <c r="F195" s="449">
        <f t="shared" si="21"/>
        <v>0.54125063835809062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2167.7519297653444</v>
      </c>
      <c r="D196" s="465">
        <f>LN_IA7-LN_IF7</f>
        <v>2470.7461502613496</v>
      </c>
      <c r="E196" s="465">
        <f t="shared" si="20"/>
        <v>302.99422049600525</v>
      </c>
      <c r="F196" s="449">
        <f t="shared" si="21"/>
        <v>0.13977347515442134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7569962.400181789</v>
      </c>
      <c r="D197" s="479">
        <f>LN_IF9*LN_IF6</f>
        <v>9021026.2628867831</v>
      </c>
      <c r="E197" s="479">
        <f t="shared" si="20"/>
        <v>1451063.8627049942</v>
      </c>
      <c r="F197" s="449">
        <f t="shared" si="21"/>
        <v>0.19168706342189329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12946</v>
      </c>
      <c r="D198" s="456">
        <f>LN_ID11+LN_IE11</f>
        <v>13442</v>
      </c>
      <c r="E198" s="456">
        <f t="shared" si="20"/>
        <v>496</v>
      </c>
      <c r="F198" s="449">
        <f t="shared" si="21"/>
        <v>3.8312992430094235E-2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1674.5156805190793</v>
      </c>
      <c r="D199" s="519">
        <f>IF(LN_IF11=0,0,LN_IF2/LN_IF11)</f>
        <v>1630.0919506025889</v>
      </c>
      <c r="E199" s="519">
        <f t="shared" si="20"/>
        <v>-44.423729916490402</v>
      </c>
      <c r="F199" s="449">
        <f t="shared" si="21"/>
        <v>-2.6529300640958819E-2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3.870254110612855</v>
      </c>
      <c r="D200" s="466">
        <f>IF(LN_IF4=0,0,LN_IF11/LN_IF4)</f>
        <v>3.7673766816143499</v>
      </c>
      <c r="E200" s="466">
        <f t="shared" si="20"/>
        <v>-0.10287742899850505</v>
      </c>
      <c r="F200" s="449">
        <f t="shared" si="21"/>
        <v>-2.6581569596786606E-2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101301392</v>
      </c>
      <c r="D203" s="448">
        <f>LN_ID14+LN_IE14</f>
        <v>119782447</v>
      </c>
      <c r="E203" s="448">
        <f t="shared" ref="E203:E211" si="22">D203-C203</f>
        <v>18481055</v>
      </c>
      <c r="F203" s="449">
        <f t="shared" ref="F203:F211" si="23">IF(C203=0,0,E203/C203)</f>
        <v>0.18243633809099088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26414789</v>
      </c>
      <c r="D204" s="448">
        <f>LN_ID15+LN_IE15</f>
        <v>28101645</v>
      </c>
      <c r="E204" s="448">
        <f t="shared" si="22"/>
        <v>1686856</v>
      </c>
      <c r="F204" s="449">
        <f t="shared" si="23"/>
        <v>6.3860286750728926E-2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0.2607544524166065</v>
      </c>
      <c r="D205" s="453">
        <f>IF(LN_IF14=0,0,LN_IF15/LN_IF14)</f>
        <v>0.23460570145139881</v>
      </c>
      <c r="E205" s="454">
        <f t="shared" si="22"/>
        <v>-2.614875096520769E-2</v>
      </c>
      <c r="F205" s="449">
        <f t="shared" si="23"/>
        <v>-0.10028112932633618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1.8414322488670394</v>
      </c>
      <c r="D206" s="453">
        <f>IF(LN_IF1=0,0,LN_IF14/LN_IF1)</f>
        <v>2.0125521174907215</v>
      </c>
      <c r="E206" s="454">
        <f t="shared" si="22"/>
        <v>0.17111986862368211</v>
      </c>
      <c r="F206" s="449">
        <f t="shared" si="23"/>
        <v>9.2927594120807547E-2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6159.5908724602468</v>
      </c>
      <c r="D207" s="463">
        <f>LN_ID18+LN_IE18</f>
        <v>7180.785955206894</v>
      </c>
      <c r="E207" s="463">
        <f t="shared" si="22"/>
        <v>1021.1950827466471</v>
      </c>
      <c r="F207" s="449">
        <f t="shared" si="23"/>
        <v>0.16578943372886132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4288.3999192383826</v>
      </c>
      <c r="D208" s="465">
        <f>IF(LN_IF18=0,0,LN_IF15/LN_IF18)</f>
        <v>3913.4497498317828</v>
      </c>
      <c r="E208" s="465">
        <f t="shared" si="22"/>
        <v>-374.9501694065998</v>
      </c>
      <c r="F208" s="449">
        <f t="shared" si="23"/>
        <v>-8.7433582797285081E-2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2658.2405763088336</v>
      </c>
      <c r="D209" s="465">
        <f>LN_IB18-LN_IF19</f>
        <v>4565.2984917347658</v>
      </c>
      <c r="E209" s="465">
        <f t="shared" si="22"/>
        <v>1907.0579154259322</v>
      </c>
      <c r="F209" s="449">
        <f t="shared" si="23"/>
        <v>0.71741359018528905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1423.5007294178558</v>
      </c>
      <c r="D210" s="465">
        <f>LN_IA16-LN_IF19</f>
        <v>2306.2464330749449</v>
      </c>
      <c r="E210" s="465">
        <f t="shared" si="22"/>
        <v>882.74570365708905</v>
      </c>
      <c r="F210" s="449">
        <f t="shared" si="23"/>
        <v>0.62012311298083433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8768182.0998627283</v>
      </c>
      <c r="D211" s="441">
        <f>LN_IF21*LN_IF18</f>
        <v>16560661.99587056</v>
      </c>
      <c r="E211" s="441">
        <f t="shared" si="22"/>
        <v>7792479.8960078321</v>
      </c>
      <c r="F211" s="449">
        <f t="shared" si="23"/>
        <v>0.88872240645296685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156313675</v>
      </c>
      <c r="D214" s="448">
        <f>LN_IF1+LN_IF14</f>
        <v>179300134</v>
      </c>
      <c r="E214" s="448">
        <f>D214-C214</f>
        <v>22986459</v>
      </c>
      <c r="F214" s="449">
        <f>IF(C214=0,0,E214/C214)</f>
        <v>0.14705341039419614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48093069</v>
      </c>
      <c r="D215" s="448">
        <f>LN_IF2+LN_IF15</f>
        <v>50013341</v>
      </c>
      <c r="E215" s="448">
        <f>D215-C215</f>
        <v>1920272</v>
      </c>
      <c r="F215" s="449">
        <f>IF(C215=0,0,E215/C215)</f>
        <v>3.9928248288750301E-2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108220606</v>
      </c>
      <c r="D216" s="448">
        <f>LN_IF23-LN_IF24</f>
        <v>129286793</v>
      </c>
      <c r="E216" s="448">
        <f>D216-C216</f>
        <v>21066187</v>
      </c>
      <c r="F216" s="449">
        <f>IF(C216=0,0,E216/C216)</f>
        <v>0.194659665831108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337073</v>
      </c>
      <c r="D221" s="448">
        <v>208043</v>
      </c>
      <c r="E221" s="448">
        <f t="shared" ref="E221:E230" si="24">D221-C221</f>
        <v>-129030</v>
      </c>
      <c r="F221" s="449">
        <f t="shared" ref="F221:F230" si="25">IF(C221=0,0,E221/C221)</f>
        <v>-0.38279541820317853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96721</v>
      </c>
      <c r="D222" s="448">
        <v>62761</v>
      </c>
      <c r="E222" s="448">
        <f t="shared" si="24"/>
        <v>-33960</v>
      </c>
      <c r="F222" s="449">
        <f t="shared" si="25"/>
        <v>-0.35111299510964528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0.28694377775734042</v>
      </c>
      <c r="D223" s="453">
        <f>IF(LN_IG1=0,0,LN_IG2/LN_IG1)</f>
        <v>0.3016732117879477</v>
      </c>
      <c r="E223" s="454">
        <f t="shared" si="24"/>
        <v>1.472943403060728E-2</v>
      </c>
      <c r="F223" s="449">
        <f t="shared" si="25"/>
        <v>5.133212556734202E-2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25</v>
      </c>
      <c r="D224" s="456">
        <v>21</v>
      </c>
      <c r="E224" s="456">
        <f t="shared" si="24"/>
        <v>-4</v>
      </c>
      <c r="F224" s="449">
        <f t="shared" si="25"/>
        <v>-0.16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0.73607</v>
      </c>
      <c r="D225" s="459">
        <v>0.74590000000000001</v>
      </c>
      <c r="E225" s="460">
        <f t="shared" si="24"/>
        <v>9.8300000000000054E-3</v>
      </c>
      <c r="F225" s="449">
        <f t="shared" si="25"/>
        <v>1.3354708112000225E-2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18.40175</v>
      </c>
      <c r="D226" s="463">
        <f>LN_IG3*LN_IG4</f>
        <v>15.6639</v>
      </c>
      <c r="E226" s="463">
        <f t="shared" si="24"/>
        <v>-2.7378499999999999</v>
      </c>
      <c r="F226" s="449">
        <f t="shared" si="25"/>
        <v>-0.14878204518591981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5256.0761884059939</v>
      </c>
      <c r="D227" s="465">
        <f>IF(LN_IG5=0,0,LN_IG2/LN_IG5)</f>
        <v>4006.7288478603668</v>
      </c>
      <c r="E227" s="465">
        <f t="shared" si="24"/>
        <v>-1249.347340545627</v>
      </c>
      <c r="F227" s="449">
        <f t="shared" si="25"/>
        <v>-0.23769582018264382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72</v>
      </c>
      <c r="D228" s="456">
        <v>49</v>
      </c>
      <c r="E228" s="456">
        <f t="shared" si="24"/>
        <v>-23</v>
      </c>
      <c r="F228" s="449">
        <f t="shared" si="25"/>
        <v>-0.31944444444444442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1343.3472222222222</v>
      </c>
      <c r="D229" s="465">
        <f>IF(LN_IG6=0,0,LN_IG2/LN_IG6)</f>
        <v>1280.8367346938776</v>
      </c>
      <c r="E229" s="465">
        <f t="shared" si="24"/>
        <v>-62.510487528344584</v>
      </c>
      <c r="F229" s="449">
        <f t="shared" si="25"/>
        <v>-4.653338056927462E-2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2.88</v>
      </c>
      <c r="D230" s="466">
        <f>IF(LN_IG3=0,0,LN_IG6/LN_IG3)</f>
        <v>2.3333333333333335</v>
      </c>
      <c r="E230" s="466">
        <f t="shared" si="24"/>
        <v>-0.54666666666666641</v>
      </c>
      <c r="F230" s="449">
        <f t="shared" si="25"/>
        <v>-0.18981481481481474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640166</v>
      </c>
      <c r="D233" s="448">
        <v>763864</v>
      </c>
      <c r="E233" s="448">
        <f>D233-C233</f>
        <v>123698</v>
      </c>
      <c r="F233" s="449">
        <f>IF(C233=0,0,E233/C233)</f>
        <v>0.19322800648581775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157105</v>
      </c>
      <c r="D234" s="448">
        <v>163459</v>
      </c>
      <c r="E234" s="448">
        <f>D234-C234</f>
        <v>6354</v>
      </c>
      <c r="F234" s="449">
        <f>IF(C234=0,0,E234/C234)</f>
        <v>4.0444288851405108E-2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977239</v>
      </c>
      <c r="D237" s="448">
        <f>LN_IG1+LN_IG9</f>
        <v>971907</v>
      </c>
      <c r="E237" s="448">
        <f>D237-C237</f>
        <v>-5332</v>
      </c>
      <c r="F237" s="449">
        <f>IF(C237=0,0,E237/C237)</f>
        <v>-5.4561883019404673E-3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253826</v>
      </c>
      <c r="D238" s="448">
        <f>LN_IG2+LN_IG10</f>
        <v>226220</v>
      </c>
      <c r="E238" s="448">
        <f>D238-C238</f>
        <v>-27606</v>
      </c>
      <c r="F238" s="449">
        <f>IF(C238=0,0,E238/C238)</f>
        <v>-0.10875954393954913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723413</v>
      </c>
      <c r="D239" s="448">
        <f>LN_IG13-LN_IG14</f>
        <v>745687</v>
      </c>
      <c r="E239" s="448">
        <f>D239-C239</f>
        <v>22274</v>
      </c>
      <c r="F239" s="449">
        <f>IF(C239=0,0,E239/C239)</f>
        <v>3.0790157213099571E-2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5912911</v>
      </c>
      <c r="D243" s="448">
        <v>8705634</v>
      </c>
      <c r="E243" s="441">
        <f>D243-C243</f>
        <v>2792723</v>
      </c>
      <c r="F243" s="503">
        <f>IF(C243=0,0,E243/C243)</f>
        <v>0.47230932445964435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221915377</v>
      </c>
      <c r="D244" s="448">
        <v>227226738</v>
      </c>
      <c r="E244" s="441">
        <f>D244-C244</f>
        <v>5311361</v>
      </c>
      <c r="F244" s="503">
        <f>IF(C244=0,0,E244/C244)</f>
        <v>2.3934172889695696E-2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248631</v>
      </c>
      <c r="D248" s="441">
        <v>894442</v>
      </c>
      <c r="E248" s="441">
        <f>D248-C248</f>
        <v>645811</v>
      </c>
      <c r="F248" s="449">
        <f>IF(C248=0,0,E248/C248)</f>
        <v>2.5974677333075924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12069248</v>
      </c>
      <c r="D249" s="441">
        <v>10078145</v>
      </c>
      <c r="E249" s="441">
        <f>D249-C249</f>
        <v>-1991103</v>
      </c>
      <c r="F249" s="449">
        <f>IF(C249=0,0,E249/C249)</f>
        <v>-0.16497324439766256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12317879</v>
      </c>
      <c r="D250" s="441">
        <f>LN_IH4+LN_IH5</f>
        <v>10972587</v>
      </c>
      <c r="E250" s="441">
        <f>D250-C250</f>
        <v>-1345292</v>
      </c>
      <c r="F250" s="449">
        <f>IF(C250=0,0,E250/C250)</f>
        <v>-0.10921458150384494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3964259.302169018</v>
      </c>
      <c r="D251" s="441">
        <f>LN_IH6*LN_III10</f>
        <v>3658858.8113529617</v>
      </c>
      <c r="E251" s="441">
        <f>D251-C251</f>
        <v>-305400.49081605626</v>
      </c>
      <c r="F251" s="449">
        <f>IF(C251=0,0,E251/C251)</f>
        <v>-7.7038474917359323E-2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156313675</v>
      </c>
      <c r="D254" s="441">
        <f>LN_IF23</f>
        <v>179300134</v>
      </c>
      <c r="E254" s="441">
        <f>D254-C254</f>
        <v>22986459</v>
      </c>
      <c r="F254" s="449">
        <f>IF(C254=0,0,E254/C254)</f>
        <v>0.14705341039419614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48093069</v>
      </c>
      <c r="D255" s="441">
        <f>LN_IF24</f>
        <v>50013341</v>
      </c>
      <c r="E255" s="441">
        <f>D255-C255</f>
        <v>1920272</v>
      </c>
      <c r="F255" s="449">
        <f>IF(C255=0,0,E255/C255)</f>
        <v>3.9928248288750301E-2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50306383.117984407</v>
      </c>
      <c r="D256" s="441">
        <f>LN_IH8*LN_III10</f>
        <v>59788441.427957393</v>
      </c>
      <c r="E256" s="441">
        <f>D256-C256</f>
        <v>9482058.3099729866</v>
      </c>
      <c r="F256" s="449">
        <f>IF(C256=0,0,E256/C256)</f>
        <v>0.18848618648918877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2213314.1179844067</v>
      </c>
      <c r="D257" s="441">
        <f>LN_IH10-LN_IH9</f>
        <v>9775100.4279573932</v>
      </c>
      <c r="E257" s="441">
        <f>D257-C257</f>
        <v>7561786.3099729866</v>
      </c>
      <c r="F257" s="449">
        <f>IF(C257=0,0,E257/C257)</f>
        <v>3.4164993791569267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262675487</v>
      </c>
      <c r="D261" s="448">
        <f>LN_IA1+LN_IB1+LN_IF1+LN_IG1</f>
        <v>284206299</v>
      </c>
      <c r="E261" s="448">
        <f t="shared" ref="E261:E274" si="26">D261-C261</f>
        <v>21530812</v>
      </c>
      <c r="F261" s="503">
        <f t="shared" ref="F261:F274" si="27">IF(C261=0,0,E261/C261)</f>
        <v>8.1967343987450189E-2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119514745</v>
      </c>
      <c r="D262" s="448">
        <f>+LN_IA2+LN_IB2+LN_IF2+LN_IG2</f>
        <v>127499145</v>
      </c>
      <c r="E262" s="448">
        <f t="shared" si="26"/>
        <v>7984400</v>
      </c>
      <c r="F262" s="503">
        <f t="shared" si="27"/>
        <v>6.6806819526745428E-2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0.45499009582116051</v>
      </c>
      <c r="D263" s="453">
        <f>IF(LN_IIA1=0,0,LN_IIA2/LN_IIA1)</f>
        <v>0.44861477542410133</v>
      </c>
      <c r="E263" s="454">
        <f t="shared" si="26"/>
        <v>-6.375320397059181E-3</v>
      </c>
      <c r="F263" s="458">
        <f t="shared" si="27"/>
        <v>-1.4011998185483755E-2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11729</v>
      </c>
      <c r="D264" s="456">
        <f>LN_IA4+LN_IB4+LN_IF4+LN_IG3</f>
        <v>11642</v>
      </c>
      <c r="E264" s="456">
        <f t="shared" si="26"/>
        <v>-87</v>
      </c>
      <c r="F264" s="503">
        <f t="shared" si="27"/>
        <v>-7.4175121493733481E-3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1.2825714170005968</v>
      </c>
      <c r="D265" s="525">
        <f>IF(LN_IIA4=0,0,LN_IIA6/LN_IIA4)</f>
        <v>1.3322283542346676</v>
      </c>
      <c r="E265" s="525">
        <f t="shared" si="26"/>
        <v>4.9656937234070719E-2</v>
      </c>
      <c r="F265" s="503">
        <f t="shared" si="27"/>
        <v>3.8716703472308558E-2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15043.280150000001</v>
      </c>
      <c r="D266" s="463">
        <f>LN_IA6+LN_IB6+LN_IF6+LN_IG5</f>
        <v>15509.8025</v>
      </c>
      <c r="E266" s="463">
        <f t="shared" si="26"/>
        <v>466.52234999999928</v>
      </c>
      <c r="F266" s="503">
        <f t="shared" si="27"/>
        <v>3.1012009704545672E-2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335927153</v>
      </c>
      <c r="D267" s="448">
        <f>LN_IA11+LN_IB13+LN_IF14+LN_IG9</f>
        <v>379762392</v>
      </c>
      <c r="E267" s="448">
        <f t="shared" si="26"/>
        <v>43835239</v>
      </c>
      <c r="F267" s="503">
        <f t="shared" si="27"/>
        <v>0.13049031198737304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1.2788675366575031</v>
      </c>
      <c r="D268" s="453">
        <f>IF(LN_IIA1=0,0,LN_IIA7/LN_IIA1)</f>
        <v>1.3362208836898439</v>
      </c>
      <c r="E268" s="454">
        <f t="shared" si="26"/>
        <v>5.7353347032340851E-2</v>
      </c>
      <c r="F268" s="458">
        <f t="shared" si="27"/>
        <v>4.4846980151080969E-2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92076023</v>
      </c>
      <c r="D269" s="448">
        <f>LN_IA12+LN_IB14+LN_IF15+LN_IG10</f>
        <v>101369196</v>
      </c>
      <c r="E269" s="448">
        <f t="shared" si="26"/>
        <v>9293173</v>
      </c>
      <c r="F269" s="503">
        <f t="shared" si="27"/>
        <v>0.10092934834946118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0.27409520837394169</v>
      </c>
      <c r="D270" s="453">
        <f>IF(LN_IIA7=0,0,LN_IIA9/LN_IIA7)</f>
        <v>0.26692794793645602</v>
      </c>
      <c r="E270" s="454">
        <f t="shared" si="26"/>
        <v>-7.1672604374856674E-3</v>
      </c>
      <c r="F270" s="458">
        <f t="shared" si="27"/>
        <v>-2.6148798733130502E-2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598602640</v>
      </c>
      <c r="D271" s="441">
        <f>LN_IIA1+LN_IIA7</f>
        <v>663968691</v>
      </c>
      <c r="E271" s="441">
        <f t="shared" si="26"/>
        <v>65366051</v>
      </c>
      <c r="F271" s="503">
        <f t="shared" si="27"/>
        <v>0.10919773257264619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211590768</v>
      </c>
      <c r="D272" s="441">
        <f>LN_IIA2+LN_IIA9</f>
        <v>228868341</v>
      </c>
      <c r="E272" s="441">
        <f t="shared" si="26"/>
        <v>17277573</v>
      </c>
      <c r="F272" s="503">
        <f t="shared" si="27"/>
        <v>8.1655608906339425E-2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0.35347449854213808</v>
      </c>
      <c r="D273" s="453">
        <f>IF(LN_IIA11=0,0,LN_IIA12/LN_IIA11)</f>
        <v>0.34469748965919239</v>
      </c>
      <c r="E273" s="454">
        <f t="shared" si="26"/>
        <v>-8.7770088829456916E-3</v>
      </c>
      <c r="F273" s="458">
        <f t="shared" si="27"/>
        <v>-2.4830670724890709E-2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51833</v>
      </c>
      <c r="D274" s="508">
        <f>LN_IA8+LN_IB10+LN_IF11+LN_IG6</f>
        <v>50924</v>
      </c>
      <c r="E274" s="528">
        <f t="shared" si="26"/>
        <v>-909</v>
      </c>
      <c r="F274" s="458">
        <f t="shared" si="27"/>
        <v>-1.7537090270676983E-2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192177437</v>
      </c>
      <c r="D277" s="448">
        <f>LN_IA1+LN_IF1+LN_IG1</f>
        <v>208009787</v>
      </c>
      <c r="E277" s="448">
        <f t="shared" ref="E277:E291" si="28">D277-C277</f>
        <v>15832350</v>
      </c>
      <c r="F277" s="503">
        <f t="shared" ref="F277:F291" si="29">IF(C277=0,0,E277/C277)</f>
        <v>8.2384020971202773E-2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85213380</v>
      </c>
      <c r="D278" s="448">
        <f>LN_IA2+LN_IF2+LN_IG2</f>
        <v>88908535</v>
      </c>
      <c r="E278" s="448">
        <f t="shared" si="28"/>
        <v>3695155</v>
      </c>
      <c r="F278" s="503">
        <f t="shared" si="29"/>
        <v>4.3363553939533908E-2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0.44340990977000072</v>
      </c>
      <c r="D279" s="453">
        <f>IF(D277=0,0,LN_IIB2/D277)</f>
        <v>0.42742476823939057</v>
      </c>
      <c r="E279" s="454">
        <f t="shared" si="28"/>
        <v>-1.5985141530610147E-2</v>
      </c>
      <c r="F279" s="458">
        <f t="shared" si="29"/>
        <v>-3.6050483262545334E-2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8423</v>
      </c>
      <c r="D280" s="456">
        <f>LN_IA4+LN_IF4+LN_IG3</f>
        <v>8658</v>
      </c>
      <c r="E280" s="456">
        <f t="shared" si="28"/>
        <v>235</v>
      </c>
      <c r="F280" s="503">
        <f t="shared" si="29"/>
        <v>2.7899798171672801E-2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1.3160009200997269</v>
      </c>
      <c r="D281" s="525">
        <f>IF(LN_IIB4=0,0,LN_IIB6/LN_IIB4)</f>
        <v>1.3360293023793022</v>
      </c>
      <c r="E281" s="525">
        <f t="shared" si="28"/>
        <v>2.0028382279575263E-2</v>
      </c>
      <c r="F281" s="503">
        <f t="shared" si="29"/>
        <v>1.5219124830138802E-2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11084.67575</v>
      </c>
      <c r="D282" s="463">
        <f>LN_IA6+LN_IF6+LN_IG5</f>
        <v>11567.341699999999</v>
      </c>
      <c r="E282" s="463">
        <f t="shared" si="28"/>
        <v>482.6659499999987</v>
      </c>
      <c r="F282" s="503">
        <f t="shared" si="29"/>
        <v>4.3543533512921992E-2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195297446</v>
      </c>
      <c r="D283" s="448">
        <f>LN_IA11+LN_IF14+LN_IG9</f>
        <v>229122936</v>
      </c>
      <c r="E283" s="448">
        <f t="shared" si="28"/>
        <v>33825490</v>
      </c>
      <c r="F283" s="503">
        <f t="shared" si="29"/>
        <v>0.17319985843542471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1.0162350432428755</v>
      </c>
      <c r="D284" s="453">
        <f>IF(D277=0,0,LN_IIB7/D277)</f>
        <v>1.1015007481354711</v>
      </c>
      <c r="E284" s="454">
        <f t="shared" si="28"/>
        <v>8.5265704892595551E-2</v>
      </c>
      <c r="F284" s="458">
        <f t="shared" si="29"/>
        <v>8.3903527495476693E-2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46264193</v>
      </c>
      <c r="D285" s="448">
        <f>LN_IA12+LN_IF15+LN_IG10</f>
        <v>51350288</v>
      </c>
      <c r="E285" s="448">
        <f t="shared" si="28"/>
        <v>5086095</v>
      </c>
      <c r="F285" s="503">
        <f t="shared" si="29"/>
        <v>0.10993588497263963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0.23689092687878777</v>
      </c>
      <c r="D286" s="453">
        <f>IF(LN_IIB7=0,0,LN_IIB9/LN_IIB7)</f>
        <v>0.22411675101789025</v>
      </c>
      <c r="E286" s="454">
        <f t="shared" si="28"/>
        <v>-1.2774175860897519E-2</v>
      </c>
      <c r="F286" s="458">
        <f t="shared" si="29"/>
        <v>-5.3924293467912353E-2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387474883</v>
      </c>
      <c r="D287" s="441">
        <f>D277+LN_IIB7</f>
        <v>437132723</v>
      </c>
      <c r="E287" s="441">
        <f t="shared" si="28"/>
        <v>49657840</v>
      </c>
      <c r="F287" s="503">
        <f t="shared" si="29"/>
        <v>0.12815757144186299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131477573</v>
      </c>
      <c r="D288" s="441">
        <f>LN_IIB2+LN_IIB9</f>
        <v>140258823</v>
      </c>
      <c r="E288" s="441">
        <f t="shared" si="28"/>
        <v>8781250</v>
      </c>
      <c r="F288" s="503">
        <f t="shared" si="29"/>
        <v>6.6788957231512028E-2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0.33931895657866423</v>
      </c>
      <c r="D289" s="453">
        <f>IF(LN_IIB11=0,0,LN_IIB12/LN_IIB11)</f>
        <v>0.32086095508342899</v>
      </c>
      <c r="E289" s="454">
        <f t="shared" si="28"/>
        <v>-1.8458001495235243E-2</v>
      </c>
      <c r="F289" s="458">
        <f t="shared" si="29"/>
        <v>-5.4397201032757886E-2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39628</v>
      </c>
      <c r="D290" s="508">
        <f>LN_IA8+LN_IF11+LN_IG6</f>
        <v>39727</v>
      </c>
      <c r="E290" s="528">
        <f t="shared" si="28"/>
        <v>99</v>
      </c>
      <c r="F290" s="458">
        <f t="shared" si="29"/>
        <v>2.4982335722216614E-3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255997310</v>
      </c>
      <c r="D291" s="516">
        <f>LN_IIB11-LN_IIB12</f>
        <v>296873900</v>
      </c>
      <c r="E291" s="441">
        <f t="shared" si="28"/>
        <v>40876590</v>
      </c>
      <c r="F291" s="503">
        <f t="shared" si="29"/>
        <v>0.1596758575314717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5.2661785078171386</v>
      </c>
      <c r="D294" s="466">
        <f>IF(LN_IA4=0,0,LN_IA8/LN_IA4)</f>
        <v>5.1757743144604458</v>
      </c>
      <c r="E294" s="466">
        <f t="shared" ref="E294:E300" si="30">D294-C294</f>
        <v>-9.0404193356692808E-2</v>
      </c>
      <c r="F294" s="503">
        <f t="shared" ref="F294:F300" si="31">IF(C294=0,0,E294/C294)</f>
        <v>-1.7166944345410325E-2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3.691772534785239</v>
      </c>
      <c r="D295" s="466">
        <f>IF(LN_IB4=0,0,(LN_IB10)/(LN_IB4))</f>
        <v>3.7523458445040214</v>
      </c>
      <c r="E295" s="466">
        <f t="shared" si="30"/>
        <v>6.0573309718782387E-2</v>
      </c>
      <c r="F295" s="503">
        <f t="shared" si="31"/>
        <v>1.6407649482203569E-2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2.9719101123595504</v>
      </c>
      <c r="D296" s="466">
        <f>IF(LN_IC4=0,0,LN_IC11/LN_IC4)</f>
        <v>3.3826086956521739</v>
      </c>
      <c r="E296" s="466">
        <f t="shared" si="30"/>
        <v>0.41069858329262354</v>
      </c>
      <c r="F296" s="503">
        <f t="shared" si="31"/>
        <v>0.13819347415139319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3.870254110612855</v>
      </c>
      <c r="D297" s="466">
        <f>IF(LN_ID4=0,0,LN_ID11/LN_ID4)</f>
        <v>3.7673766816143499</v>
      </c>
      <c r="E297" s="466">
        <f t="shared" si="30"/>
        <v>-0.10287742899850505</v>
      </c>
      <c r="F297" s="503">
        <f t="shared" si="31"/>
        <v>-2.6581569596786606E-2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2.88</v>
      </c>
      <c r="D299" s="466">
        <f>IF(LN_IG3=0,0,LN_IG6/LN_IG3)</f>
        <v>2.3333333333333335</v>
      </c>
      <c r="E299" s="466">
        <f t="shared" si="30"/>
        <v>-0.54666666666666641</v>
      </c>
      <c r="F299" s="503">
        <f t="shared" si="31"/>
        <v>-0.18981481481481474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4.4192173245801003</v>
      </c>
      <c r="D300" s="466">
        <f>IF(LN_IIA4=0,0,LN_IIA14/LN_IIA4)</f>
        <v>4.3741625150317818</v>
      </c>
      <c r="E300" s="466">
        <f t="shared" si="30"/>
        <v>-4.5054809548318531E-2</v>
      </c>
      <c r="F300" s="503">
        <f t="shared" si="31"/>
        <v>-1.0195201149696681E-2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598602640</v>
      </c>
      <c r="D304" s="441">
        <f>LN_IIA11</f>
        <v>663968691</v>
      </c>
      <c r="E304" s="441">
        <f t="shared" ref="E304:E316" si="32">D304-C304</f>
        <v>65366051</v>
      </c>
      <c r="F304" s="449">
        <f>IF(C304=0,0,E304/C304)</f>
        <v>0.10919773257264619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255997310</v>
      </c>
      <c r="D305" s="441">
        <f>LN_IIB14</f>
        <v>296873900</v>
      </c>
      <c r="E305" s="441">
        <f t="shared" si="32"/>
        <v>40876590</v>
      </c>
      <c r="F305" s="449">
        <f>IF(C305=0,0,E305/C305)</f>
        <v>0.1596758575314717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12317879</v>
      </c>
      <c r="D306" s="441">
        <f>LN_IH6</f>
        <v>10972587</v>
      </c>
      <c r="E306" s="441">
        <f t="shared" si="32"/>
        <v>-1345292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131014562</v>
      </c>
      <c r="D307" s="441">
        <f>LN_IB32-LN_IB33</f>
        <v>127253863</v>
      </c>
      <c r="E307" s="441">
        <f t="shared" si="32"/>
        <v>-3760699</v>
      </c>
      <c r="F307" s="449">
        <f t="shared" ref="F307:F316" si="33">IF(C307=0,0,E307/C307)</f>
        <v>-2.8704435160421329E-2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6624781</v>
      </c>
      <c r="D308" s="441">
        <v>7464975</v>
      </c>
      <c r="E308" s="441">
        <f t="shared" si="32"/>
        <v>840194</v>
      </c>
      <c r="F308" s="449">
        <f t="shared" si="33"/>
        <v>0.12682592828351608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405954532</v>
      </c>
      <c r="D309" s="441">
        <f>LN_III2+LN_III3+LN_III4+LN_III5</f>
        <v>442565325</v>
      </c>
      <c r="E309" s="441">
        <f t="shared" si="32"/>
        <v>36610793</v>
      </c>
      <c r="F309" s="449">
        <f t="shared" si="33"/>
        <v>9.0184466766834864E-2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192648108</v>
      </c>
      <c r="D310" s="441">
        <f>LN_III1-LN_III6</f>
        <v>221403366</v>
      </c>
      <c r="E310" s="441">
        <f t="shared" si="32"/>
        <v>28755258</v>
      </c>
      <c r="F310" s="449">
        <f t="shared" si="33"/>
        <v>0.1492631217535757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192648108</v>
      </c>
      <c r="D312" s="441">
        <f>LN_III7+LN_III8</f>
        <v>221403366</v>
      </c>
      <c r="E312" s="441">
        <f t="shared" si="32"/>
        <v>28755258</v>
      </c>
      <c r="F312" s="449">
        <f t="shared" si="33"/>
        <v>0.1492631217535757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0.32182969991579052</v>
      </c>
      <c r="D313" s="532">
        <f>IF(LN_III1=0,0,LN_III9/LN_III1)</f>
        <v>0.33345452730089647</v>
      </c>
      <c r="E313" s="532">
        <f t="shared" si="32"/>
        <v>1.1624827385105951E-2</v>
      </c>
      <c r="F313" s="449">
        <f t="shared" si="33"/>
        <v>3.6121052184269156E-2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3964259.302169018</v>
      </c>
      <c r="D314" s="441">
        <f>D313*LN_III5</f>
        <v>3658858.8113529617</v>
      </c>
      <c r="E314" s="441">
        <f t="shared" si="32"/>
        <v>-305400.49081605626</v>
      </c>
      <c r="F314" s="449">
        <f t="shared" si="33"/>
        <v>-7.7038474917359323E-2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2213314.1179844067</v>
      </c>
      <c r="D315" s="441">
        <f>D313*LN_IH8-LN_IH9</f>
        <v>9775100.4279573932</v>
      </c>
      <c r="E315" s="441">
        <f t="shared" si="32"/>
        <v>7561786.3099729866</v>
      </c>
      <c r="F315" s="449">
        <f t="shared" si="33"/>
        <v>3.4164993791569267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6177573.4201534241</v>
      </c>
      <c r="D318" s="441">
        <f>D314+D315+D316</f>
        <v>13433959.239310354</v>
      </c>
      <c r="E318" s="441">
        <f>D318-C318</f>
        <v>7256385.8191569299</v>
      </c>
      <c r="F318" s="449">
        <f>IF(C318=0,0,E318/C318)</f>
        <v>1.174633683103472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8768182.0998627283</v>
      </c>
      <c r="D322" s="441">
        <f>LN_ID22</f>
        <v>16560661.99587056</v>
      </c>
      <c r="E322" s="441">
        <f>LN_IV2-C322</f>
        <v>7792479.8960078321</v>
      </c>
      <c r="F322" s="449">
        <f>IF(C322=0,0,E322/C322)</f>
        <v>0.88872240645296685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7270188.456693355</v>
      </c>
      <c r="D324" s="441">
        <f>LN_IC10+LN_IC22</f>
        <v>4591150.9300523158</v>
      </c>
      <c r="E324" s="441">
        <f>LN_IV1-C324</f>
        <v>-2679037.5266410392</v>
      </c>
      <c r="F324" s="449">
        <f>IF(C324=0,0,E324/C324)</f>
        <v>-0.36849629725548072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16038370.556556083</v>
      </c>
      <c r="D325" s="516">
        <f>LN_IV1+LN_IV2+LN_IV3</f>
        <v>21151812.925922878</v>
      </c>
      <c r="E325" s="441">
        <f>LN_IV4-C325</f>
        <v>5113442.3693667948</v>
      </c>
      <c r="F325" s="449">
        <f>IF(C325=0,0,E325/C325)</f>
        <v>0.31882555346475316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10496927</v>
      </c>
      <c r="D329" s="518">
        <v>11348829</v>
      </c>
      <c r="E329" s="518">
        <f t="shared" ref="E329:E335" si="34">D329-C329</f>
        <v>851902</v>
      </c>
      <c r="F329" s="542">
        <f t="shared" ref="F329:F335" si="35">IF(C329=0,0,E329/C329)</f>
        <v>8.1157275838919338E-2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15900232</v>
      </c>
      <c r="D330" s="516">
        <v>9860854</v>
      </c>
      <c r="E330" s="518">
        <f t="shared" si="34"/>
        <v>-6039378</v>
      </c>
      <c r="F330" s="543">
        <f t="shared" si="35"/>
        <v>-0.37982955217257208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227491163</v>
      </c>
      <c r="D331" s="516">
        <v>238729196</v>
      </c>
      <c r="E331" s="518">
        <f t="shared" si="34"/>
        <v>11238033</v>
      </c>
      <c r="F331" s="542">
        <f t="shared" si="35"/>
        <v>4.939986613897613E-2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2983595</v>
      </c>
      <c r="D332" s="516">
        <v>0</v>
      </c>
      <c r="E332" s="518">
        <f t="shared" si="34"/>
        <v>-2983595</v>
      </c>
      <c r="F332" s="543">
        <f t="shared" si="35"/>
        <v>-1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601586237</v>
      </c>
      <c r="D333" s="516">
        <v>663968691</v>
      </c>
      <c r="E333" s="518">
        <f t="shared" si="34"/>
        <v>62382454</v>
      </c>
      <c r="F333" s="542">
        <f t="shared" si="35"/>
        <v>0.10369661099810035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12317879</v>
      </c>
      <c r="D335" s="516">
        <v>10972587</v>
      </c>
      <c r="E335" s="516">
        <f t="shared" si="34"/>
        <v>-1345292</v>
      </c>
      <c r="F335" s="542">
        <f t="shared" si="35"/>
        <v>-0.10921458150384494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FILING&amp;RSAINT MARY`S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F64" sqref="F64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70498050</v>
      </c>
      <c r="D14" s="589">
        <v>76196512</v>
      </c>
      <c r="E14" s="590">
        <f t="shared" ref="E14:E22" si="0">D14-C14</f>
        <v>5698462</v>
      </c>
    </row>
    <row r="15" spans="1:5" s="421" customFormat="1" x14ac:dyDescent="0.2">
      <c r="A15" s="588">
        <v>2</v>
      </c>
      <c r="B15" s="587" t="s">
        <v>636</v>
      </c>
      <c r="C15" s="589">
        <v>136828081</v>
      </c>
      <c r="D15" s="591">
        <v>148284057</v>
      </c>
      <c r="E15" s="590">
        <f t="shared" si="0"/>
        <v>11455976</v>
      </c>
    </row>
    <row r="16" spans="1:5" s="421" customFormat="1" x14ac:dyDescent="0.2">
      <c r="A16" s="588">
        <v>3</v>
      </c>
      <c r="B16" s="587" t="s">
        <v>778</v>
      </c>
      <c r="C16" s="589">
        <v>55012283</v>
      </c>
      <c r="D16" s="591">
        <v>59517687</v>
      </c>
      <c r="E16" s="590">
        <f t="shared" si="0"/>
        <v>4505404</v>
      </c>
    </row>
    <row r="17" spans="1:5" s="421" customFormat="1" x14ac:dyDescent="0.2">
      <c r="A17" s="588">
        <v>4</v>
      </c>
      <c r="B17" s="587" t="s">
        <v>115</v>
      </c>
      <c r="C17" s="589">
        <v>55012283</v>
      </c>
      <c r="D17" s="591">
        <v>59517687</v>
      </c>
      <c r="E17" s="590">
        <f t="shared" si="0"/>
        <v>4505404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337073</v>
      </c>
      <c r="D19" s="591">
        <v>208043</v>
      </c>
      <c r="E19" s="590">
        <f t="shared" si="0"/>
        <v>-129030</v>
      </c>
    </row>
    <row r="20" spans="1:5" s="421" customFormat="1" x14ac:dyDescent="0.2">
      <c r="A20" s="588">
        <v>7</v>
      </c>
      <c r="B20" s="587" t="s">
        <v>759</v>
      </c>
      <c r="C20" s="589">
        <v>1787877</v>
      </c>
      <c r="D20" s="591">
        <v>1781260</v>
      </c>
      <c r="E20" s="590">
        <f t="shared" si="0"/>
        <v>-6617</v>
      </c>
    </row>
    <row r="21" spans="1:5" s="421" customFormat="1" x14ac:dyDescent="0.2">
      <c r="A21" s="588"/>
      <c r="B21" s="592" t="s">
        <v>779</v>
      </c>
      <c r="C21" s="593">
        <f>SUM(C15+C16+C19)</f>
        <v>192177437</v>
      </c>
      <c r="D21" s="593">
        <f>SUM(D15+D16+D19)</f>
        <v>208009787</v>
      </c>
      <c r="E21" s="593">
        <f t="shared" si="0"/>
        <v>15832350</v>
      </c>
    </row>
    <row r="22" spans="1:5" s="421" customFormat="1" x14ac:dyDescent="0.2">
      <c r="A22" s="588"/>
      <c r="B22" s="592" t="s">
        <v>465</v>
      </c>
      <c r="C22" s="593">
        <f>SUM(C14+C21)</f>
        <v>262675487</v>
      </c>
      <c r="D22" s="593">
        <f>SUM(D14+D21)</f>
        <v>284206299</v>
      </c>
      <c r="E22" s="593">
        <f t="shared" si="0"/>
        <v>21530812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140629707</v>
      </c>
      <c r="D25" s="589">
        <v>150639456</v>
      </c>
      <c r="E25" s="590">
        <f t="shared" ref="E25:E33" si="1">D25-C25</f>
        <v>10009749</v>
      </c>
    </row>
    <row r="26" spans="1:5" s="421" customFormat="1" x14ac:dyDescent="0.2">
      <c r="A26" s="588">
        <v>2</v>
      </c>
      <c r="B26" s="587" t="s">
        <v>636</v>
      </c>
      <c r="C26" s="589">
        <v>93355888</v>
      </c>
      <c r="D26" s="591">
        <v>108576625</v>
      </c>
      <c r="E26" s="590">
        <f t="shared" si="1"/>
        <v>15220737</v>
      </c>
    </row>
    <row r="27" spans="1:5" s="421" customFormat="1" x14ac:dyDescent="0.2">
      <c r="A27" s="588">
        <v>3</v>
      </c>
      <c r="B27" s="587" t="s">
        <v>778</v>
      </c>
      <c r="C27" s="589">
        <v>101301392</v>
      </c>
      <c r="D27" s="591">
        <v>119782447</v>
      </c>
      <c r="E27" s="590">
        <f t="shared" si="1"/>
        <v>18481055</v>
      </c>
    </row>
    <row r="28" spans="1:5" s="421" customFormat="1" x14ac:dyDescent="0.2">
      <c r="A28" s="588">
        <v>4</v>
      </c>
      <c r="B28" s="587" t="s">
        <v>115</v>
      </c>
      <c r="C28" s="589">
        <v>101301392</v>
      </c>
      <c r="D28" s="591">
        <v>119782447</v>
      </c>
      <c r="E28" s="590">
        <f t="shared" si="1"/>
        <v>18481055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640166</v>
      </c>
      <c r="D30" s="591">
        <v>763864</v>
      </c>
      <c r="E30" s="590">
        <f t="shared" si="1"/>
        <v>123698</v>
      </c>
    </row>
    <row r="31" spans="1:5" s="421" customFormat="1" x14ac:dyDescent="0.2">
      <c r="A31" s="588">
        <v>7</v>
      </c>
      <c r="B31" s="587" t="s">
        <v>759</v>
      </c>
      <c r="C31" s="590">
        <v>10776290</v>
      </c>
      <c r="D31" s="594">
        <v>9596163</v>
      </c>
      <c r="E31" s="590">
        <f t="shared" si="1"/>
        <v>-1180127</v>
      </c>
    </row>
    <row r="32" spans="1:5" s="421" customFormat="1" x14ac:dyDescent="0.2">
      <c r="A32" s="588"/>
      <c r="B32" s="592" t="s">
        <v>781</v>
      </c>
      <c r="C32" s="593">
        <f>SUM(C26+C27+C30)</f>
        <v>195297446</v>
      </c>
      <c r="D32" s="593">
        <f>SUM(D26+D27+D30)</f>
        <v>229122936</v>
      </c>
      <c r="E32" s="593">
        <f t="shared" si="1"/>
        <v>33825490</v>
      </c>
    </row>
    <row r="33" spans="1:5" s="421" customFormat="1" x14ac:dyDescent="0.2">
      <c r="A33" s="588"/>
      <c r="B33" s="592" t="s">
        <v>467</v>
      </c>
      <c r="C33" s="593">
        <f>SUM(C25+C32)</f>
        <v>335927153</v>
      </c>
      <c r="D33" s="593">
        <f>SUM(D25+D32)</f>
        <v>379762392</v>
      </c>
      <c r="E33" s="593">
        <f t="shared" si="1"/>
        <v>43835239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211127757</v>
      </c>
      <c r="D36" s="590">
        <f t="shared" si="2"/>
        <v>226835968</v>
      </c>
      <c r="E36" s="590">
        <f t="shared" ref="E36:E44" si="3">D36-C36</f>
        <v>15708211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230183969</v>
      </c>
      <c r="D37" s="590">
        <f t="shared" si="2"/>
        <v>256860682</v>
      </c>
      <c r="E37" s="590">
        <f t="shared" si="3"/>
        <v>26676713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156313675</v>
      </c>
      <c r="D38" s="590">
        <f t="shared" si="2"/>
        <v>179300134</v>
      </c>
      <c r="E38" s="590">
        <f t="shared" si="3"/>
        <v>22986459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156313675</v>
      </c>
      <c r="D39" s="590">
        <f t="shared" si="2"/>
        <v>179300134</v>
      </c>
      <c r="E39" s="590">
        <f t="shared" si="3"/>
        <v>22986459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977239</v>
      </c>
      <c r="D41" s="590">
        <f t="shared" si="2"/>
        <v>971907</v>
      </c>
      <c r="E41" s="590">
        <f t="shared" si="3"/>
        <v>-5332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12564167</v>
      </c>
      <c r="D42" s="590">
        <f t="shared" si="2"/>
        <v>11377423</v>
      </c>
      <c r="E42" s="590">
        <f t="shared" si="3"/>
        <v>-1186744</v>
      </c>
    </row>
    <row r="43" spans="1:5" s="421" customFormat="1" x14ac:dyDescent="0.2">
      <c r="A43" s="588"/>
      <c r="B43" s="592" t="s">
        <v>789</v>
      </c>
      <c r="C43" s="593">
        <f>SUM(C37+C38+C41)</f>
        <v>387474883</v>
      </c>
      <c r="D43" s="593">
        <f>SUM(D37+D38+D41)</f>
        <v>437132723</v>
      </c>
      <c r="E43" s="593">
        <f t="shared" si="3"/>
        <v>49657840</v>
      </c>
    </row>
    <row r="44" spans="1:5" s="421" customFormat="1" x14ac:dyDescent="0.2">
      <c r="A44" s="588"/>
      <c r="B44" s="592" t="s">
        <v>726</v>
      </c>
      <c r="C44" s="593">
        <f>SUM(C36+C43)</f>
        <v>598602640</v>
      </c>
      <c r="D44" s="593">
        <f>SUM(D36+D43)</f>
        <v>663968691</v>
      </c>
      <c r="E44" s="593">
        <f t="shared" si="3"/>
        <v>65366051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34301365</v>
      </c>
      <c r="D47" s="589">
        <v>38590610</v>
      </c>
      <c r="E47" s="590">
        <f t="shared" ref="E47:E55" si="4">D47-C47</f>
        <v>4289245</v>
      </c>
    </row>
    <row r="48" spans="1:5" s="421" customFormat="1" x14ac:dyDescent="0.2">
      <c r="A48" s="588">
        <v>2</v>
      </c>
      <c r="B48" s="587" t="s">
        <v>636</v>
      </c>
      <c r="C48" s="589">
        <v>63438379</v>
      </c>
      <c r="D48" s="591">
        <v>66934078</v>
      </c>
      <c r="E48" s="590">
        <f t="shared" si="4"/>
        <v>3495699</v>
      </c>
    </row>
    <row r="49" spans="1:5" s="421" customFormat="1" x14ac:dyDescent="0.2">
      <c r="A49" s="588">
        <v>3</v>
      </c>
      <c r="B49" s="587" t="s">
        <v>778</v>
      </c>
      <c r="C49" s="589">
        <v>21678280</v>
      </c>
      <c r="D49" s="591">
        <v>21911696</v>
      </c>
      <c r="E49" s="590">
        <f t="shared" si="4"/>
        <v>233416</v>
      </c>
    </row>
    <row r="50" spans="1:5" s="421" customFormat="1" x14ac:dyDescent="0.2">
      <c r="A50" s="588">
        <v>4</v>
      </c>
      <c r="B50" s="587" t="s">
        <v>115</v>
      </c>
      <c r="C50" s="589">
        <v>21678280</v>
      </c>
      <c r="D50" s="591">
        <v>21911696</v>
      </c>
      <c r="E50" s="590">
        <f t="shared" si="4"/>
        <v>233416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96721</v>
      </c>
      <c r="D52" s="591">
        <v>62761</v>
      </c>
      <c r="E52" s="590">
        <f t="shared" si="4"/>
        <v>-33960</v>
      </c>
    </row>
    <row r="53" spans="1:5" s="421" customFormat="1" x14ac:dyDescent="0.2">
      <c r="A53" s="588">
        <v>7</v>
      </c>
      <c r="B53" s="587" t="s">
        <v>759</v>
      </c>
      <c r="C53" s="589">
        <v>37435</v>
      </c>
      <c r="D53" s="591">
        <v>21594</v>
      </c>
      <c r="E53" s="590">
        <f t="shared" si="4"/>
        <v>-15841</v>
      </c>
    </row>
    <row r="54" spans="1:5" s="421" customFormat="1" x14ac:dyDescent="0.2">
      <c r="A54" s="588"/>
      <c r="B54" s="592" t="s">
        <v>791</v>
      </c>
      <c r="C54" s="593">
        <f>SUM(C48+C49+C52)</f>
        <v>85213380</v>
      </c>
      <c r="D54" s="593">
        <f>SUM(D48+D49+D52)</f>
        <v>88908535</v>
      </c>
      <c r="E54" s="593">
        <f t="shared" si="4"/>
        <v>3695155</v>
      </c>
    </row>
    <row r="55" spans="1:5" s="421" customFormat="1" x14ac:dyDescent="0.2">
      <c r="A55" s="588"/>
      <c r="B55" s="592" t="s">
        <v>466</v>
      </c>
      <c r="C55" s="593">
        <f>SUM(C47+C54)</f>
        <v>119514745</v>
      </c>
      <c r="D55" s="593">
        <f>SUM(D47+D54)</f>
        <v>127499145</v>
      </c>
      <c r="E55" s="593">
        <f t="shared" si="4"/>
        <v>7984400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45811830</v>
      </c>
      <c r="D58" s="589">
        <v>50018908</v>
      </c>
      <c r="E58" s="590">
        <f t="shared" ref="E58:E66" si="5">D58-C58</f>
        <v>4207078</v>
      </c>
    </row>
    <row r="59" spans="1:5" s="421" customFormat="1" x14ac:dyDescent="0.2">
      <c r="A59" s="588">
        <v>2</v>
      </c>
      <c r="B59" s="587" t="s">
        <v>636</v>
      </c>
      <c r="C59" s="589">
        <v>19692299</v>
      </c>
      <c r="D59" s="591">
        <v>23085184</v>
      </c>
      <c r="E59" s="590">
        <f t="shared" si="5"/>
        <v>3392885</v>
      </c>
    </row>
    <row r="60" spans="1:5" s="421" customFormat="1" x14ac:dyDescent="0.2">
      <c r="A60" s="588">
        <v>3</v>
      </c>
      <c r="B60" s="587" t="s">
        <v>778</v>
      </c>
      <c r="C60" s="589">
        <f>C61+C62</f>
        <v>26414789</v>
      </c>
      <c r="D60" s="591">
        <f>D61+D62</f>
        <v>28101645</v>
      </c>
      <c r="E60" s="590">
        <f t="shared" si="5"/>
        <v>1686856</v>
      </c>
    </row>
    <row r="61" spans="1:5" s="421" customFormat="1" x14ac:dyDescent="0.2">
      <c r="A61" s="588">
        <v>4</v>
      </c>
      <c r="B61" s="587" t="s">
        <v>115</v>
      </c>
      <c r="C61" s="589">
        <v>26414789</v>
      </c>
      <c r="D61" s="591">
        <v>28101645</v>
      </c>
      <c r="E61" s="590">
        <f t="shared" si="5"/>
        <v>1686856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157105</v>
      </c>
      <c r="D63" s="591">
        <v>163459</v>
      </c>
      <c r="E63" s="590">
        <f t="shared" si="5"/>
        <v>6354</v>
      </c>
    </row>
    <row r="64" spans="1:5" s="421" customFormat="1" x14ac:dyDescent="0.2">
      <c r="A64" s="588">
        <v>7</v>
      </c>
      <c r="B64" s="587" t="s">
        <v>759</v>
      </c>
      <c r="C64" s="589">
        <v>208733</v>
      </c>
      <c r="D64" s="591">
        <v>383242</v>
      </c>
      <c r="E64" s="590">
        <f t="shared" si="5"/>
        <v>174509</v>
      </c>
    </row>
    <row r="65" spans="1:5" s="421" customFormat="1" x14ac:dyDescent="0.2">
      <c r="A65" s="588"/>
      <c r="B65" s="592" t="s">
        <v>793</v>
      </c>
      <c r="C65" s="593">
        <f>SUM(C59+C60+C63)</f>
        <v>46264193</v>
      </c>
      <c r="D65" s="593">
        <f>SUM(D59+D60+D63)</f>
        <v>51350288</v>
      </c>
      <c r="E65" s="593">
        <f t="shared" si="5"/>
        <v>5086095</v>
      </c>
    </row>
    <row r="66" spans="1:5" s="421" customFormat="1" x14ac:dyDescent="0.2">
      <c r="A66" s="588"/>
      <c r="B66" s="592" t="s">
        <v>468</v>
      </c>
      <c r="C66" s="593">
        <f>SUM(C58+C65)</f>
        <v>92076023</v>
      </c>
      <c r="D66" s="593">
        <f>SUM(D58+D65)</f>
        <v>101369196</v>
      </c>
      <c r="E66" s="593">
        <f t="shared" si="5"/>
        <v>9293173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80113195</v>
      </c>
      <c r="D69" s="590">
        <f t="shared" si="6"/>
        <v>88609518</v>
      </c>
      <c r="E69" s="590">
        <f t="shared" ref="E69:E77" si="7">D69-C69</f>
        <v>8496323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83130678</v>
      </c>
      <c r="D70" s="590">
        <f t="shared" si="6"/>
        <v>90019262</v>
      </c>
      <c r="E70" s="590">
        <f t="shared" si="7"/>
        <v>6888584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48093069</v>
      </c>
      <c r="D71" s="590">
        <f t="shared" si="6"/>
        <v>50013341</v>
      </c>
      <c r="E71" s="590">
        <f t="shared" si="7"/>
        <v>1920272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48093069</v>
      </c>
      <c r="D72" s="590">
        <f t="shared" si="6"/>
        <v>50013341</v>
      </c>
      <c r="E72" s="590">
        <f t="shared" si="7"/>
        <v>1920272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253826</v>
      </c>
      <c r="D74" s="590">
        <f t="shared" si="6"/>
        <v>226220</v>
      </c>
      <c r="E74" s="590">
        <f t="shared" si="7"/>
        <v>-27606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246168</v>
      </c>
      <c r="D75" s="590">
        <f t="shared" si="6"/>
        <v>404836</v>
      </c>
      <c r="E75" s="590">
        <f t="shared" si="7"/>
        <v>158668</v>
      </c>
    </row>
    <row r="76" spans="1:5" s="421" customFormat="1" x14ac:dyDescent="0.2">
      <c r="A76" s="588"/>
      <c r="B76" s="592" t="s">
        <v>794</v>
      </c>
      <c r="C76" s="593">
        <f>SUM(C70+C71+C74)</f>
        <v>131477573</v>
      </c>
      <c r="D76" s="593">
        <f>SUM(D70+D71+D74)</f>
        <v>140258823</v>
      </c>
      <c r="E76" s="593">
        <f t="shared" si="7"/>
        <v>8781250</v>
      </c>
    </row>
    <row r="77" spans="1:5" s="421" customFormat="1" x14ac:dyDescent="0.2">
      <c r="A77" s="588"/>
      <c r="B77" s="592" t="s">
        <v>727</v>
      </c>
      <c r="C77" s="593">
        <f>SUM(C69+C76)</f>
        <v>211590768</v>
      </c>
      <c r="D77" s="593">
        <f>SUM(D69+D76)</f>
        <v>228868341</v>
      </c>
      <c r="E77" s="593">
        <f t="shared" si="7"/>
        <v>17277573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0.11777103087951633</v>
      </c>
      <c r="D83" s="599">
        <f t="shared" si="8"/>
        <v>0.11475919427050213</v>
      </c>
      <c r="E83" s="599">
        <f t="shared" ref="E83:E91" si="9">D83-C83</f>
        <v>-3.011836609014204E-3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0.22857914726203013</v>
      </c>
      <c r="D84" s="599">
        <f t="shared" si="8"/>
        <v>0.22332989342715859</v>
      </c>
      <c r="E84" s="599">
        <f t="shared" si="9"/>
        <v>-5.2492538348715423E-3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9.1901170031592247E-2</v>
      </c>
      <c r="D85" s="599">
        <f t="shared" si="8"/>
        <v>8.9639297465006526E-2</v>
      </c>
      <c r="E85" s="599">
        <f t="shared" si="9"/>
        <v>-2.2618725665857209E-3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9.1901170031592247E-2</v>
      </c>
      <c r="D86" s="599">
        <f t="shared" si="8"/>
        <v>8.9639297465006526E-2</v>
      </c>
      <c r="E86" s="599">
        <f t="shared" si="9"/>
        <v>-2.2618725665857209E-3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5.6309975512303123E-4</v>
      </c>
      <c r="D88" s="599">
        <f t="shared" si="8"/>
        <v>3.1333254537449268E-4</v>
      </c>
      <c r="E88" s="599">
        <f t="shared" si="9"/>
        <v>-2.4976720974853855E-4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2.9867509438314538E-3</v>
      </c>
      <c r="D89" s="599">
        <f t="shared" si="8"/>
        <v>2.6827469791041699E-3</v>
      </c>
      <c r="E89" s="599">
        <f t="shared" si="9"/>
        <v>-3.0400396472728391E-4</v>
      </c>
    </row>
    <row r="90" spans="1:5" s="421" customFormat="1" x14ac:dyDescent="0.2">
      <c r="A90" s="588"/>
      <c r="B90" s="592" t="s">
        <v>797</v>
      </c>
      <c r="C90" s="600">
        <f>SUM(C84+C85+C88)</f>
        <v>0.32104341704874539</v>
      </c>
      <c r="D90" s="600">
        <f>SUM(D84+D85+D88)</f>
        <v>0.3132825234375396</v>
      </c>
      <c r="E90" s="601">
        <f t="shared" si="9"/>
        <v>-7.7608936112057991E-3</v>
      </c>
    </row>
    <row r="91" spans="1:5" s="421" customFormat="1" x14ac:dyDescent="0.2">
      <c r="A91" s="588"/>
      <c r="B91" s="592" t="s">
        <v>798</v>
      </c>
      <c r="C91" s="600">
        <f>SUM(C83+C90)</f>
        <v>0.43881444792826174</v>
      </c>
      <c r="D91" s="600">
        <f>SUM(D83+D90)</f>
        <v>0.42804171770804172</v>
      </c>
      <c r="E91" s="601">
        <f t="shared" si="9"/>
        <v>-1.0772730220220017E-2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0.23492998126436596</v>
      </c>
      <c r="D95" s="599">
        <f t="shared" si="10"/>
        <v>0.22687734834774009</v>
      </c>
      <c r="E95" s="599">
        <f t="shared" ref="E95:E103" si="11">D95-C95</f>
        <v>-8.0526329166258626E-3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0.15595635862882262</v>
      </c>
      <c r="D96" s="599">
        <f t="shared" si="10"/>
        <v>0.1635267241840474</v>
      </c>
      <c r="E96" s="599">
        <f t="shared" si="11"/>
        <v>7.5703655552247784E-3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0.16922977820478707</v>
      </c>
      <c r="D97" s="599">
        <f t="shared" si="10"/>
        <v>0.18040375792357957</v>
      </c>
      <c r="E97" s="599">
        <f t="shared" si="11"/>
        <v>1.1173979718792498E-2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0.16922977820478707</v>
      </c>
      <c r="D98" s="599">
        <f t="shared" si="10"/>
        <v>0.18040375792357957</v>
      </c>
      <c r="E98" s="599">
        <f t="shared" si="11"/>
        <v>1.1173979718792498E-2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1.0694339737626283E-3</v>
      </c>
      <c r="D100" s="599">
        <f t="shared" si="10"/>
        <v>1.1504518365911926E-3</v>
      </c>
      <c r="E100" s="599">
        <f t="shared" si="11"/>
        <v>8.1017862828564307E-5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1.8002409745469884E-2</v>
      </c>
      <c r="D101" s="599">
        <f t="shared" si="10"/>
        <v>1.4452734187732958E-2</v>
      </c>
      <c r="E101" s="599">
        <f t="shared" si="11"/>
        <v>-3.5496755577369265E-3</v>
      </c>
    </row>
    <row r="102" spans="1:5" s="421" customFormat="1" x14ac:dyDescent="0.2">
      <c r="A102" s="588"/>
      <c r="B102" s="592" t="s">
        <v>800</v>
      </c>
      <c r="C102" s="600">
        <f>SUM(C96+C97+C100)</f>
        <v>0.32625557080737233</v>
      </c>
      <c r="D102" s="600">
        <f>SUM(D96+D97+D100)</f>
        <v>0.34508093394421818</v>
      </c>
      <c r="E102" s="601">
        <f t="shared" si="11"/>
        <v>1.8825363136845852E-2</v>
      </c>
    </row>
    <row r="103" spans="1:5" s="421" customFormat="1" x14ac:dyDescent="0.2">
      <c r="A103" s="588"/>
      <c r="B103" s="592" t="s">
        <v>801</v>
      </c>
      <c r="C103" s="600">
        <f>SUM(C95+C102)</f>
        <v>0.56118555207173826</v>
      </c>
      <c r="D103" s="600">
        <f>SUM(D95+D102)</f>
        <v>0.57195828229195822</v>
      </c>
      <c r="E103" s="601">
        <f t="shared" si="11"/>
        <v>1.0772730220219962E-2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0.1621118223834794</v>
      </c>
      <c r="D109" s="599">
        <f t="shared" si="12"/>
        <v>0.16861488937869307</v>
      </c>
      <c r="E109" s="599">
        <f t="shared" ref="E109:E117" si="13">D109-C109</f>
        <v>6.5030669952136633E-3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0.29981638423846546</v>
      </c>
      <c r="D110" s="599">
        <f t="shared" si="12"/>
        <v>0.29245669238280536</v>
      </c>
      <c r="E110" s="599">
        <f t="shared" si="13"/>
        <v>-7.3596918556600999E-3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0.1024538083816587</v>
      </c>
      <c r="D111" s="599">
        <f t="shared" si="12"/>
        <v>9.5739305420141099E-2</v>
      </c>
      <c r="E111" s="599">
        <f t="shared" si="13"/>
        <v>-6.7145029615175988E-3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0.1024538083816587</v>
      </c>
      <c r="D112" s="599">
        <f t="shared" si="12"/>
        <v>9.5739305420141099E-2</v>
      </c>
      <c r="E112" s="599">
        <f t="shared" si="13"/>
        <v>-6.7145029615175988E-3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4.5711351640823951E-4</v>
      </c>
      <c r="D114" s="599">
        <f t="shared" si="12"/>
        <v>2.7422316134148063E-4</v>
      </c>
      <c r="E114" s="599">
        <f t="shared" si="13"/>
        <v>-1.8289035506675888E-4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1.7692170766164995E-4</v>
      </c>
      <c r="D115" s="599">
        <f t="shared" si="12"/>
        <v>9.4351188572647533E-5</v>
      </c>
      <c r="E115" s="599">
        <f t="shared" si="13"/>
        <v>-8.2570519089002418E-5</v>
      </c>
    </row>
    <row r="116" spans="1:5" s="421" customFormat="1" x14ac:dyDescent="0.2">
      <c r="A116" s="588"/>
      <c r="B116" s="592" t="s">
        <v>797</v>
      </c>
      <c r="C116" s="600">
        <f>SUM(C110+C111+C114)</f>
        <v>0.4027273061365324</v>
      </c>
      <c r="D116" s="600">
        <f>SUM(D110+D111+D114)</f>
        <v>0.3884702209642879</v>
      </c>
      <c r="E116" s="601">
        <f t="shared" si="13"/>
        <v>-1.4257085172244499E-2</v>
      </c>
    </row>
    <row r="117" spans="1:5" s="421" customFormat="1" x14ac:dyDescent="0.2">
      <c r="A117" s="588"/>
      <c r="B117" s="592" t="s">
        <v>798</v>
      </c>
      <c r="C117" s="600">
        <f>SUM(C109+C116)</f>
        <v>0.56483912852001184</v>
      </c>
      <c r="D117" s="600">
        <f>SUM(D109+D116)</f>
        <v>0.55708511034298103</v>
      </c>
      <c r="E117" s="601">
        <f t="shared" si="13"/>
        <v>-7.7540181770308081E-3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0.21651147842140259</v>
      </c>
      <c r="D121" s="599">
        <f t="shared" si="14"/>
        <v>0.21854882934638828</v>
      </c>
      <c r="E121" s="599">
        <f t="shared" ref="E121:E129" si="15">D121-C121</f>
        <v>2.0373509249856925E-3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9.3067855399059748E-2</v>
      </c>
      <c r="D122" s="599">
        <f t="shared" si="14"/>
        <v>0.10086665503465156</v>
      </c>
      <c r="E122" s="599">
        <f t="shared" si="15"/>
        <v>7.7987996355918104E-3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0.12483904307204935</v>
      </c>
      <c r="D123" s="599">
        <f t="shared" si="14"/>
        <v>0.1227851998979623</v>
      </c>
      <c r="E123" s="599">
        <f t="shared" si="15"/>
        <v>-2.05384317408705E-3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0.12483904307204935</v>
      </c>
      <c r="D124" s="599">
        <f t="shared" si="14"/>
        <v>0.1227851998979623</v>
      </c>
      <c r="E124" s="599">
        <f t="shared" si="15"/>
        <v>-2.05384317408705E-3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7.4249458747651981E-4</v>
      </c>
      <c r="D126" s="599">
        <f t="shared" si="14"/>
        <v>7.1420537801687473E-4</v>
      </c>
      <c r="E126" s="599">
        <f t="shared" si="15"/>
        <v>-2.8289209459645076E-5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9.864938908865817E-4</v>
      </c>
      <c r="D127" s="599">
        <f t="shared" si="14"/>
        <v>1.674508576963906E-3</v>
      </c>
      <c r="E127" s="599">
        <f t="shared" si="15"/>
        <v>6.8801468607732432E-4</v>
      </c>
    </row>
    <row r="128" spans="1:5" s="421" customFormat="1" x14ac:dyDescent="0.2">
      <c r="A128" s="588"/>
      <c r="B128" s="592" t="s">
        <v>800</v>
      </c>
      <c r="C128" s="600">
        <f>SUM(C122+C123+C126)</f>
        <v>0.21864939305858563</v>
      </c>
      <c r="D128" s="600">
        <f>SUM(D122+D123+D126)</f>
        <v>0.22436606031063072</v>
      </c>
      <c r="E128" s="601">
        <f t="shared" si="15"/>
        <v>5.7166672520450879E-3</v>
      </c>
    </row>
    <row r="129" spans="1:5" s="421" customFormat="1" x14ac:dyDescent="0.2">
      <c r="A129" s="588"/>
      <c r="B129" s="592" t="s">
        <v>801</v>
      </c>
      <c r="C129" s="600">
        <f>SUM(C121+C128)</f>
        <v>0.43516087147998822</v>
      </c>
      <c r="D129" s="600">
        <f>SUM(D121+D128)</f>
        <v>0.44291488965701897</v>
      </c>
      <c r="E129" s="601">
        <f t="shared" si="15"/>
        <v>7.7540181770307526E-3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3306</v>
      </c>
      <c r="D137" s="606">
        <v>2984</v>
      </c>
      <c r="E137" s="607">
        <f t="shared" ref="E137:E145" si="16">D137-C137</f>
        <v>-322</v>
      </c>
    </row>
    <row r="138" spans="1:5" s="421" customFormat="1" x14ac:dyDescent="0.2">
      <c r="A138" s="588">
        <v>2</v>
      </c>
      <c r="B138" s="587" t="s">
        <v>636</v>
      </c>
      <c r="C138" s="606">
        <v>5053</v>
      </c>
      <c r="D138" s="606">
        <v>5069</v>
      </c>
      <c r="E138" s="607">
        <f t="shared" si="16"/>
        <v>16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3345</v>
      </c>
      <c r="D139" s="606">
        <f>D140+D141</f>
        <v>3568</v>
      </c>
      <c r="E139" s="607">
        <f t="shared" si="16"/>
        <v>223</v>
      </c>
    </row>
    <row r="140" spans="1:5" s="421" customFormat="1" x14ac:dyDescent="0.2">
      <c r="A140" s="588">
        <v>4</v>
      </c>
      <c r="B140" s="587" t="s">
        <v>115</v>
      </c>
      <c r="C140" s="606">
        <v>3345</v>
      </c>
      <c r="D140" s="606">
        <v>3568</v>
      </c>
      <c r="E140" s="607">
        <f t="shared" si="16"/>
        <v>223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25</v>
      </c>
      <c r="D142" s="606">
        <v>21</v>
      </c>
      <c r="E142" s="607">
        <f t="shared" si="16"/>
        <v>-4</v>
      </c>
    </row>
    <row r="143" spans="1:5" s="421" customFormat="1" x14ac:dyDescent="0.2">
      <c r="A143" s="588">
        <v>7</v>
      </c>
      <c r="B143" s="587" t="s">
        <v>759</v>
      </c>
      <c r="C143" s="606">
        <v>178</v>
      </c>
      <c r="D143" s="606">
        <v>115</v>
      </c>
      <c r="E143" s="607">
        <f t="shared" si="16"/>
        <v>-63</v>
      </c>
    </row>
    <row r="144" spans="1:5" s="421" customFormat="1" x14ac:dyDescent="0.2">
      <c r="A144" s="588"/>
      <c r="B144" s="592" t="s">
        <v>808</v>
      </c>
      <c r="C144" s="608">
        <f>SUM(C138+C139+C142)</f>
        <v>8423</v>
      </c>
      <c r="D144" s="608">
        <f>SUM(D138+D139+D142)</f>
        <v>8658</v>
      </c>
      <c r="E144" s="609">
        <f t="shared" si="16"/>
        <v>235</v>
      </c>
    </row>
    <row r="145" spans="1:5" s="421" customFormat="1" x14ac:dyDescent="0.2">
      <c r="A145" s="588"/>
      <c r="B145" s="592" t="s">
        <v>138</v>
      </c>
      <c r="C145" s="608">
        <f>SUM(C137+C144)</f>
        <v>11729</v>
      </c>
      <c r="D145" s="608">
        <f>SUM(D137+D144)</f>
        <v>11642</v>
      </c>
      <c r="E145" s="609">
        <f t="shared" si="16"/>
        <v>-87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12205</v>
      </c>
      <c r="D149" s="610">
        <v>11197</v>
      </c>
      <c r="E149" s="607">
        <f t="shared" ref="E149:E157" si="17">D149-C149</f>
        <v>-1008</v>
      </c>
    </row>
    <row r="150" spans="1:5" s="421" customFormat="1" x14ac:dyDescent="0.2">
      <c r="A150" s="588">
        <v>2</v>
      </c>
      <c r="B150" s="587" t="s">
        <v>636</v>
      </c>
      <c r="C150" s="610">
        <v>26610</v>
      </c>
      <c r="D150" s="610">
        <v>26236</v>
      </c>
      <c r="E150" s="607">
        <f t="shared" si="17"/>
        <v>-374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12946</v>
      </c>
      <c r="D151" s="610">
        <f>D152+D153</f>
        <v>13442</v>
      </c>
      <c r="E151" s="607">
        <f t="shared" si="17"/>
        <v>496</v>
      </c>
    </row>
    <row r="152" spans="1:5" s="421" customFormat="1" x14ac:dyDescent="0.2">
      <c r="A152" s="588">
        <v>4</v>
      </c>
      <c r="B152" s="587" t="s">
        <v>115</v>
      </c>
      <c r="C152" s="610">
        <v>12946</v>
      </c>
      <c r="D152" s="610">
        <v>13442</v>
      </c>
      <c r="E152" s="607">
        <f t="shared" si="17"/>
        <v>496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72</v>
      </c>
      <c r="D154" s="610">
        <v>49</v>
      </c>
      <c r="E154" s="607">
        <f t="shared" si="17"/>
        <v>-23</v>
      </c>
    </row>
    <row r="155" spans="1:5" s="421" customFormat="1" x14ac:dyDescent="0.2">
      <c r="A155" s="588">
        <v>7</v>
      </c>
      <c r="B155" s="587" t="s">
        <v>759</v>
      </c>
      <c r="C155" s="610">
        <v>529</v>
      </c>
      <c r="D155" s="610">
        <v>389</v>
      </c>
      <c r="E155" s="607">
        <f t="shared" si="17"/>
        <v>-140</v>
      </c>
    </row>
    <row r="156" spans="1:5" s="421" customFormat="1" x14ac:dyDescent="0.2">
      <c r="A156" s="588"/>
      <c r="B156" s="592" t="s">
        <v>809</v>
      </c>
      <c r="C156" s="608">
        <f>SUM(C150+C151+C154)</f>
        <v>39628</v>
      </c>
      <c r="D156" s="608">
        <f>SUM(D150+D151+D154)</f>
        <v>39727</v>
      </c>
      <c r="E156" s="609">
        <f t="shared" si="17"/>
        <v>99</v>
      </c>
    </row>
    <row r="157" spans="1:5" s="421" customFormat="1" x14ac:dyDescent="0.2">
      <c r="A157" s="588"/>
      <c r="B157" s="592" t="s">
        <v>140</v>
      </c>
      <c r="C157" s="608">
        <f>SUM(C149+C156)</f>
        <v>51833</v>
      </c>
      <c r="D157" s="608">
        <f>SUM(D149+D156)</f>
        <v>50924</v>
      </c>
      <c r="E157" s="609">
        <f t="shared" si="17"/>
        <v>-909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3.691772534785239</v>
      </c>
      <c r="D161" s="612">
        <f t="shared" si="18"/>
        <v>3.7523458445040214</v>
      </c>
      <c r="E161" s="613">
        <f t="shared" ref="E161:E169" si="19">D161-C161</f>
        <v>6.0573309718782387E-2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5.2661785078171386</v>
      </c>
      <c r="D162" s="612">
        <f t="shared" si="18"/>
        <v>5.1757743144604458</v>
      </c>
      <c r="E162" s="613">
        <f t="shared" si="19"/>
        <v>-9.0404193356692808E-2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3.870254110612855</v>
      </c>
      <c r="D163" s="612">
        <f t="shared" si="18"/>
        <v>3.7673766816143499</v>
      </c>
      <c r="E163" s="613">
        <f t="shared" si="19"/>
        <v>-0.10287742899850505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3.870254110612855</v>
      </c>
      <c r="D164" s="612">
        <f t="shared" si="18"/>
        <v>3.7673766816143499</v>
      </c>
      <c r="E164" s="613">
        <f t="shared" si="19"/>
        <v>-0.10287742899850505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2.88</v>
      </c>
      <c r="D166" s="612">
        <f t="shared" si="18"/>
        <v>2.3333333333333335</v>
      </c>
      <c r="E166" s="613">
        <f t="shared" si="19"/>
        <v>-0.54666666666666641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2.9719101123595504</v>
      </c>
      <c r="D167" s="612">
        <f t="shared" si="18"/>
        <v>3.3826086956521739</v>
      </c>
      <c r="E167" s="613">
        <f t="shared" si="19"/>
        <v>0.41069858329262354</v>
      </c>
    </row>
    <row r="168" spans="1:5" s="421" customFormat="1" x14ac:dyDescent="0.2">
      <c r="A168" s="588"/>
      <c r="B168" s="592" t="s">
        <v>811</v>
      </c>
      <c r="C168" s="614">
        <f t="shared" si="18"/>
        <v>4.7047370295619135</v>
      </c>
      <c r="D168" s="614">
        <f t="shared" si="18"/>
        <v>4.5884730884730889</v>
      </c>
      <c r="E168" s="615">
        <f t="shared" si="19"/>
        <v>-0.11626394108882465</v>
      </c>
    </row>
    <row r="169" spans="1:5" s="421" customFormat="1" x14ac:dyDescent="0.2">
      <c r="A169" s="588"/>
      <c r="B169" s="592" t="s">
        <v>745</v>
      </c>
      <c r="C169" s="614">
        <f t="shared" si="18"/>
        <v>4.4192173245801003</v>
      </c>
      <c r="D169" s="614">
        <f t="shared" si="18"/>
        <v>4.3741625150317818</v>
      </c>
      <c r="E169" s="615">
        <f t="shared" si="19"/>
        <v>-4.5054809548318531E-2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1.1974</v>
      </c>
      <c r="D173" s="617">
        <f t="shared" si="20"/>
        <v>1.3211999999999999</v>
      </c>
      <c r="E173" s="618">
        <f t="shared" ref="E173:E181" si="21">D173-C173</f>
        <v>0.12379999999999991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1.49895</v>
      </c>
      <c r="D174" s="617">
        <f t="shared" si="20"/>
        <v>1.5586</v>
      </c>
      <c r="E174" s="618">
        <f t="shared" si="21"/>
        <v>5.9649999999999981E-2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1.0439700000000001</v>
      </c>
      <c r="D175" s="617">
        <f t="shared" si="20"/>
        <v>1.0233000000000001</v>
      </c>
      <c r="E175" s="618">
        <f t="shared" si="21"/>
        <v>-2.0669999999999966E-2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1.0439700000000001</v>
      </c>
      <c r="D176" s="617">
        <f t="shared" si="20"/>
        <v>1.0233000000000001</v>
      </c>
      <c r="E176" s="618">
        <f t="shared" si="21"/>
        <v>-2.0669999999999966E-2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0.73607</v>
      </c>
      <c r="D178" s="617">
        <f t="shared" si="20"/>
        <v>0.74590000000000001</v>
      </c>
      <c r="E178" s="618">
        <f t="shared" si="21"/>
        <v>9.8300000000000054E-3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0.93111999999999984</v>
      </c>
      <c r="D179" s="617">
        <f t="shared" si="20"/>
        <v>1.1728000000000001</v>
      </c>
      <c r="E179" s="618">
        <f t="shared" si="21"/>
        <v>0.24168000000000023</v>
      </c>
    </row>
    <row r="180" spans="1:5" s="421" customFormat="1" x14ac:dyDescent="0.2">
      <c r="A180" s="588"/>
      <c r="B180" s="592" t="s">
        <v>813</v>
      </c>
      <c r="C180" s="619">
        <f t="shared" si="20"/>
        <v>1.3160009200997269</v>
      </c>
      <c r="D180" s="619">
        <f t="shared" si="20"/>
        <v>1.3360293023793022</v>
      </c>
      <c r="E180" s="620">
        <f t="shared" si="21"/>
        <v>2.0028382279575263E-2</v>
      </c>
    </row>
    <row r="181" spans="1:5" s="421" customFormat="1" x14ac:dyDescent="0.2">
      <c r="A181" s="588"/>
      <c r="B181" s="592" t="s">
        <v>724</v>
      </c>
      <c r="C181" s="619">
        <f t="shared" si="20"/>
        <v>1.2825714170005968</v>
      </c>
      <c r="D181" s="619">
        <f t="shared" si="20"/>
        <v>1.3322283542346673</v>
      </c>
      <c r="E181" s="620">
        <f t="shared" si="21"/>
        <v>4.9656937234070497E-2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211127757</v>
      </c>
      <c r="D185" s="589">
        <v>215458545</v>
      </c>
      <c r="E185" s="590">
        <f>D185-C185</f>
        <v>4330788</v>
      </c>
    </row>
    <row r="186" spans="1:5" s="421" customFormat="1" ht="25.5" x14ac:dyDescent="0.2">
      <c r="A186" s="588">
        <v>2</v>
      </c>
      <c r="B186" s="587" t="s">
        <v>816</v>
      </c>
      <c r="C186" s="589">
        <v>80113195</v>
      </c>
      <c r="D186" s="589">
        <v>88204682</v>
      </c>
      <c r="E186" s="590">
        <f>D186-C186</f>
        <v>8091487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131014562</v>
      </c>
      <c r="D188" s="622">
        <f>+D185-D186</f>
        <v>127253863</v>
      </c>
      <c r="E188" s="590">
        <f t="shared" ref="E188:E197" si="22">D188-C188</f>
        <v>-3760699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0.6205463642565956</v>
      </c>
      <c r="D189" s="623">
        <f>IF(D185=0,0,+D188/D185)</f>
        <v>0.59061878005349011</v>
      </c>
      <c r="E189" s="599">
        <f t="shared" si="22"/>
        <v>-2.9927584203105484E-2</v>
      </c>
    </row>
    <row r="190" spans="1:5" s="421" customFormat="1" x14ac:dyDescent="0.2">
      <c r="A190" s="588">
        <v>5</v>
      </c>
      <c r="B190" s="587" t="s">
        <v>763</v>
      </c>
      <c r="C190" s="589">
        <v>10496927</v>
      </c>
      <c r="D190" s="589">
        <v>11348829</v>
      </c>
      <c r="E190" s="622">
        <f t="shared" si="22"/>
        <v>851902</v>
      </c>
    </row>
    <row r="191" spans="1:5" s="421" customFormat="1" x14ac:dyDescent="0.2">
      <c r="A191" s="588">
        <v>6</v>
      </c>
      <c r="B191" s="587" t="s">
        <v>749</v>
      </c>
      <c r="C191" s="589">
        <v>6624781</v>
      </c>
      <c r="D191" s="589">
        <v>7464975</v>
      </c>
      <c r="E191" s="622">
        <f t="shared" si="22"/>
        <v>840194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248631</v>
      </c>
      <c r="D193" s="589">
        <v>894442</v>
      </c>
      <c r="E193" s="622">
        <f t="shared" si="22"/>
        <v>645811</v>
      </c>
    </row>
    <row r="194" spans="1:5" s="421" customFormat="1" x14ac:dyDescent="0.2">
      <c r="A194" s="588">
        <v>9</v>
      </c>
      <c r="B194" s="587" t="s">
        <v>819</v>
      </c>
      <c r="C194" s="589">
        <v>12069248</v>
      </c>
      <c r="D194" s="589">
        <v>10078145</v>
      </c>
      <c r="E194" s="622">
        <f t="shared" si="22"/>
        <v>-1991103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12317879</v>
      </c>
      <c r="D195" s="589">
        <f>+D193+D194</f>
        <v>10972587</v>
      </c>
      <c r="E195" s="625">
        <f t="shared" si="22"/>
        <v>-1345292</v>
      </c>
    </row>
    <row r="196" spans="1:5" s="421" customFormat="1" x14ac:dyDescent="0.2">
      <c r="A196" s="588">
        <v>11</v>
      </c>
      <c r="B196" s="587" t="s">
        <v>821</v>
      </c>
      <c r="C196" s="589">
        <v>5912911</v>
      </c>
      <c r="D196" s="589">
        <v>8705634</v>
      </c>
      <c r="E196" s="622">
        <f t="shared" si="22"/>
        <v>2792723</v>
      </c>
    </row>
    <row r="197" spans="1:5" s="421" customFormat="1" x14ac:dyDescent="0.2">
      <c r="A197" s="588">
        <v>12</v>
      </c>
      <c r="B197" s="587" t="s">
        <v>711</v>
      </c>
      <c r="C197" s="589">
        <v>221915377</v>
      </c>
      <c r="D197" s="589">
        <v>227226738</v>
      </c>
      <c r="E197" s="622">
        <f t="shared" si="22"/>
        <v>5311361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3958.6044000000002</v>
      </c>
      <c r="D203" s="629">
        <v>3942.4607999999998</v>
      </c>
      <c r="E203" s="630">
        <f t="shared" ref="E203:E211" si="23">D203-C203</f>
        <v>-16.143600000000333</v>
      </c>
    </row>
    <row r="204" spans="1:5" s="421" customFormat="1" x14ac:dyDescent="0.2">
      <c r="A204" s="588">
        <v>2</v>
      </c>
      <c r="B204" s="587" t="s">
        <v>636</v>
      </c>
      <c r="C204" s="629">
        <v>7574.1943499999998</v>
      </c>
      <c r="D204" s="629">
        <v>7900.5433999999996</v>
      </c>
      <c r="E204" s="630">
        <f t="shared" si="23"/>
        <v>326.34904999999981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3492.0796500000001</v>
      </c>
      <c r="D205" s="629">
        <f>D206+D207</f>
        <v>3651.1344000000004</v>
      </c>
      <c r="E205" s="630">
        <f t="shared" si="23"/>
        <v>159.05475000000024</v>
      </c>
    </row>
    <row r="206" spans="1:5" s="421" customFormat="1" x14ac:dyDescent="0.2">
      <c r="A206" s="588">
        <v>4</v>
      </c>
      <c r="B206" s="587" t="s">
        <v>115</v>
      </c>
      <c r="C206" s="629">
        <v>3492.0796500000001</v>
      </c>
      <c r="D206" s="629">
        <v>3651.1344000000004</v>
      </c>
      <c r="E206" s="630">
        <f t="shared" si="23"/>
        <v>159.05475000000024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18.40175</v>
      </c>
      <c r="D208" s="629">
        <v>15.6639</v>
      </c>
      <c r="E208" s="630">
        <f t="shared" si="23"/>
        <v>-2.7378499999999999</v>
      </c>
    </row>
    <row r="209" spans="1:5" s="421" customFormat="1" x14ac:dyDescent="0.2">
      <c r="A209" s="588">
        <v>7</v>
      </c>
      <c r="B209" s="587" t="s">
        <v>759</v>
      </c>
      <c r="C209" s="629">
        <v>165.73935999999998</v>
      </c>
      <c r="D209" s="629">
        <v>134.87200000000001</v>
      </c>
      <c r="E209" s="630">
        <f t="shared" si="23"/>
        <v>-30.867359999999962</v>
      </c>
    </row>
    <row r="210" spans="1:5" s="421" customFormat="1" x14ac:dyDescent="0.2">
      <c r="A210" s="588"/>
      <c r="B210" s="592" t="s">
        <v>824</v>
      </c>
      <c r="C210" s="631">
        <f>C204+C205+C208</f>
        <v>11084.67575</v>
      </c>
      <c r="D210" s="631">
        <f>D204+D205+D208</f>
        <v>11567.341699999999</v>
      </c>
      <c r="E210" s="632">
        <f t="shared" si="23"/>
        <v>482.6659499999987</v>
      </c>
    </row>
    <row r="211" spans="1:5" s="421" customFormat="1" x14ac:dyDescent="0.2">
      <c r="A211" s="588"/>
      <c r="B211" s="592" t="s">
        <v>725</v>
      </c>
      <c r="C211" s="631">
        <f>C210+C203</f>
        <v>15043.280150000001</v>
      </c>
      <c r="D211" s="631">
        <f>D210+D203</f>
        <v>15509.802499999998</v>
      </c>
      <c r="E211" s="632">
        <f t="shared" si="23"/>
        <v>466.52234999999746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6594.8180317327924</v>
      </c>
      <c r="D215" s="633">
        <f>IF(D14*D137=0,0,D25/D14*D137)</f>
        <v>5899.3269495590557</v>
      </c>
      <c r="E215" s="633">
        <f t="shared" ref="E215:E223" si="24">D215-C215</f>
        <v>-695.49108217373669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3447.5913030162283</v>
      </c>
      <c r="D216" s="633">
        <f>IF(D15*D138=0,0,D26/D15*D138)</f>
        <v>3711.6256680581646</v>
      </c>
      <c r="E216" s="633">
        <f t="shared" si="24"/>
        <v>264.03436504193633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6159.5908724602468</v>
      </c>
      <c r="D217" s="633">
        <f>D218+D219</f>
        <v>7180.785955206894</v>
      </c>
      <c r="E217" s="633">
        <f t="shared" si="24"/>
        <v>1021.1950827466471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6159.5908724602468</v>
      </c>
      <c r="D218" s="633">
        <f t="shared" si="25"/>
        <v>7180.785955206894</v>
      </c>
      <c r="E218" s="633">
        <f t="shared" si="24"/>
        <v>1021.1950827466471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47.479774410884289</v>
      </c>
      <c r="D220" s="633">
        <f t="shared" si="25"/>
        <v>77.104944650865448</v>
      </c>
      <c r="E220" s="633">
        <f t="shared" si="24"/>
        <v>29.625170239981159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1072.8811993218774</v>
      </c>
      <c r="D221" s="633">
        <f t="shared" si="25"/>
        <v>619.5382734693419</v>
      </c>
      <c r="E221" s="633">
        <f t="shared" si="24"/>
        <v>-453.34292585253547</v>
      </c>
    </row>
    <row r="222" spans="1:5" s="421" customFormat="1" x14ac:dyDescent="0.2">
      <c r="A222" s="588"/>
      <c r="B222" s="592" t="s">
        <v>826</v>
      </c>
      <c r="C222" s="634">
        <f>C216+C218+C219+C220</f>
        <v>9654.6619498873588</v>
      </c>
      <c r="D222" s="634">
        <f>D216+D218+D219+D220</f>
        <v>10969.516567915925</v>
      </c>
      <c r="E222" s="634">
        <f t="shared" si="24"/>
        <v>1314.8546180285666</v>
      </c>
    </row>
    <row r="223" spans="1:5" s="421" customFormat="1" x14ac:dyDescent="0.2">
      <c r="A223" s="588"/>
      <c r="B223" s="592" t="s">
        <v>827</v>
      </c>
      <c r="C223" s="634">
        <f>C215+C222</f>
        <v>16249.479981620152</v>
      </c>
      <c r="D223" s="634">
        <f>D215+D222</f>
        <v>16868.843517474983</v>
      </c>
      <c r="E223" s="634">
        <f t="shared" si="24"/>
        <v>619.36353585483084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8665.0146197988361</v>
      </c>
      <c r="D227" s="636">
        <f t="shared" si="26"/>
        <v>9788.4575034962945</v>
      </c>
      <c r="E227" s="636">
        <f t="shared" ref="E227:E235" si="27">D227-C227</f>
        <v>1123.4428836974585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8375.5942967056289</v>
      </c>
      <c r="D228" s="636">
        <f t="shared" si="26"/>
        <v>8472.0853504836141</v>
      </c>
      <c r="E228" s="636">
        <f t="shared" si="27"/>
        <v>96.491053777985144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6207.8423669402846</v>
      </c>
      <c r="D229" s="636">
        <f t="shared" si="26"/>
        <v>6001.3392002222645</v>
      </c>
      <c r="E229" s="636">
        <f t="shared" si="27"/>
        <v>-206.50316671802011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6207.8423669402846</v>
      </c>
      <c r="D230" s="636">
        <f t="shared" si="26"/>
        <v>6001.3392002222645</v>
      </c>
      <c r="E230" s="636">
        <f t="shared" si="27"/>
        <v>-206.50316671802011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5256.0761884059939</v>
      </c>
      <c r="D232" s="636">
        <f t="shared" si="26"/>
        <v>4006.7288478603668</v>
      </c>
      <c r="E232" s="636">
        <f t="shared" si="27"/>
        <v>-1249.347340545627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225.86668610280626</v>
      </c>
      <c r="D233" s="636">
        <f t="shared" si="26"/>
        <v>160.10736105344324</v>
      </c>
      <c r="E233" s="636">
        <f t="shared" si="27"/>
        <v>-65.759325049363014</v>
      </c>
    </row>
    <row r="234" spans="1:5" x14ac:dyDescent="0.2">
      <c r="A234" s="588"/>
      <c r="B234" s="592" t="s">
        <v>829</v>
      </c>
      <c r="C234" s="637">
        <f t="shared" si="26"/>
        <v>7687.4941515542296</v>
      </c>
      <c r="D234" s="637">
        <f t="shared" si="26"/>
        <v>7686.1682922360642</v>
      </c>
      <c r="E234" s="637">
        <f t="shared" si="27"/>
        <v>-1.325859318165385</v>
      </c>
    </row>
    <row r="235" spans="1:5" s="421" customFormat="1" x14ac:dyDescent="0.2">
      <c r="A235" s="588"/>
      <c r="B235" s="592" t="s">
        <v>830</v>
      </c>
      <c r="C235" s="637">
        <f t="shared" si="26"/>
        <v>7944.7264033037363</v>
      </c>
      <c r="D235" s="637">
        <f t="shared" si="26"/>
        <v>8220.5524538433037</v>
      </c>
      <c r="E235" s="637">
        <f t="shared" si="27"/>
        <v>275.8260505395674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6946.6404955472162</v>
      </c>
      <c r="D239" s="636">
        <f t="shared" si="28"/>
        <v>8478.748241566549</v>
      </c>
      <c r="E239" s="638">
        <f t="shared" ref="E239:E247" si="29">D239-C239</f>
        <v>1532.1077460193328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5711.9006486562384</v>
      </c>
      <c r="D240" s="636">
        <f t="shared" si="28"/>
        <v>6219.6961829067277</v>
      </c>
      <c r="E240" s="638">
        <f t="shared" si="29"/>
        <v>507.79553425048925</v>
      </c>
    </row>
    <row r="241" spans="1:5" x14ac:dyDescent="0.2">
      <c r="A241" s="588">
        <v>3</v>
      </c>
      <c r="B241" s="587" t="s">
        <v>778</v>
      </c>
      <c r="C241" s="636">
        <f t="shared" si="28"/>
        <v>4288.3999192383826</v>
      </c>
      <c r="D241" s="636">
        <f t="shared" si="28"/>
        <v>3913.4497498317828</v>
      </c>
      <c r="E241" s="638">
        <f t="shared" si="29"/>
        <v>-374.9501694065998</v>
      </c>
    </row>
    <row r="242" spans="1:5" x14ac:dyDescent="0.2">
      <c r="A242" s="588">
        <v>4</v>
      </c>
      <c r="B242" s="587" t="s">
        <v>115</v>
      </c>
      <c r="C242" s="636">
        <f t="shared" si="28"/>
        <v>4288.3999192383826</v>
      </c>
      <c r="D242" s="636">
        <f t="shared" si="28"/>
        <v>3913.4497498317828</v>
      </c>
      <c r="E242" s="638">
        <f t="shared" si="29"/>
        <v>-374.9501694065998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3308.8826126348476</v>
      </c>
      <c r="D244" s="636">
        <f t="shared" si="28"/>
        <v>2119.9548322114683</v>
      </c>
      <c r="E244" s="638">
        <f t="shared" si="29"/>
        <v>-1188.9277804233793</v>
      </c>
    </row>
    <row r="245" spans="1:5" x14ac:dyDescent="0.2">
      <c r="A245" s="588">
        <v>7</v>
      </c>
      <c r="B245" s="587" t="s">
        <v>759</v>
      </c>
      <c r="C245" s="636">
        <f t="shared" si="28"/>
        <v>194.55369348622312</v>
      </c>
      <c r="D245" s="636">
        <f t="shared" si="28"/>
        <v>618.59293672671686</v>
      </c>
      <c r="E245" s="638">
        <f t="shared" si="29"/>
        <v>424.03924324049376</v>
      </c>
    </row>
    <row r="246" spans="1:5" ht="25.5" x14ac:dyDescent="0.2">
      <c r="A246" s="588"/>
      <c r="B246" s="592" t="s">
        <v>832</v>
      </c>
      <c r="C246" s="637">
        <f t="shared" si="28"/>
        <v>4791.9019060568726</v>
      </c>
      <c r="D246" s="637">
        <f t="shared" si="28"/>
        <v>4681.1805864071848</v>
      </c>
      <c r="E246" s="639">
        <f t="shared" si="29"/>
        <v>-110.72131964968776</v>
      </c>
    </row>
    <row r="247" spans="1:5" x14ac:dyDescent="0.2">
      <c r="A247" s="588"/>
      <c r="B247" s="592" t="s">
        <v>833</v>
      </c>
      <c r="C247" s="637">
        <f t="shared" si="28"/>
        <v>5666.3981311492762</v>
      </c>
      <c r="D247" s="637">
        <f t="shared" si="28"/>
        <v>6009.2558150170971</v>
      </c>
      <c r="E247" s="639">
        <f t="shared" si="29"/>
        <v>342.85768386782092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8768182.0998627283</v>
      </c>
      <c r="D251" s="622">
        <f>((IF((IF(D15=0,0,D26/D15)*D138)=0,0,D59/(IF(D15=0,0,D26/D15)*D138)))-(IF((IF(D17=0,0,D28/D17)*D140)=0,0,D61/(IF(D17=0,0,D28/D17)*D140))))*(IF(D17=0,0,D28/D17)*D140)</f>
        <v>16560661.99587056</v>
      </c>
      <c r="E251" s="622">
        <f>D251-C251</f>
        <v>7792479.8960078321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7270188.456693355</v>
      </c>
      <c r="D253" s="622">
        <f>IF(D233=0,0,(D228-D233)*D209+IF(D221=0,0,(D240-D245)*D221))</f>
        <v>4591150.9300523158</v>
      </c>
      <c r="E253" s="622">
        <f>D253-C253</f>
        <v>-2679037.5266410392</v>
      </c>
    </row>
    <row r="254" spans="1:5" ht="15" customHeight="1" x14ac:dyDescent="0.2">
      <c r="A254" s="588"/>
      <c r="B254" s="592" t="s">
        <v>760</v>
      </c>
      <c r="C254" s="640">
        <f>+C251+C252+C253</f>
        <v>16038370.556556083</v>
      </c>
      <c r="D254" s="640">
        <f>+D251+D252+D253</f>
        <v>21151812.925922878</v>
      </c>
      <c r="E254" s="640">
        <f>D254-C254</f>
        <v>5113442.3693667948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598602640</v>
      </c>
      <c r="D258" s="625">
        <f>+D44</f>
        <v>663968691</v>
      </c>
      <c r="E258" s="622">
        <f t="shared" ref="E258:E271" si="30">D258-C258</f>
        <v>65366051</v>
      </c>
    </row>
    <row r="259" spans="1:5" x14ac:dyDescent="0.2">
      <c r="A259" s="588">
        <v>2</v>
      </c>
      <c r="B259" s="587" t="s">
        <v>743</v>
      </c>
      <c r="C259" s="622">
        <f>+(C43-C76)</f>
        <v>255997310</v>
      </c>
      <c r="D259" s="625">
        <f>+(D43-D76)</f>
        <v>296873900</v>
      </c>
      <c r="E259" s="622">
        <f t="shared" si="30"/>
        <v>40876590</v>
      </c>
    </row>
    <row r="260" spans="1:5" x14ac:dyDescent="0.2">
      <c r="A260" s="588">
        <v>3</v>
      </c>
      <c r="B260" s="587" t="s">
        <v>747</v>
      </c>
      <c r="C260" s="622">
        <f>C195</f>
        <v>12317879</v>
      </c>
      <c r="D260" s="622">
        <f>D195</f>
        <v>10972587</v>
      </c>
      <c r="E260" s="622">
        <f t="shared" si="30"/>
        <v>-1345292</v>
      </c>
    </row>
    <row r="261" spans="1:5" x14ac:dyDescent="0.2">
      <c r="A261" s="588">
        <v>4</v>
      </c>
      <c r="B261" s="587" t="s">
        <v>748</v>
      </c>
      <c r="C261" s="622">
        <f>C188</f>
        <v>131014562</v>
      </c>
      <c r="D261" s="622">
        <f>D188</f>
        <v>127253863</v>
      </c>
      <c r="E261" s="622">
        <f t="shared" si="30"/>
        <v>-3760699</v>
      </c>
    </row>
    <row r="262" spans="1:5" x14ac:dyDescent="0.2">
      <c r="A262" s="588">
        <v>5</v>
      </c>
      <c r="B262" s="587" t="s">
        <v>749</v>
      </c>
      <c r="C262" s="622">
        <f>C191</f>
        <v>6624781</v>
      </c>
      <c r="D262" s="622">
        <f>D191</f>
        <v>7464975</v>
      </c>
      <c r="E262" s="622">
        <f t="shared" si="30"/>
        <v>840194</v>
      </c>
    </row>
    <row r="263" spans="1:5" x14ac:dyDescent="0.2">
      <c r="A263" s="588">
        <v>6</v>
      </c>
      <c r="B263" s="587" t="s">
        <v>750</v>
      </c>
      <c r="C263" s="622">
        <f>+C259+C260+C261+C262</f>
        <v>405954532</v>
      </c>
      <c r="D263" s="622">
        <f>+D259+D260+D261+D262</f>
        <v>442565325</v>
      </c>
      <c r="E263" s="622">
        <f t="shared" si="30"/>
        <v>36610793</v>
      </c>
    </row>
    <row r="264" spans="1:5" x14ac:dyDescent="0.2">
      <c r="A264" s="588">
        <v>7</v>
      </c>
      <c r="B264" s="587" t="s">
        <v>655</v>
      </c>
      <c r="C264" s="622">
        <f>+C258-C263</f>
        <v>192648108</v>
      </c>
      <c r="D264" s="622">
        <f>+D258-D263</f>
        <v>221403366</v>
      </c>
      <c r="E264" s="622">
        <f t="shared" si="30"/>
        <v>28755258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192648108</v>
      </c>
      <c r="D266" s="622">
        <f>+D264+D265</f>
        <v>221403366</v>
      </c>
      <c r="E266" s="641">
        <f t="shared" si="30"/>
        <v>28755258</v>
      </c>
    </row>
    <row r="267" spans="1:5" x14ac:dyDescent="0.2">
      <c r="A267" s="588">
        <v>10</v>
      </c>
      <c r="B267" s="587" t="s">
        <v>838</v>
      </c>
      <c r="C267" s="642">
        <f>IF(C258=0,0,C266/C258)</f>
        <v>0.32182969991579052</v>
      </c>
      <c r="D267" s="642">
        <f>IF(D258=0,0,D266/D258)</f>
        <v>0.33345452730089647</v>
      </c>
      <c r="E267" s="643">
        <f t="shared" si="30"/>
        <v>1.1624827385105951E-2</v>
      </c>
    </row>
    <row r="268" spans="1:5" x14ac:dyDescent="0.2">
      <c r="A268" s="588">
        <v>11</v>
      </c>
      <c r="B268" s="587" t="s">
        <v>717</v>
      </c>
      <c r="C268" s="622">
        <f>+C260*C267</f>
        <v>3964259.302169018</v>
      </c>
      <c r="D268" s="644">
        <f>+D260*D267</f>
        <v>3658858.8113529617</v>
      </c>
      <c r="E268" s="622">
        <f t="shared" si="30"/>
        <v>-305400.49081605626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2213314.1179844067</v>
      </c>
      <c r="D269" s="644">
        <f>((D17+D18+D28+D29)*D267)-(D50+D51+D61+D62)</f>
        <v>9775100.4279573932</v>
      </c>
      <c r="E269" s="622">
        <f t="shared" si="30"/>
        <v>7561786.3099729866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6177573.4201534241</v>
      </c>
      <c r="D271" s="622">
        <f>+D268+D269+D270</f>
        <v>13433959.239310354</v>
      </c>
      <c r="E271" s="625">
        <f t="shared" si="30"/>
        <v>7256385.8191569299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0.48655764237450538</v>
      </c>
      <c r="D276" s="623">
        <f t="shared" si="31"/>
        <v>0.50646163435932601</v>
      </c>
      <c r="E276" s="650">
        <f t="shared" ref="E276:E284" si="32">D276-C276</f>
        <v>1.9903991984820624E-2</v>
      </c>
    </row>
    <row r="277" spans="1:5" x14ac:dyDescent="0.2">
      <c r="A277" s="588">
        <v>2</v>
      </c>
      <c r="B277" s="587" t="s">
        <v>636</v>
      </c>
      <c r="C277" s="623">
        <f t="shared" si="31"/>
        <v>0.46363566993240224</v>
      </c>
      <c r="D277" s="623">
        <f t="shared" si="31"/>
        <v>0.45139092734696351</v>
      </c>
      <c r="E277" s="650">
        <f t="shared" si="32"/>
        <v>-1.2244742585438728E-2</v>
      </c>
    </row>
    <row r="278" spans="1:5" x14ac:dyDescent="0.2">
      <c r="A278" s="588">
        <v>3</v>
      </c>
      <c r="B278" s="587" t="s">
        <v>778</v>
      </c>
      <c r="C278" s="623">
        <f t="shared" si="31"/>
        <v>0.39406254054208223</v>
      </c>
      <c r="D278" s="623">
        <f t="shared" si="31"/>
        <v>0.36815436056848111</v>
      </c>
      <c r="E278" s="650">
        <f t="shared" si="32"/>
        <v>-2.590817997360112E-2</v>
      </c>
    </row>
    <row r="279" spans="1:5" x14ac:dyDescent="0.2">
      <c r="A279" s="588">
        <v>4</v>
      </c>
      <c r="B279" s="587" t="s">
        <v>115</v>
      </c>
      <c r="C279" s="623">
        <f t="shared" si="31"/>
        <v>0.39406254054208223</v>
      </c>
      <c r="D279" s="623">
        <f t="shared" si="31"/>
        <v>0.36815436056848111</v>
      </c>
      <c r="E279" s="650">
        <f t="shared" si="32"/>
        <v>-2.590817997360112E-2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0.28694377775734042</v>
      </c>
      <c r="D281" s="623">
        <f t="shared" si="31"/>
        <v>0.3016732117879477</v>
      </c>
      <c r="E281" s="650">
        <f t="shared" si="32"/>
        <v>1.472943403060728E-2</v>
      </c>
    </row>
    <row r="282" spans="1:5" x14ac:dyDescent="0.2">
      <c r="A282" s="588">
        <v>7</v>
      </c>
      <c r="B282" s="587" t="s">
        <v>759</v>
      </c>
      <c r="C282" s="623">
        <f t="shared" si="31"/>
        <v>2.0938241277224327E-2</v>
      </c>
      <c r="D282" s="623">
        <f t="shared" si="31"/>
        <v>1.2122879310151241E-2</v>
      </c>
      <c r="E282" s="650">
        <f t="shared" si="32"/>
        <v>-8.8153619670730855E-3</v>
      </c>
    </row>
    <row r="283" spans="1:5" ht="29.25" customHeight="1" x14ac:dyDescent="0.2">
      <c r="A283" s="588"/>
      <c r="B283" s="592" t="s">
        <v>845</v>
      </c>
      <c r="C283" s="651">
        <f t="shared" si="31"/>
        <v>0.44340990977000072</v>
      </c>
      <c r="D283" s="651">
        <f t="shared" si="31"/>
        <v>0.42742476823939057</v>
      </c>
      <c r="E283" s="652">
        <f t="shared" si="32"/>
        <v>-1.5985141530610147E-2</v>
      </c>
    </row>
    <row r="284" spans="1:5" x14ac:dyDescent="0.2">
      <c r="A284" s="588"/>
      <c r="B284" s="592" t="s">
        <v>846</v>
      </c>
      <c r="C284" s="651">
        <f t="shared" si="31"/>
        <v>0.45499009582116051</v>
      </c>
      <c r="D284" s="651">
        <f t="shared" si="31"/>
        <v>0.44861477542410133</v>
      </c>
      <c r="E284" s="652">
        <f t="shared" si="32"/>
        <v>-6.375320397059181E-3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0.32576210942400669</v>
      </c>
      <c r="D287" s="623">
        <f t="shared" si="33"/>
        <v>0.33204387036554356</v>
      </c>
      <c r="E287" s="650">
        <f t="shared" ref="E287:E295" si="34">D287-C287</f>
        <v>6.2817609415368736E-3</v>
      </c>
    </row>
    <row r="288" spans="1:5" x14ac:dyDescent="0.2">
      <c r="A288" s="588">
        <v>2</v>
      </c>
      <c r="B288" s="587" t="s">
        <v>636</v>
      </c>
      <c r="C288" s="623">
        <f t="shared" si="33"/>
        <v>0.21093794319646983</v>
      </c>
      <c r="D288" s="623">
        <f t="shared" si="33"/>
        <v>0.2126165185186038</v>
      </c>
      <c r="E288" s="650">
        <f t="shared" si="34"/>
        <v>1.6785753221339739E-3</v>
      </c>
    </row>
    <row r="289" spans="1:5" x14ac:dyDescent="0.2">
      <c r="A289" s="588">
        <v>3</v>
      </c>
      <c r="B289" s="587" t="s">
        <v>778</v>
      </c>
      <c r="C289" s="623">
        <f t="shared" si="33"/>
        <v>0.2607544524166065</v>
      </c>
      <c r="D289" s="623">
        <f t="shared" si="33"/>
        <v>0.23460570145139881</v>
      </c>
      <c r="E289" s="650">
        <f t="shared" si="34"/>
        <v>-2.614875096520769E-2</v>
      </c>
    </row>
    <row r="290" spans="1:5" x14ac:dyDescent="0.2">
      <c r="A290" s="588">
        <v>4</v>
      </c>
      <c r="B290" s="587" t="s">
        <v>115</v>
      </c>
      <c r="C290" s="623">
        <f t="shared" si="33"/>
        <v>0.2607544524166065</v>
      </c>
      <c r="D290" s="623">
        <f t="shared" si="33"/>
        <v>0.23460570145139881</v>
      </c>
      <c r="E290" s="650">
        <f t="shared" si="34"/>
        <v>-2.614875096520769E-2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0.24541290852685085</v>
      </c>
      <c r="D292" s="623">
        <f t="shared" si="33"/>
        <v>0.21398966308138623</v>
      </c>
      <c r="E292" s="650">
        <f t="shared" si="34"/>
        <v>-3.1423245445464626E-2</v>
      </c>
    </row>
    <row r="293" spans="1:5" x14ac:dyDescent="0.2">
      <c r="A293" s="588">
        <v>7</v>
      </c>
      <c r="B293" s="587" t="s">
        <v>759</v>
      </c>
      <c r="C293" s="623">
        <f t="shared" si="33"/>
        <v>1.9369653192332425E-2</v>
      </c>
      <c r="D293" s="623">
        <f t="shared" si="33"/>
        <v>3.9937003987948097E-2</v>
      </c>
      <c r="E293" s="650">
        <f t="shared" si="34"/>
        <v>2.0567350795615672E-2</v>
      </c>
    </row>
    <row r="294" spans="1:5" ht="29.25" customHeight="1" x14ac:dyDescent="0.2">
      <c r="A294" s="588"/>
      <c r="B294" s="592" t="s">
        <v>848</v>
      </c>
      <c r="C294" s="651">
        <f t="shared" si="33"/>
        <v>0.23689092687878777</v>
      </c>
      <c r="D294" s="651">
        <f t="shared" si="33"/>
        <v>0.22411675101789025</v>
      </c>
      <c r="E294" s="652">
        <f t="shared" si="34"/>
        <v>-1.2774175860897519E-2</v>
      </c>
    </row>
    <row r="295" spans="1:5" x14ac:dyDescent="0.2">
      <c r="A295" s="588"/>
      <c r="B295" s="592" t="s">
        <v>849</v>
      </c>
      <c r="C295" s="651">
        <f t="shared" si="33"/>
        <v>0.27409520837394169</v>
      </c>
      <c r="D295" s="651">
        <f t="shared" si="33"/>
        <v>0.26692794793645602</v>
      </c>
      <c r="E295" s="652">
        <f t="shared" si="34"/>
        <v>-7.1672604374856674E-3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211590768</v>
      </c>
      <c r="D301" s="590">
        <f>+D48+D47+D50+D51+D52+D59+D58+D61+D62+D63</f>
        <v>228868341</v>
      </c>
      <c r="E301" s="590">
        <f>D301-C301</f>
        <v>17277573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211590768</v>
      </c>
      <c r="D303" s="593">
        <f>+D301+D302</f>
        <v>228868341</v>
      </c>
      <c r="E303" s="593">
        <f>D303-C303</f>
        <v>17277573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15900232</v>
      </c>
      <c r="D305" s="654">
        <v>9860854</v>
      </c>
      <c r="E305" s="655">
        <f>D305-C305</f>
        <v>-6039378</v>
      </c>
    </row>
    <row r="306" spans="1:5" x14ac:dyDescent="0.2">
      <c r="A306" s="588">
        <v>4</v>
      </c>
      <c r="B306" s="592" t="s">
        <v>856</v>
      </c>
      <c r="C306" s="593">
        <f>+C303+C305+C194+C190-C191</f>
        <v>243432394</v>
      </c>
      <c r="D306" s="593">
        <f>+D303+D305</f>
        <v>238729195</v>
      </c>
      <c r="E306" s="656">
        <f>D306-C306</f>
        <v>-4703199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227491163</v>
      </c>
      <c r="D308" s="589">
        <v>238729196</v>
      </c>
      <c r="E308" s="590">
        <f>D308-C308</f>
        <v>11238033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15941231</v>
      </c>
      <c r="D310" s="658">
        <f>D306-D308</f>
        <v>-1</v>
      </c>
      <c r="E310" s="656">
        <f>D310-C310</f>
        <v>-15941232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598602640</v>
      </c>
      <c r="D314" s="590">
        <f>+D14+D15+D16+D19+D25+D26+D27+D30</f>
        <v>663968691</v>
      </c>
      <c r="E314" s="590">
        <f>D314-C314</f>
        <v>65366051</v>
      </c>
    </row>
    <row r="315" spans="1:5" x14ac:dyDescent="0.2">
      <c r="A315" s="588">
        <v>2</v>
      </c>
      <c r="B315" s="659" t="s">
        <v>861</v>
      </c>
      <c r="C315" s="589">
        <v>2983595</v>
      </c>
      <c r="D315" s="589">
        <v>0</v>
      </c>
      <c r="E315" s="590">
        <f>D315-C315</f>
        <v>-2983595</v>
      </c>
    </row>
    <row r="316" spans="1:5" x14ac:dyDescent="0.2">
      <c r="A316" s="588"/>
      <c r="B316" s="592" t="s">
        <v>862</v>
      </c>
      <c r="C316" s="657">
        <f>C314+C315</f>
        <v>601586235</v>
      </c>
      <c r="D316" s="657">
        <f>D314+D315</f>
        <v>663968691</v>
      </c>
      <c r="E316" s="593">
        <f>D316-C316</f>
        <v>62382456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601586237</v>
      </c>
      <c r="D318" s="589">
        <v>663968691</v>
      </c>
      <c r="E318" s="590">
        <f>D318-C318</f>
        <v>62382454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-2</v>
      </c>
      <c r="D320" s="657">
        <f>D316-D318</f>
        <v>0</v>
      </c>
      <c r="E320" s="593">
        <f>D320-C320</f>
        <v>2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12317879</v>
      </c>
      <c r="D324" s="589">
        <f>+D193+D194</f>
        <v>10972587</v>
      </c>
      <c r="E324" s="590">
        <f>D324-C324</f>
        <v>-1345292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12317879</v>
      </c>
      <c r="D326" s="657">
        <f>D324+D325</f>
        <v>10972587</v>
      </c>
      <c r="E326" s="593">
        <f>D326-C326</f>
        <v>-1345292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12317879</v>
      </c>
      <c r="D328" s="589">
        <v>10972587</v>
      </c>
      <c r="E328" s="590">
        <f>D328-C328</f>
        <v>-1345292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FILING&amp;RSAINT MARY`S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76196512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148284057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59517687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59517687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208043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1781260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208009787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284206299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150639456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108576625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119782447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119782447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763864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9596163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229122936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379762392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226835968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437132723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663968691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38590610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66934078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21911696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21911696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62761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21594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88908535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127499145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50018908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23085184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28101645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28101645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163459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383242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51350288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101369196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88609518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140258823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228868341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2984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5069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3568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3568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21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115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8658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11642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1.3211999999999999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1.5586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1.0233000000000001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1.0233000000000001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0.74590000000000001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1.1728000000000001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1.3360293023793022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1.3322283542346676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215458545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88204682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127253863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0.59061878005349011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11348829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7464975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894442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10078145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10972587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8705634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227226738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228868341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228868341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9860854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238729195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238729196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-1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663968691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663968691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663968691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10972587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10972587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10972587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FILING&amp;RSAINT MARY`S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69</v>
      </c>
      <c r="D12" s="185">
        <v>267</v>
      </c>
      <c r="E12" s="185">
        <f>+D12-C12</f>
        <v>198</v>
      </c>
      <c r="F12" s="77">
        <f>IF(C12=0,0,+E12/C12)</f>
        <v>2.8695652173913042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62</v>
      </c>
      <c r="D13" s="185">
        <v>264</v>
      </c>
      <c r="E13" s="185">
        <f>+D13-C13</f>
        <v>202</v>
      </c>
      <c r="F13" s="77">
        <f>IF(C13=0,0,+E13/C13)</f>
        <v>3.2580645161290325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248631</v>
      </c>
      <c r="D15" s="76">
        <v>894442</v>
      </c>
      <c r="E15" s="76">
        <f>+D15-C15</f>
        <v>645811</v>
      </c>
      <c r="F15" s="77">
        <f>IF(C15=0,0,+E15/C15)</f>
        <v>2.5974677333075924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4010.1774193548385</v>
      </c>
      <c r="D16" s="79">
        <f>IF(D13=0,0,+D15/+D13)</f>
        <v>3388.037878787879</v>
      </c>
      <c r="E16" s="79">
        <f>+D16-C16</f>
        <v>-622.13954056695957</v>
      </c>
      <c r="F16" s="80">
        <f>IF(C16=0,0,+E16/C16)</f>
        <v>-0.15514015354139868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0.377052</v>
      </c>
      <c r="D18" s="704">
        <v>0.36709599999999998</v>
      </c>
      <c r="E18" s="704">
        <f>+D18-C18</f>
        <v>-9.9560000000000204E-3</v>
      </c>
      <c r="F18" s="77">
        <f>IF(C18=0,0,+E18/C18)</f>
        <v>-2.6404846015934198E-2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93746.815812000001</v>
      </c>
      <c r="D19" s="79">
        <f>+D15*D18</f>
        <v>328346.08043199999</v>
      </c>
      <c r="E19" s="79">
        <f>+D19-C19</f>
        <v>234599.26461999997</v>
      </c>
      <c r="F19" s="80">
        <f>IF(C19=0,0,+E19/C19)</f>
        <v>2.5024771517623137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1512.0454163225806</v>
      </c>
      <c r="D20" s="79">
        <f>IF(D13=0,0,+D19/D13)</f>
        <v>1243.7351531515151</v>
      </c>
      <c r="E20" s="79">
        <f>+D20-C20</f>
        <v>-268.31026317106557</v>
      </c>
      <c r="F20" s="80">
        <f>IF(C20=0,0,+E20/C20)</f>
        <v>-0.17744854769218393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13575</v>
      </c>
      <c r="D22" s="76">
        <v>328802</v>
      </c>
      <c r="E22" s="76">
        <f>+D22-C22</f>
        <v>315227</v>
      </c>
      <c r="F22" s="77">
        <f>IF(C22=0,0,+E22/C22)</f>
        <v>23.221141804788214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66488</v>
      </c>
      <c r="D23" s="185">
        <v>294437</v>
      </c>
      <c r="E23" s="185">
        <f>+D23-C23</f>
        <v>227949</v>
      </c>
      <c r="F23" s="77">
        <f>IF(C23=0,0,+E23/C23)</f>
        <v>3.4284231741066056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168568</v>
      </c>
      <c r="D24" s="185">
        <v>271203</v>
      </c>
      <c r="E24" s="185">
        <f>+D24-C24</f>
        <v>102635</v>
      </c>
      <c r="F24" s="77">
        <f>IF(C24=0,0,+E24/C24)</f>
        <v>0.60886407859142899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248631</v>
      </c>
      <c r="D25" s="79">
        <f>+D22+D23+D24</f>
        <v>894442</v>
      </c>
      <c r="E25" s="79">
        <f>+E22+E23+E24</f>
        <v>645811</v>
      </c>
      <c r="F25" s="80">
        <f>IF(C25=0,0,+E25/C25)</f>
        <v>2.5974677333075924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7</v>
      </c>
      <c r="D27" s="185">
        <v>57</v>
      </c>
      <c r="E27" s="185">
        <f>+D27-C27</f>
        <v>50</v>
      </c>
      <c r="F27" s="77">
        <f>IF(C27=0,0,+E27/C27)</f>
        <v>7.1428571428571432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3</v>
      </c>
      <c r="D28" s="185">
        <v>14</v>
      </c>
      <c r="E28" s="185">
        <f>+D28-C28</f>
        <v>11</v>
      </c>
      <c r="F28" s="77">
        <f>IF(C28=0,0,+E28/C28)</f>
        <v>3.6666666666666665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46</v>
      </c>
      <c r="D29" s="185">
        <v>134</v>
      </c>
      <c r="E29" s="185">
        <f>+D29-C29</f>
        <v>88</v>
      </c>
      <c r="F29" s="77">
        <f>IF(C29=0,0,+E29/C29)</f>
        <v>1.9130434782608696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12</v>
      </c>
      <c r="D30" s="185">
        <v>116</v>
      </c>
      <c r="E30" s="185">
        <f>+D30-C30</f>
        <v>104</v>
      </c>
      <c r="F30" s="77">
        <f>IF(C30=0,0,+E30/C30)</f>
        <v>8.6666666666666661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3080477</v>
      </c>
      <c r="D33" s="76">
        <v>1429144</v>
      </c>
      <c r="E33" s="76">
        <f>+D33-C33</f>
        <v>-1651333</v>
      </c>
      <c r="F33" s="77">
        <f>IF(C33=0,0,+E33/C33)</f>
        <v>-0.53606405761185683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1594713</v>
      </c>
      <c r="D34" s="185">
        <v>1534434</v>
      </c>
      <c r="E34" s="185">
        <f>+D34-C34</f>
        <v>-60279</v>
      </c>
      <c r="F34" s="77">
        <f>IF(C34=0,0,+E34/C34)</f>
        <v>-3.7799277989205578E-2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7394058</v>
      </c>
      <c r="D35" s="185">
        <v>7114567</v>
      </c>
      <c r="E35" s="185">
        <f>+D35-C35</f>
        <v>-279491</v>
      </c>
      <c r="F35" s="77">
        <f>IF(C35=0,0,+E35/C35)</f>
        <v>-3.7799405955430701E-2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12069248</v>
      </c>
      <c r="D36" s="79">
        <f>+D33+D34+D35</f>
        <v>10078145</v>
      </c>
      <c r="E36" s="79">
        <f>+E33+E34+E35</f>
        <v>-1991103</v>
      </c>
      <c r="F36" s="80">
        <f>IF(C36=0,0,+E36/C36)</f>
        <v>-0.16497324439766256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248631</v>
      </c>
      <c r="D39" s="76">
        <f>+D25</f>
        <v>894442</v>
      </c>
      <c r="E39" s="76">
        <f>+D39-C39</f>
        <v>645811</v>
      </c>
      <c r="F39" s="77">
        <f>IF(C39=0,0,+E39/C39)</f>
        <v>2.5974677333075924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12069248</v>
      </c>
      <c r="D40" s="185">
        <f>+D36</f>
        <v>10078145</v>
      </c>
      <c r="E40" s="185">
        <f>+D40-C40</f>
        <v>-1991103</v>
      </c>
      <c r="F40" s="77">
        <f>IF(C40=0,0,+E40/C40)</f>
        <v>-0.16497324439766256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12317879</v>
      </c>
      <c r="D41" s="79">
        <f>+D39+D40</f>
        <v>10972587</v>
      </c>
      <c r="E41" s="79">
        <f>+E39+E40</f>
        <v>-1345292</v>
      </c>
      <c r="F41" s="80">
        <f>IF(C41=0,0,+E41/C41)</f>
        <v>-0.10921458150384494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3094052</v>
      </c>
      <c r="D43" s="76">
        <f t="shared" si="0"/>
        <v>1757946</v>
      </c>
      <c r="E43" s="76">
        <f>+D43-C43</f>
        <v>-1336106</v>
      </c>
      <c r="F43" s="77">
        <f>IF(C43=0,0,+E43/C43)</f>
        <v>-0.43183049282946762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1661201</v>
      </c>
      <c r="D44" s="185">
        <f t="shared" si="0"/>
        <v>1828871</v>
      </c>
      <c r="E44" s="185">
        <f>+D44-C44</f>
        <v>167670</v>
      </c>
      <c r="F44" s="77">
        <f>IF(C44=0,0,+E44/C44)</f>
        <v>0.1009329996791478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7562626</v>
      </c>
      <c r="D45" s="185">
        <f t="shared" si="0"/>
        <v>7385770</v>
      </c>
      <c r="E45" s="185">
        <f>+D45-C45</f>
        <v>-176856</v>
      </c>
      <c r="F45" s="77">
        <f>IF(C45=0,0,+E45/C45)</f>
        <v>-2.3385527725422361E-2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12317879</v>
      </c>
      <c r="D46" s="79">
        <f>+D43+D44+D45</f>
        <v>10972587</v>
      </c>
      <c r="E46" s="79">
        <f>+E43+E44+E45</f>
        <v>-1345292</v>
      </c>
      <c r="F46" s="80">
        <f>IF(C46=0,0,+E46/C46)</f>
        <v>-0.10921458150384494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FILING&amp;RSAINT MARY`S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211127757</v>
      </c>
      <c r="D15" s="76">
        <v>215458545</v>
      </c>
      <c r="E15" s="76">
        <f>+D15-C15</f>
        <v>4330788</v>
      </c>
      <c r="F15" s="77">
        <f>IF(C15=0,0,E15/C15)</f>
        <v>2.0512641547174682E-2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131014562</v>
      </c>
      <c r="D17" s="76">
        <v>127253863</v>
      </c>
      <c r="E17" s="76">
        <f>+D17-C17</f>
        <v>-3760699</v>
      </c>
      <c r="F17" s="77">
        <f>IF(C17=0,0,E17/C17)</f>
        <v>-2.8704435160421329E-2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80113195</v>
      </c>
      <c r="D19" s="79">
        <f>+D15-D17</f>
        <v>88204682</v>
      </c>
      <c r="E19" s="79">
        <f>+D19-C19</f>
        <v>8091487</v>
      </c>
      <c r="F19" s="80">
        <f>IF(C19=0,0,E19/C19)</f>
        <v>0.10100067785337984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0.6205463642565956</v>
      </c>
      <c r="D21" s="720">
        <f>IF(D15=0,0,D17/D15)</f>
        <v>0.59061878005349011</v>
      </c>
      <c r="E21" s="720">
        <f>+D21-C21</f>
        <v>-2.9927584203105484E-2</v>
      </c>
      <c r="F21" s="80">
        <f>IF(C21=0,0,E21/C21)</f>
        <v>-4.8227797191203015E-2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FILING&amp;R&amp;12SAINT MARY`S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246972246</v>
      </c>
      <c r="D10" s="744">
        <v>262675487</v>
      </c>
      <c r="E10" s="744">
        <v>284206299</v>
      </c>
    </row>
    <row r="11" spans="1:6" ht="26.1" customHeight="1" x14ac:dyDescent="0.25">
      <c r="A11" s="742">
        <v>2</v>
      </c>
      <c r="B11" s="743" t="s">
        <v>933</v>
      </c>
      <c r="C11" s="744">
        <v>321590694</v>
      </c>
      <c r="D11" s="744">
        <v>335927153</v>
      </c>
      <c r="E11" s="744">
        <v>379762392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568562940</v>
      </c>
      <c r="D12" s="744">
        <f>+D11+D10</f>
        <v>598602640</v>
      </c>
      <c r="E12" s="744">
        <f>+E11+E10</f>
        <v>663968691</v>
      </c>
    </row>
    <row r="13" spans="1:6" ht="26.1" customHeight="1" x14ac:dyDescent="0.25">
      <c r="A13" s="742">
        <v>4</v>
      </c>
      <c r="B13" s="743" t="s">
        <v>507</v>
      </c>
      <c r="C13" s="744">
        <v>225742944</v>
      </c>
      <c r="D13" s="744">
        <v>227491163</v>
      </c>
      <c r="E13" s="744">
        <v>238729196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218384632</v>
      </c>
      <c r="D16" s="744">
        <v>221915377</v>
      </c>
      <c r="E16" s="744">
        <v>227226738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51556</v>
      </c>
      <c r="D19" s="747">
        <v>51833</v>
      </c>
      <c r="E19" s="747">
        <v>50924</v>
      </c>
    </row>
    <row r="20" spans="1:5" ht="26.1" customHeight="1" x14ac:dyDescent="0.25">
      <c r="A20" s="742">
        <v>2</v>
      </c>
      <c r="B20" s="743" t="s">
        <v>381</v>
      </c>
      <c r="C20" s="748">
        <v>12078</v>
      </c>
      <c r="D20" s="748">
        <v>11729</v>
      </c>
      <c r="E20" s="748">
        <v>11642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4.2685875144891536</v>
      </c>
      <c r="D21" s="749">
        <f>IF(D20=0,0,+D19/D20)</f>
        <v>4.4192173245801003</v>
      </c>
      <c r="E21" s="749">
        <f>IF(E20=0,0,+E19/E20)</f>
        <v>4.3741625150317818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118688.76527381137</v>
      </c>
      <c r="D22" s="748">
        <f>IF(D10=0,0,D19*(D12/D10))</f>
        <v>118120.54102756837</v>
      </c>
      <c r="E22" s="748">
        <f>IF(E10=0,0,E19*(E12/E10))</f>
        <v>118969.71228102161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27805.16151324955</v>
      </c>
      <c r="D23" s="748">
        <f>IF(D10=0,0,D20*(D12/D10))</f>
        <v>26728.837337455858</v>
      </c>
      <c r="E23" s="748">
        <f>IF(E10=0,0,E20*(E12/E10))</f>
        <v>27198.283527917163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1.2818063586686539</v>
      </c>
      <c r="D26" s="750">
        <v>1.2825714170005968</v>
      </c>
      <c r="E26" s="750">
        <v>1.3322283542346676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66084.808627521124</v>
      </c>
      <c r="D27" s="748">
        <f>D19*D26</f>
        <v>66479.524257391939</v>
      </c>
      <c r="E27" s="748">
        <f>E19*E26</f>
        <v>67842.396711046211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15481.657200000001</v>
      </c>
      <c r="D28" s="748">
        <f>D20*D26</f>
        <v>15043.280150000001</v>
      </c>
      <c r="E28" s="748">
        <f>E20*E26</f>
        <v>15509.8025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152136.01403050273</v>
      </c>
      <c r="D29" s="748">
        <f>D22*D26</f>
        <v>151498.0296826055</v>
      </c>
      <c r="E29" s="748">
        <f>E22*E26</f>
        <v>158494.82399591734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35640.832831492204</v>
      </c>
      <c r="D30" s="748">
        <f>D23*D26</f>
        <v>34281.642778679219</v>
      </c>
      <c r="E30" s="748">
        <f>E23*E26</f>
        <v>36234.324502404954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11028.06540460858</v>
      </c>
      <c r="D33" s="744">
        <f>IF(D19=0,0,D12/D19)</f>
        <v>11548.678255165629</v>
      </c>
      <c r="E33" s="744">
        <f>IF(E19=0,0,E12/E19)</f>
        <v>13038.423749116329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47074.262295081964</v>
      </c>
      <c r="D34" s="744">
        <f>IF(D20=0,0,D12/D20)</f>
        <v>51036.119021229431</v>
      </c>
      <c r="E34" s="744">
        <f>IF(E20=0,0,E12/E20)</f>
        <v>57032.184418484794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4790.3686476840721</v>
      </c>
      <c r="D35" s="744">
        <f>IF(D22=0,0,D12/D22)</f>
        <v>5067.7268728416257</v>
      </c>
      <c r="E35" s="744">
        <f>IF(E22=0,0,E12/E22)</f>
        <v>5580.9892977770796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20448.107799304522</v>
      </c>
      <c r="D36" s="744">
        <f>IF(D23=0,0,D12/D23)</f>
        <v>22395.386392701846</v>
      </c>
      <c r="E36" s="744">
        <f>IF(E23=0,0,E12/E23)</f>
        <v>24412.154183130046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3737.2015010594741</v>
      </c>
      <c r="D37" s="744">
        <f>IF(D29=0,0,D12/D29)</f>
        <v>3951.223928483405</v>
      </c>
      <c r="E37" s="744">
        <f>IF(E29=0,0,E12/E29)</f>
        <v>4189.2137185319261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15952.571666552594</v>
      </c>
      <c r="D38" s="744">
        <f>IF(D30=0,0,D12/D30)</f>
        <v>17461.317238049309</v>
      </c>
      <c r="E38" s="744">
        <f>IF(E30=0,0,E12/E30)</f>
        <v>18324.301615059248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2080.8392894663834</v>
      </c>
      <c r="D39" s="744">
        <f>IF(D22=0,0,D10/D22)</f>
        <v>2223.791769957214</v>
      </c>
      <c r="E39" s="744">
        <f>IF(E22=0,0,E10/E22)</f>
        <v>2388.8962455306987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8882.2446106746847</v>
      </c>
      <c r="D40" s="744">
        <f>IF(D23=0,0,D10/D23)</f>
        <v>9827.4191160535665</v>
      </c>
      <c r="E40" s="744">
        <f>IF(E23=0,0,E10/E23)</f>
        <v>10449.420409500543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4378.5969431298008</v>
      </c>
      <c r="D43" s="744">
        <f>IF(D19=0,0,D13/D19)</f>
        <v>4388.9252599695174</v>
      </c>
      <c r="E43" s="744">
        <f>IF(E19=0,0,E13/E19)</f>
        <v>4687.9505930406094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18690.424242424244</v>
      </c>
      <c r="D44" s="744">
        <f>IF(D20=0,0,D13/D20)</f>
        <v>19395.614545144512</v>
      </c>
      <c r="E44" s="744">
        <f>IF(E20=0,0,E13/E20)</f>
        <v>20505.857756399244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1901.9739861579812</v>
      </c>
      <c r="D45" s="744">
        <f>IF(D22=0,0,D13/D22)</f>
        <v>1925.9238149519263</v>
      </c>
      <c r="E45" s="744">
        <f>IF(E22=0,0,E13/E22)</f>
        <v>2006.6384243755356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8118.7424101971255</v>
      </c>
      <c r="D46" s="744">
        <f>IF(D23=0,0,D13/D23)</f>
        <v>8511.0758888569526</v>
      </c>
      <c r="E46" s="744">
        <f>IF(E23=0,0,E13/E23)</f>
        <v>8777.362577125903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1483.8231791371854</v>
      </c>
      <c r="D47" s="744">
        <f>IF(D29=0,0,D13/D29)</f>
        <v>1501.6113640329395</v>
      </c>
      <c r="E47" s="744">
        <f>IF(E29=0,0,E13/E29)</f>
        <v>1506.2270803628855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6333.8290961745925</v>
      </c>
      <c r="D48" s="744">
        <f>IF(D30=0,0,D13/D30)</f>
        <v>6635.9469547207218</v>
      </c>
      <c r="E48" s="744">
        <f>IF(E30=0,0,E13/E30)</f>
        <v>6588.482034049096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4235.8722942043605</v>
      </c>
      <c r="D51" s="744">
        <f>IF(D19=0,0,D16/D19)</f>
        <v>4281.353134103756</v>
      </c>
      <c r="E51" s="744">
        <f>IF(E19=0,0,E16/E19)</f>
        <v>4462.0756028591622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18081.191588011261</v>
      </c>
      <c r="D52" s="744">
        <f>IF(D20=0,0,D16/D20)</f>
        <v>18920.229942876631</v>
      </c>
      <c r="E52" s="744">
        <f>IF(E20=0,0,E16/E20)</f>
        <v>19517.843841264388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1839.9772842542704</v>
      </c>
      <c r="D53" s="744">
        <f>IF(D22=0,0,D16/D22)</f>
        <v>1878.7196119276728</v>
      </c>
      <c r="E53" s="744">
        <f>IF(E22=0,0,E16/E22)</f>
        <v>1909.9545055909819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7854.1040625114392</v>
      </c>
      <c r="D54" s="744">
        <f>IF(D23=0,0,D16/D23)</f>
        <v>8302.4702570591744</v>
      </c>
      <c r="E54" s="744">
        <f>IF(E23=0,0,E16/E23)</f>
        <v>8354.4514037721328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1435.4565116726053</v>
      </c>
      <c r="D55" s="744">
        <f>IF(D29=0,0,D16/D29)</f>
        <v>1464.8070173910623</v>
      </c>
      <c r="E55" s="744">
        <f>IF(E29=0,0,E16/E29)</f>
        <v>1433.6539974696784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6127.3717433178372</v>
      </c>
      <c r="D56" s="744">
        <f>IF(D30=0,0,D16/D30)</f>
        <v>6473.3005484210871</v>
      </c>
      <c r="E56" s="744">
        <f>IF(E30=0,0,E16/E30)</f>
        <v>6271.035575257335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30432420</v>
      </c>
      <c r="D59" s="752">
        <v>28956807</v>
      </c>
      <c r="E59" s="752">
        <v>32118192</v>
      </c>
    </row>
    <row r="60" spans="1:6" ht="26.1" customHeight="1" x14ac:dyDescent="0.25">
      <c r="A60" s="742">
        <v>2</v>
      </c>
      <c r="B60" s="743" t="s">
        <v>969</v>
      </c>
      <c r="C60" s="752">
        <v>7090223</v>
      </c>
      <c r="D60" s="752">
        <v>6967392</v>
      </c>
      <c r="E60" s="752">
        <v>6966676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37522643</v>
      </c>
      <c r="D61" s="755">
        <f>D59+D60</f>
        <v>35924199</v>
      </c>
      <c r="E61" s="755">
        <f>E59+E60</f>
        <v>39084868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3151771</v>
      </c>
      <c r="D64" s="744">
        <v>3289143</v>
      </c>
      <c r="E64" s="752">
        <v>3880024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1050785</v>
      </c>
      <c r="D65" s="752">
        <v>1124776</v>
      </c>
      <c r="E65" s="752">
        <v>1070317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4202556</v>
      </c>
      <c r="D66" s="757">
        <f>D64+D65</f>
        <v>4413919</v>
      </c>
      <c r="E66" s="757">
        <f>E64+E65</f>
        <v>4950341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51014766</v>
      </c>
      <c r="D69" s="752">
        <v>51910300</v>
      </c>
      <c r="E69" s="752">
        <v>49351637</v>
      </c>
    </row>
    <row r="70" spans="1:6" ht="26.1" customHeight="1" x14ac:dyDescent="0.25">
      <c r="A70" s="742">
        <v>2</v>
      </c>
      <c r="B70" s="743" t="s">
        <v>977</v>
      </c>
      <c r="C70" s="752">
        <v>18431260</v>
      </c>
      <c r="D70" s="752">
        <v>19096852</v>
      </c>
      <c r="E70" s="752">
        <v>16524669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69446026</v>
      </c>
      <c r="D71" s="755">
        <f>D69+D70</f>
        <v>71007152</v>
      </c>
      <c r="E71" s="755">
        <f>E69+E70</f>
        <v>65876306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84598957</v>
      </c>
      <c r="D75" s="744">
        <f t="shared" si="0"/>
        <v>84156250</v>
      </c>
      <c r="E75" s="744">
        <f t="shared" si="0"/>
        <v>85349853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26572268</v>
      </c>
      <c r="D76" s="744">
        <f t="shared" si="0"/>
        <v>27189020</v>
      </c>
      <c r="E76" s="744">
        <f t="shared" si="0"/>
        <v>24561662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111171225</v>
      </c>
      <c r="D77" s="757">
        <f>D75+D76</f>
        <v>111345270</v>
      </c>
      <c r="E77" s="757">
        <f>E75+E76</f>
        <v>109911515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361.6</v>
      </c>
      <c r="D80" s="749">
        <v>347.3</v>
      </c>
      <c r="E80" s="749">
        <v>373.1</v>
      </c>
    </row>
    <row r="81" spans="1:5" ht="26.1" customHeight="1" x14ac:dyDescent="0.25">
      <c r="A81" s="742">
        <v>2</v>
      </c>
      <c r="B81" s="743" t="s">
        <v>617</v>
      </c>
      <c r="C81" s="749">
        <v>53.6</v>
      </c>
      <c r="D81" s="749">
        <v>56.1</v>
      </c>
      <c r="E81" s="749">
        <v>57.3</v>
      </c>
    </row>
    <row r="82" spans="1:5" ht="26.1" customHeight="1" x14ac:dyDescent="0.25">
      <c r="A82" s="742">
        <v>3</v>
      </c>
      <c r="B82" s="743" t="s">
        <v>983</v>
      </c>
      <c r="C82" s="749">
        <v>940</v>
      </c>
      <c r="D82" s="749">
        <v>951.8</v>
      </c>
      <c r="E82" s="749">
        <v>885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1355.2</v>
      </c>
      <c r="D83" s="759">
        <f>D80+D81+D82</f>
        <v>1355.2</v>
      </c>
      <c r="E83" s="759">
        <f>E80+E81+E82</f>
        <v>1315.4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84160.453539823007</v>
      </c>
      <c r="D86" s="752">
        <f>IF(D80=0,0,D59/D80)</f>
        <v>83376.927728188879</v>
      </c>
      <c r="E86" s="752">
        <f>IF(E80=0,0,E59/E80)</f>
        <v>86084.674350040194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19607.917588495573</v>
      </c>
      <c r="D87" s="752">
        <f>IF(D80=0,0,D60/D80)</f>
        <v>20061.595162683559</v>
      </c>
      <c r="E87" s="752">
        <f>IF(E80=0,0,E60/E80)</f>
        <v>18672.409541677833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103768.37112831858</v>
      </c>
      <c r="D88" s="755">
        <f>+D86+D87</f>
        <v>103438.52289087244</v>
      </c>
      <c r="E88" s="755">
        <f>+E86+E87</f>
        <v>104757.08389171802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58801.697761194031</v>
      </c>
      <c r="D91" s="744">
        <f>IF(D81=0,0,D64/D81)</f>
        <v>58630</v>
      </c>
      <c r="E91" s="744">
        <f>IF(E81=0,0,E64/E81)</f>
        <v>67714.205933682373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19604.197761194031</v>
      </c>
      <c r="D92" s="744">
        <f>IF(D81=0,0,D65/D81)</f>
        <v>20049.483065953653</v>
      </c>
      <c r="E92" s="744">
        <f>IF(E81=0,0,E65/E81)</f>
        <v>18679.179755671903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78405.895522388062</v>
      </c>
      <c r="D93" s="757">
        <f>+D91+D92</f>
        <v>78679.483065953653</v>
      </c>
      <c r="E93" s="757">
        <f>+E91+E92</f>
        <v>86393.385689354269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54271.027659574465</v>
      </c>
      <c r="D96" s="752">
        <f>IF(D82=0,0,D69/D82)</f>
        <v>54539.083841143103</v>
      </c>
      <c r="E96" s="752">
        <f>IF(E82=0,0,E69/E82)</f>
        <v>55764.561581920905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19607.723404255321</v>
      </c>
      <c r="D97" s="752">
        <f>IF(D82=0,0,D70/D82)</f>
        <v>20063.933599495693</v>
      </c>
      <c r="E97" s="752">
        <f>IF(E82=0,0,E70/E82)</f>
        <v>18671.942372881356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73878.751063829783</v>
      </c>
      <c r="D98" s="757">
        <f>+D96+D97</f>
        <v>74603.017440638796</v>
      </c>
      <c r="E98" s="757">
        <f>+E96+E97</f>
        <v>74436.503954802261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62425.440525383703</v>
      </c>
      <c r="D101" s="744">
        <f>IF(D83=0,0,D75/D83)</f>
        <v>62098.767709563159</v>
      </c>
      <c r="E101" s="744">
        <f>IF(E83=0,0,E75/E83)</f>
        <v>64885.094267903296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19607.63577331759</v>
      </c>
      <c r="D102" s="761">
        <f>IF(D83=0,0,D76/D83)</f>
        <v>20062.736127508855</v>
      </c>
      <c r="E102" s="761">
        <f>IF(E83=0,0,E76/E83)</f>
        <v>18672.390147483653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82033.076298701286</v>
      </c>
      <c r="D103" s="757">
        <f>+D101+D102</f>
        <v>82161.503837072014</v>
      </c>
      <c r="E103" s="757">
        <f>+E101+E102</f>
        <v>83557.484415386949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2156.3198269842501</v>
      </c>
      <c r="D108" s="744">
        <f>IF(D19=0,0,D77/D19)</f>
        <v>2148.1540717303646</v>
      </c>
      <c r="E108" s="744">
        <f>IF(E19=0,0,E77/E19)</f>
        <v>2158.3441010132747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9204.4398907103823</v>
      </c>
      <c r="D109" s="744">
        <f>IF(D20=0,0,D77/D20)</f>
        <v>9493.1596896581123</v>
      </c>
      <c r="E109" s="744">
        <f>IF(E20=0,0,E77/E20)</f>
        <v>9440.947861192235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936.66173663135987</v>
      </c>
      <c r="D110" s="744">
        <f>IF(D22=0,0,D77/D22)</f>
        <v>942.64104305120759</v>
      </c>
      <c r="E110" s="744">
        <f>IF(E22=0,0,E77/E22)</f>
        <v>923.86131640274129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3998.2225942843506</v>
      </c>
      <c r="D111" s="744">
        <f>IF(D23=0,0,D77/D23)</f>
        <v>4165.7356283121526</v>
      </c>
      <c r="E111" s="744">
        <f>IF(E23=0,0,E77/E23)</f>
        <v>4041.119539296787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730.73575450524527</v>
      </c>
      <c r="D112" s="744">
        <f>IF(D29=0,0,D77/D29)</f>
        <v>734.96183569695825</v>
      </c>
      <c r="E112" s="744">
        <f>IF(E29=0,0,E77/E29)</f>
        <v>693.47069026576673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3119.2095180719016</v>
      </c>
      <c r="D113" s="744">
        <f>IF(D30=0,0,D77/D30)</f>
        <v>3247.9560772171908</v>
      </c>
      <c r="E113" s="744">
        <f>IF(E30=0,0,E77/E30)</f>
        <v>3033.3534986337313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FILING&amp;R&amp;"Arial,Bold"&amp;12SAINT MARY`S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B41" sqref="B4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601586237</v>
      </c>
      <c r="D12" s="76">
        <v>663968691</v>
      </c>
      <c r="E12" s="76">
        <f t="shared" ref="E12:E21" si="0">D12-C12</f>
        <v>62382454</v>
      </c>
      <c r="F12" s="77">
        <f t="shared" ref="F12:F21" si="1">IF(C12=0,0,E12/C12)</f>
        <v>0.10369661099810035</v>
      </c>
    </row>
    <row r="13" spans="1:8" ht="23.1" customHeight="1" x14ac:dyDescent="0.2">
      <c r="A13" s="74">
        <v>2</v>
      </c>
      <c r="B13" s="75" t="s">
        <v>72</v>
      </c>
      <c r="C13" s="76">
        <v>361777195</v>
      </c>
      <c r="D13" s="76">
        <v>414266908</v>
      </c>
      <c r="E13" s="76">
        <f t="shared" si="0"/>
        <v>52489713</v>
      </c>
      <c r="F13" s="77">
        <f t="shared" si="1"/>
        <v>0.14508850675344531</v>
      </c>
    </row>
    <row r="14" spans="1:8" ht="23.1" customHeight="1" x14ac:dyDescent="0.2">
      <c r="A14" s="74">
        <v>3</v>
      </c>
      <c r="B14" s="75" t="s">
        <v>73</v>
      </c>
      <c r="C14" s="76">
        <v>248631</v>
      </c>
      <c r="D14" s="76">
        <v>894442</v>
      </c>
      <c r="E14" s="76">
        <f t="shared" si="0"/>
        <v>645811</v>
      </c>
      <c r="F14" s="77">
        <f t="shared" si="1"/>
        <v>2.5974677333075924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239560411</v>
      </c>
      <c r="D16" s="79">
        <f>D12-D13-D14-D15</f>
        <v>248807341</v>
      </c>
      <c r="E16" s="79">
        <f t="shared" si="0"/>
        <v>9246930</v>
      </c>
      <c r="F16" s="80">
        <f t="shared" si="1"/>
        <v>3.8599574785334628E-2</v>
      </c>
    </row>
    <row r="17" spans="1:7" ht="23.1" customHeight="1" x14ac:dyDescent="0.2">
      <c r="A17" s="74">
        <v>5</v>
      </c>
      <c r="B17" s="75" t="s">
        <v>76</v>
      </c>
      <c r="C17" s="76">
        <v>12069248</v>
      </c>
      <c r="D17" s="76">
        <v>10078145</v>
      </c>
      <c r="E17" s="76">
        <f t="shared" si="0"/>
        <v>-1991103</v>
      </c>
      <c r="F17" s="77">
        <f t="shared" si="1"/>
        <v>-0.16497324439766256</v>
      </c>
      <c r="G17" s="65"/>
    </row>
    <row r="18" spans="1:7" ht="31.5" customHeight="1" x14ac:dyDescent="0.25">
      <c r="A18" s="71"/>
      <c r="B18" s="81" t="s">
        <v>77</v>
      </c>
      <c r="C18" s="79">
        <f>C16-C17</f>
        <v>227491163</v>
      </c>
      <c r="D18" s="79">
        <f>D16-D17</f>
        <v>238729196</v>
      </c>
      <c r="E18" s="79">
        <f t="shared" si="0"/>
        <v>11238033</v>
      </c>
      <c r="F18" s="80">
        <f t="shared" si="1"/>
        <v>4.939986613897613E-2</v>
      </c>
    </row>
    <row r="19" spans="1:7" ht="23.1" customHeight="1" x14ac:dyDescent="0.2">
      <c r="A19" s="74">
        <v>6</v>
      </c>
      <c r="B19" s="75" t="s">
        <v>78</v>
      </c>
      <c r="C19" s="76">
        <v>5912911</v>
      </c>
      <c r="D19" s="76">
        <v>8705634</v>
      </c>
      <c r="E19" s="76">
        <f t="shared" si="0"/>
        <v>2792723</v>
      </c>
      <c r="F19" s="77">
        <f t="shared" si="1"/>
        <v>0.47230932445964435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233404074</v>
      </c>
      <c r="D21" s="79">
        <f>SUM(D18:D20)</f>
        <v>247434830</v>
      </c>
      <c r="E21" s="79">
        <f t="shared" si="0"/>
        <v>14030756</v>
      </c>
      <c r="F21" s="80">
        <f t="shared" si="1"/>
        <v>6.0113586534911979E-2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84156250</v>
      </c>
      <c r="D24" s="76">
        <v>85349853</v>
      </c>
      <c r="E24" s="76">
        <f t="shared" ref="E24:E33" si="2">D24-C24</f>
        <v>1193603</v>
      </c>
      <c r="F24" s="77">
        <f t="shared" ref="F24:F33" si="3">IF(C24=0,0,E24/C24)</f>
        <v>1.4183177125881916E-2</v>
      </c>
    </row>
    <row r="25" spans="1:7" ht="23.1" customHeight="1" x14ac:dyDescent="0.2">
      <c r="A25" s="74">
        <v>2</v>
      </c>
      <c r="B25" s="75" t="s">
        <v>83</v>
      </c>
      <c r="C25" s="76">
        <v>27189020</v>
      </c>
      <c r="D25" s="76">
        <v>24561662</v>
      </c>
      <c r="E25" s="76">
        <f t="shared" si="2"/>
        <v>-2627358</v>
      </c>
      <c r="F25" s="77">
        <f t="shared" si="3"/>
        <v>-9.6633052607265721E-2</v>
      </c>
    </row>
    <row r="26" spans="1:7" ht="23.1" customHeight="1" x14ac:dyDescent="0.2">
      <c r="A26" s="74">
        <v>3</v>
      </c>
      <c r="B26" s="75" t="s">
        <v>84</v>
      </c>
      <c r="C26" s="76">
        <v>5267664</v>
      </c>
      <c r="D26" s="76">
        <v>5874170</v>
      </c>
      <c r="E26" s="76">
        <f t="shared" si="2"/>
        <v>606506</v>
      </c>
      <c r="F26" s="77">
        <f t="shared" si="3"/>
        <v>0.11513756382335699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33669967</v>
      </c>
      <c r="D27" s="76">
        <v>35048979</v>
      </c>
      <c r="E27" s="76">
        <f t="shared" si="2"/>
        <v>1379012</v>
      </c>
      <c r="F27" s="77">
        <f t="shared" si="3"/>
        <v>4.0956737498435918E-2</v>
      </c>
    </row>
    <row r="28" spans="1:7" ht="23.1" customHeight="1" x14ac:dyDescent="0.2">
      <c r="A28" s="74">
        <v>5</v>
      </c>
      <c r="B28" s="75" t="s">
        <v>86</v>
      </c>
      <c r="C28" s="76">
        <v>9245153</v>
      </c>
      <c r="D28" s="76">
        <v>9939122</v>
      </c>
      <c r="E28" s="76">
        <f t="shared" si="2"/>
        <v>693969</v>
      </c>
      <c r="F28" s="77">
        <f t="shared" si="3"/>
        <v>7.5063008692230399E-2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1471201</v>
      </c>
      <c r="D30" s="76">
        <v>1353274</v>
      </c>
      <c r="E30" s="76">
        <f t="shared" si="2"/>
        <v>-117927</v>
      </c>
      <c r="F30" s="77">
        <f t="shared" si="3"/>
        <v>-8.015696019782477E-2</v>
      </c>
    </row>
    <row r="31" spans="1:7" ht="23.1" customHeight="1" x14ac:dyDescent="0.2">
      <c r="A31" s="74">
        <v>8</v>
      </c>
      <c r="B31" s="75" t="s">
        <v>89</v>
      </c>
      <c r="C31" s="76">
        <v>12792515</v>
      </c>
      <c r="D31" s="76">
        <v>5454971</v>
      </c>
      <c r="E31" s="76">
        <f t="shared" si="2"/>
        <v>-7337544</v>
      </c>
      <c r="F31" s="77">
        <f t="shared" si="3"/>
        <v>-0.57358103547269634</v>
      </c>
    </row>
    <row r="32" spans="1:7" ht="23.1" customHeight="1" x14ac:dyDescent="0.2">
      <c r="A32" s="74">
        <v>9</v>
      </c>
      <c r="B32" s="75" t="s">
        <v>90</v>
      </c>
      <c r="C32" s="76">
        <v>48123607</v>
      </c>
      <c r="D32" s="76">
        <v>59644707</v>
      </c>
      <c r="E32" s="76">
        <f t="shared" si="2"/>
        <v>11521100</v>
      </c>
      <c r="F32" s="77">
        <f t="shared" si="3"/>
        <v>0.2394064102468462</v>
      </c>
    </row>
    <row r="33" spans="1:6" ht="23.1" customHeight="1" x14ac:dyDescent="0.25">
      <c r="A33" s="71"/>
      <c r="B33" s="78" t="s">
        <v>91</v>
      </c>
      <c r="C33" s="79">
        <f>SUM(C24:C32)</f>
        <v>221915377</v>
      </c>
      <c r="D33" s="79">
        <f>SUM(D24:D32)</f>
        <v>227226738</v>
      </c>
      <c r="E33" s="79">
        <f t="shared" si="2"/>
        <v>5311361</v>
      </c>
      <c r="F33" s="80">
        <f t="shared" si="3"/>
        <v>2.3934172889695696E-2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11488697</v>
      </c>
      <c r="D35" s="79">
        <f>+D21-D33</f>
        <v>20208092</v>
      </c>
      <c r="E35" s="79">
        <f>D35-C35</f>
        <v>8719395</v>
      </c>
      <c r="F35" s="80">
        <f>IF(C35=0,0,E35/C35)</f>
        <v>0.75895421386776929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1458556</v>
      </c>
      <c r="D38" s="76">
        <v>2278869</v>
      </c>
      <c r="E38" s="76">
        <f>D38-C38</f>
        <v>820313</v>
      </c>
      <c r="F38" s="77">
        <f>IF(C38=0,0,E38/C38)</f>
        <v>0.56241447020203539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5489277</v>
      </c>
      <c r="D40" s="76">
        <v>2737853</v>
      </c>
      <c r="E40" s="76">
        <f>D40-C40</f>
        <v>-2751424</v>
      </c>
      <c r="F40" s="77">
        <f>IF(C40=0,0,E40/C40)</f>
        <v>-0.50123613729094019</v>
      </c>
    </row>
    <row r="41" spans="1:6" ht="23.1" customHeight="1" x14ac:dyDescent="0.25">
      <c r="A41" s="83"/>
      <c r="B41" s="78" t="s">
        <v>97</v>
      </c>
      <c r="C41" s="79">
        <f>SUM(C38:C40)</f>
        <v>6947833</v>
      </c>
      <c r="D41" s="79">
        <f>SUM(D38:D40)</f>
        <v>5016722</v>
      </c>
      <c r="E41" s="79">
        <f>D41-C41</f>
        <v>-1931111</v>
      </c>
      <c r="F41" s="80">
        <f>IF(C41=0,0,E41/C41)</f>
        <v>-0.27794436049340854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18436530</v>
      </c>
      <c r="D43" s="79">
        <f>D35+D41</f>
        <v>25224814</v>
      </c>
      <c r="E43" s="79">
        <f>D43-C43</f>
        <v>6788284</v>
      </c>
      <c r="F43" s="80">
        <f>IF(C43=0,0,E43/C43)</f>
        <v>0.36819748618639192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18436530</v>
      </c>
      <c r="D50" s="79">
        <f>D43+D48</f>
        <v>25224814</v>
      </c>
      <c r="E50" s="79">
        <f>D50-C50</f>
        <v>6788284</v>
      </c>
      <c r="F50" s="80">
        <f>IF(C50=0,0,E50/C50)</f>
        <v>0.36819748618639192</v>
      </c>
    </row>
    <row r="51" spans="1:6" ht="23.1" customHeight="1" x14ac:dyDescent="0.2">
      <c r="A51" s="85"/>
      <c r="B51" s="75" t="s">
        <v>104</v>
      </c>
      <c r="C51" s="76">
        <v>1705000</v>
      </c>
      <c r="D51" s="76">
        <v>2490000</v>
      </c>
      <c r="E51" s="76">
        <f>D51-C51</f>
        <v>785000</v>
      </c>
      <c r="F51" s="77">
        <f>IF(C51=0,0,E51/C51)</f>
        <v>0.46041055718475071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FILING&amp;RSAINT MARY`S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108805169</v>
      </c>
      <c r="D14" s="113">
        <v>111791162</v>
      </c>
      <c r="E14" s="113">
        <f t="shared" ref="E14:E25" si="0">D14-C14</f>
        <v>2985993</v>
      </c>
      <c r="F14" s="114">
        <f t="shared" ref="F14:F25" si="1">IF(C14=0,0,E14/C14)</f>
        <v>2.744348478517597E-2</v>
      </c>
    </row>
    <row r="15" spans="1:6" x14ac:dyDescent="0.2">
      <c r="A15" s="115">
        <v>2</v>
      </c>
      <c r="B15" s="116" t="s">
        <v>114</v>
      </c>
      <c r="C15" s="113">
        <v>28022912</v>
      </c>
      <c r="D15" s="113">
        <v>36492895</v>
      </c>
      <c r="E15" s="113">
        <f t="shared" si="0"/>
        <v>8469983</v>
      </c>
      <c r="F15" s="114">
        <f t="shared" si="1"/>
        <v>0.30225206431080398</v>
      </c>
    </row>
    <row r="16" spans="1:6" x14ac:dyDescent="0.2">
      <c r="A16" s="115">
        <v>3</v>
      </c>
      <c r="B16" s="116" t="s">
        <v>115</v>
      </c>
      <c r="C16" s="113">
        <v>55012283</v>
      </c>
      <c r="D16" s="113">
        <v>59517687</v>
      </c>
      <c r="E16" s="113">
        <f t="shared" si="0"/>
        <v>4505404</v>
      </c>
      <c r="F16" s="114">
        <f t="shared" si="1"/>
        <v>8.1898146273987574E-2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337073</v>
      </c>
      <c r="D18" s="113">
        <v>208043</v>
      </c>
      <c r="E18" s="113">
        <f t="shared" si="0"/>
        <v>-129030</v>
      </c>
      <c r="F18" s="114">
        <f t="shared" si="1"/>
        <v>-0.38279541820317853</v>
      </c>
    </row>
    <row r="19" spans="1:6" x14ac:dyDescent="0.2">
      <c r="A19" s="115">
        <v>6</v>
      </c>
      <c r="B19" s="116" t="s">
        <v>118</v>
      </c>
      <c r="C19" s="113">
        <v>3705002</v>
      </c>
      <c r="D19" s="113">
        <v>5032812</v>
      </c>
      <c r="E19" s="113">
        <f t="shared" si="0"/>
        <v>1327810</v>
      </c>
      <c r="F19" s="114">
        <f t="shared" si="1"/>
        <v>0.35838307239780165</v>
      </c>
    </row>
    <row r="20" spans="1:6" x14ac:dyDescent="0.2">
      <c r="A20" s="115">
        <v>7</v>
      </c>
      <c r="B20" s="116" t="s">
        <v>119</v>
      </c>
      <c r="C20" s="113">
        <v>58361829</v>
      </c>
      <c r="D20" s="113">
        <v>60500230</v>
      </c>
      <c r="E20" s="113">
        <f t="shared" si="0"/>
        <v>2138401</v>
      </c>
      <c r="F20" s="114">
        <f t="shared" si="1"/>
        <v>3.6640404124414952E-2</v>
      </c>
    </row>
    <row r="21" spans="1:6" x14ac:dyDescent="0.2">
      <c r="A21" s="115">
        <v>8</v>
      </c>
      <c r="B21" s="116" t="s">
        <v>120</v>
      </c>
      <c r="C21" s="113">
        <v>6643342</v>
      </c>
      <c r="D21" s="113">
        <v>8882210</v>
      </c>
      <c r="E21" s="113">
        <f t="shared" si="0"/>
        <v>2238868</v>
      </c>
      <c r="F21" s="114">
        <f t="shared" si="1"/>
        <v>0.33700929441838157</v>
      </c>
    </row>
    <row r="22" spans="1:6" x14ac:dyDescent="0.2">
      <c r="A22" s="115">
        <v>9</v>
      </c>
      <c r="B22" s="116" t="s">
        <v>121</v>
      </c>
      <c r="C22" s="113">
        <v>1787877</v>
      </c>
      <c r="D22" s="113">
        <v>1781260</v>
      </c>
      <c r="E22" s="113">
        <f t="shared" si="0"/>
        <v>-6617</v>
      </c>
      <c r="F22" s="114">
        <f t="shared" si="1"/>
        <v>-3.7010375993426839E-3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262675487</v>
      </c>
      <c r="D25" s="119">
        <f>SUM(D14:D24)</f>
        <v>284206299</v>
      </c>
      <c r="E25" s="119">
        <f t="shared" si="0"/>
        <v>21530812</v>
      </c>
      <c r="F25" s="120">
        <f t="shared" si="1"/>
        <v>8.1967343987450189E-2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69983080</v>
      </c>
      <c r="D27" s="113">
        <v>79866534</v>
      </c>
      <c r="E27" s="113">
        <f t="shared" ref="E27:E38" si="2">D27-C27</f>
        <v>9883454</v>
      </c>
      <c r="F27" s="114">
        <f t="shared" ref="F27:F38" si="3">IF(C27=0,0,E27/C27)</f>
        <v>0.14122633642303253</v>
      </c>
    </row>
    <row r="28" spans="1:6" x14ac:dyDescent="0.2">
      <c r="A28" s="115">
        <v>2</v>
      </c>
      <c r="B28" s="116" t="s">
        <v>114</v>
      </c>
      <c r="C28" s="113">
        <v>23372808</v>
      </c>
      <c r="D28" s="113">
        <v>28710091</v>
      </c>
      <c r="E28" s="113">
        <f t="shared" si="2"/>
        <v>5337283</v>
      </c>
      <c r="F28" s="114">
        <f t="shared" si="3"/>
        <v>0.22835437659009564</v>
      </c>
    </row>
    <row r="29" spans="1:6" x14ac:dyDescent="0.2">
      <c r="A29" s="115">
        <v>3</v>
      </c>
      <c r="B29" s="116" t="s">
        <v>115</v>
      </c>
      <c r="C29" s="113">
        <v>101301392</v>
      </c>
      <c r="D29" s="113">
        <v>119782447</v>
      </c>
      <c r="E29" s="113">
        <f t="shared" si="2"/>
        <v>18481055</v>
      </c>
      <c r="F29" s="114">
        <f t="shared" si="3"/>
        <v>0.18243633809099088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640166</v>
      </c>
      <c r="D31" s="113">
        <v>763864</v>
      </c>
      <c r="E31" s="113">
        <f t="shared" si="2"/>
        <v>123698</v>
      </c>
      <c r="F31" s="114">
        <f t="shared" si="3"/>
        <v>0.19322800648581775</v>
      </c>
    </row>
    <row r="32" spans="1:6" x14ac:dyDescent="0.2">
      <c r="A32" s="115">
        <v>6</v>
      </c>
      <c r="B32" s="116" t="s">
        <v>118</v>
      </c>
      <c r="C32" s="113">
        <v>8217427</v>
      </c>
      <c r="D32" s="113">
        <v>8197065</v>
      </c>
      <c r="E32" s="113">
        <f t="shared" si="2"/>
        <v>-20362</v>
      </c>
      <c r="F32" s="114">
        <f t="shared" si="3"/>
        <v>-2.4779045801076177E-3</v>
      </c>
    </row>
    <row r="33" spans="1:6" x14ac:dyDescent="0.2">
      <c r="A33" s="115">
        <v>7</v>
      </c>
      <c r="B33" s="116" t="s">
        <v>119</v>
      </c>
      <c r="C33" s="113">
        <v>113199265</v>
      </c>
      <c r="D33" s="113">
        <v>124128265</v>
      </c>
      <c r="E33" s="113">
        <f t="shared" si="2"/>
        <v>10929000</v>
      </c>
      <c r="F33" s="114">
        <f t="shared" si="3"/>
        <v>9.6546563266113078E-2</v>
      </c>
    </row>
    <row r="34" spans="1:6" x14ac:dyDescent="0.2">
      <c r="A34" s="115">
        <v>8</v>
      </c>
      <c r="B34" s="116" t="s">
        <v>120</v>
      </c>
      <c r="C34" s="113">
        <v>8436725</v>
      </c>
      <c r="D34" s="113">
        <v>8717963</v>
      </c>
      <c r="E34" s="113">
        <f t="shared" si="2"/>
        <v>281238</v>
      </c>
      <c r="F34" s="114">
        <f t="shared" si="3"/>
        <v>3.3334972990111685E-2</v>
      </c>
    </row>
    <row r="35" spans="1:6" x14ac:dyDescent="0.2">
      <c r="A35" s="115">
        <v>9</v>
      </c>
      <c r="B35" s="116" t="s">
        <v>121</v>
      </c>
      <c r="C35" s="113">
        <v>10776290</v>
      </c>
      <c r="D35" s="113">
        <v>9596163</v>
      </c>
      <c r="E35" s="113">
        <f t="shared" si="2"/>
        <v>-1180127</v>
      </c>
      <c r="F35" s="114">
        <f t="shared" si="3"/>
        <v>-0.10951143668182649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335927153</v>
      </c>
      <c r="D38" s="119">
        <f>SUM(D27:D37)</f>
        <v>379762392</v>
      </c>
      <c r="E38" s="119">
        <f t="shared" si="2"/>
        <v>43835239</v>
      </c>
      <c r="F38" s="120">
        <f t="shared" si="3"/>
        <v>0.13049031198737304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178788249</v>
      </c>
      <c r="D41" s="119">
        <f t="shared" si="4"/>
        <v>191657696</v>
      </c>
      <c r="E41" s="123">
        <f t="shared" ref="E41:E52" si="5">D41-C41</f>
        <v>12869447</v>
      </c>
      <c r="F41" s="124">
        <f t="shared" ref="F41:F52" si="6">IF(C41=0,0,E41/C41)</f>
        <v>7.198150366135081E-2</v>
      </c>
    </row>
    <row r="42" spans="1:6" ht="15.75" x14ac:dyDescent="0.25">
      <c r="A42" s="121">
        <v>2</v>
      </c>
      <c r="B42" s="122" t="s">
        <v>114</v>
      </c>
      <c r="C42" s="119">
        <f t="shared" si="4"/>
        <v>51395720</v>
      </c>
      <c r="D42" s="119">
        <f t="shared" si="4"/>
        <v>65202986</v>
      </c>
      <c r="E42" s="123">
        <f t="shared" si="5"/>
        <v>13807266</v>
      </c>
      <c r="F42" s="124">
        <f t="shared" si="6"/>
        <v>0.26864622190330245</v>
      </c>
    </row>
    <row r="43" spans="1:6" ht="15.75" x14ac:dyDescent="0.25">
      <c r="A43" s="121">
        <v>3</v>
      </c>
      <c r="B43" s="122" t="s">
        <v>115</v>
      </c>
      <c r="C43" s="119">
        <f t="shared" si="4"/>
        <v>156313675</v>
      </c>
      <c r="D43" s="119">
        <f t="shared" si="4"/>
        <v>179300134</v>
      </c>
      <c r="E43" s="123">
        <f t="shared" si="5"/>
        <v>22986459</v>
      </c>
      <c r="F43" s="124">
        <f t="shared" si="6"/>
        <v>0.14705341039419614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977239</v>
      </c>
      <c r="D45" s="119">
        <f t="shared" si="4"/>
        <v>971907</v>
      </c>
      <c r="E45" s="123">
        <f t="shared" si="5"/>
        <v>-5332</v>
      </c>
      <c r="F45" s="124">
        <f t="shared" si="6"/>
        <v>-5.4561883019404673E-3</v>
      </c>
    </row>
    <row r="46" spans="1:6" ht="15.75" x14ac:dyDescent="0.25">
      <c r="A46" s="121">
        <v>6</v>
      </c>
      <c r="B46" s="122" t="s">
        <v>118</v>
      </c>
      <c r="C46" s="119">
        <f t="shared" si="4"/>
        <v>11922429</v>
      </c>
      <c r="D46" s="119">
        <f t="shared" si="4"/>
        <v>13229877</v>
      </c>
      <c r="E46" s="123">
        <f t="shared" si="5"/>
        <v>1307448</v>
      </c>
      <c r="F46" s="124">
        <f t="shared" si="6"/>
        <v>0.10966288832586045</v>
      </c>
    </row>
    <row r="47" spans="1:6" ht="15.75" x14ac:dyDescent="0.25">
      <c r="A47" s="121">
        <v>7</v>
      </c>
      <c r="B47" s="122" t="s">
        <v>119</v>
      </c>
      <c r="C47" s="119">
        <f t="shared" si="4"/>
        <v>171561094</v>
      </c>
      <c r="D47" s="119">
        <f t="shared" si="4"/>
        <v>184628495</v>
      </c>
      <c r="E47" s="123">
        <f t="shared" si="5"/>
        <v>13067401</v>
      </c>
      <c r="F47" s="124">
        <f t="shared" si="6"/>
        <v>7.616762457809928E-2</v>
      </c>
    </row>
    <row r="48" spans="1:6" ht="15.75" x14ac:dyDescent="0.25">
      <c r="A48" s="121">
        <v>8</v>
      </c>
      <c r="B48" s="122" t="s">
        <v>120</v>
      </c>
      <c r="C48" s="119">
        <f t="shared" si="4"/>
        <v>15080067</v>
      </c>
      <c r="D48" s="119">
        <f t="shared" si="4"/>
        <v>17600173</v>
      </c>
      <c r="E48" s="123">
        <f t="shared" si="5"/>
        <v>2520106</v>
      </c>
      <c r="F48" s="124">
        <f t="shared" si="6"/>
        <v>0.16711504000612198</v>
      </c>
    </row>
    <row r="49" spans="1:6" ht="15.75" x14ac:dyDescent="0.25">
      <c r="A49" s="121">
        <v>9</v>
      </c>
      <c r="B49" s="122" t="s">
        <v>121</v>
      </c>
      <c r="C49" s="119">
        <f t="shared" si="4"/>
        <v>12564167</v>
      </c>
      <c r="D49" s="119">
        <f t="shared" si="4"/>
        <v>11377423</v>
      </c>
      <c r="E49" s="123">
        <f t="shared" si="5"/>
        <v>-1186744</v>
      </c>
      <c r="F49" s="124">
        <f t="shared" si="6"/>
        <v>-9.4454650276456845E-2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598602640</v>
      </c>
      <c r="D52" s="128">
        <f>SUM(D41:D51)</f>
        <v>663968691</v>
      </c>
      <c r="E52" s="127">
        <f t="shared" si="5"/>
        <v>65366051</v>
      </c>
      <c r="F52" s="129">
        <f t="shared" si="6"/>
        <v>0.10919773257264619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52163319</v>
      </c>
      <c r="D57" s="113">
        <v>53016836</v>
      </c>
      <c r="E57" s="113">
        <f t="shared" ref="E57:E68" si="7">D57-C57</f>
        <v>853517</v>
      </c>
      <c r="F57" s="114">
        <f t="shared" ref="F57:F68" si="8">IF(C57=0,0,E57/C57)</f>
        <v>1.6362398259205862E-2</v>
      </c>
    </row>
    <row r="58" spans="1:6" x14ac:dyDescent="0.2">
      <c r="A58" s="115">
        <v>2</v>
      </c>
      <c r="B58" s="116" t="s">
        <v>114</v>
      </c>
      <c r="C58" s="113">
        <v>11275060</v>
      </c>
      <c r="D58" s="113">
        <v>13917242</v>
      </c>
      <c r="E58" s="113">
        <f t="shared" si="7"/>
        <v>2642182</v>
      </c>
      <c r="F58" s="114">
        <f t="shared" si="8"/>
        <v>0.23433861992752145</v>
      </c>
    </row>
    <row r="59" spans="1:6" x14ac:dyDescent="0.2">
      <c r="A59" s="115">
        <v>3</v>
      </c>
      <c r="B59" s="116" t="s">
        <v>115</v>
      </c>
      <c r="C59" s="113">
        <v>21678280</v>
      </c>
      <c r="D59" s="113">
        <v>21911696</v>
      </c>
      <c r="E59" s="113">
        <f t="shared" si="7"/>
        <v>233416</v>
      </c>
      <c r="F59" s="114">
        <f t="shared" si="8"/>
        <v>1.07672748945027E-2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96721</v>
      </c>
      <c r="D61" s="113">
        <v>62761</v>
      </c>
      <c r="E61" s="113">
        <f t="shared" si="7"/>
        <v>-33960</v>
      </c>
      <c r="F61" s="114">
        <f t="shared" si="8"/>
        <v>-0.35111299510964528</v>
      </c>
    </row>
    <row r="62" spans="1:6" x14ac:dyDescent="0.2">
      <c r="A62" s="115">
        <v>6</v>
      </c>
      <c r="B62" s="116" t="s">
        <v>118</v>
      </c>
      <c r="C62" s="113">
        <v>1423361</v>
      </c>
      <c r="D62" s="113">
        <v>1866397</v>
      </c>
      <c r="E62" s="113">
        <f t="shared" si="7"/>
        <v>443036</v>
      </c>
      <c r="F62" s="114">
        <f t="shared" si="8"/>
        <v>0.31126046027676746</v>
      </c>
    </row>
    <row r="63" spans="1:6" x14ac:dyDescent="0.2">
      <c r="A63" s="115">
        <v>7</v>
      </c>
      <c r="B63" s="116" t="s">
        <v>119</v>
      </c>
      <c r="C63" s="113">
        <v>27920990</v>
      </c>
      <c r="D63" s="113">
        <v>31579300</v>
      </c>
      <c r="E63" s="113">
        <f t="shared" si="7"/>
        <v>3658310</v>
      </c>
      <c r="F63" s="114">
        <f t="shared" si="8"/>
        <v>0.13102364923306803</v>
      </c>
    </row>
    <row r="64" spans="1:6" x14ac:dyDescent="0.2">
      <c r="A64" s="115">
        <v>8</v>
      </c>
      <c r="B64" s="116" t="s">
        <v>120</v>
      </c>
      <c r="C64" s="113">
        <v>4919579</v>
      </c>
      <c r="D64" s="113">
        <v>5123319</v>
      </c>
      <c r="E64" s="113">
        <f t="shared" si="7"/>
        <v>203740</v>
      </c>
      <c r="F64" s="114">
        <f t="shared" si="8"/>
        <v>4.1414112874292697E-2</v>
      </c>
    </row>
    <row r="65" spans="1:6" x14ac:dyDescent="0.2">
      <c r="A65" s="115">
        <v>9</v>
      </c>
      <c r="B65" s="116" t="s">
        <v>121</v>
      </c>
      <c r="C65" s="113">
        <v>37435</v>
      </c>
      <c r="D65" s="113">
        <v>21594</v>
      </c>
      <c r="E65" s="113">
        <f t="shared" si="7"/>
        <v>-15841</v>
      </c>
      <c r="F65" s="114">
        <f t="shared" si="8"/>
        <v>-0.4231601442500334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119514745</v>
      </c>
      <c r="D68" s="119">
        <f>SUM(D57:D67)</f>
        <v>127499145</v>
      </c>
      <c r="E68" s="119">
        <f t="shared" si="7"/>
        <v>7984400</v>
      </c>
      <c r="F68" s="120">
        <f t="shared" si="8"/>
        <v>6.6806819526745428E-2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14461873</v>
      </c>
      <c r="D70" s="113">
        <v>17129561</v>
      </c>
      <c r="E70" s="113">
        <f t="shared" ref="E70:E81" si="9">D70-C70</f>
        <v>2667688</v>
      </c>
      <c r="F70" s="114">
        <f t="shared" ref="F70:F81" si="10">IF(C70=0,0,E70/C70)</f>
        <v>0.18446352004335814</v>
      </c>
    </row>
    <row r="71" spans="1:6" x14ac:dyDescent="0.2">
      <c r="A71" s="115">
        <v>2</v>
      </c>
      <c r="B71" s="116" t="s">
        <v>114</v>
      </c>
      <c r="C71" s="113">
        <v>5230426</v>
      </c>
      <c r="D71" s="113">
        <v>5955623</v>
      </c>
      <c r="E71" s="113">
        <f t="shared" si="9"/>
        <v>725197</v>
      </c>
      <c r="F71" s="114">
        <f t="shared" si="10"/>
        <v>0.13864970080830893</v>
      </c>
    </row>
    <row r="72" spans="1:6" x14ac:dyDescent="0.2">
      <c r="A72" s="115">
        <v>3</v>
      </c>
      <c r="B72" s="116" t="s">
        <v>115</v>
      </c>
      <c r="C72" s="113">
        <v>26414789</v>
      </c>
      <c r="D72" s="113">
        <v>28101645</v>
      </c>
      <c r="E72" s="113">
        <f t="shared" si="9"/>
        <v>1686856</v>
      </c>
      <c r="F72" s="114">
        <f t="shared" si="10"/>
        <v>6.3860286750728926E-2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157105</v>
      </c>
      <c r="D74" s="113">
        <v>163459</v>
      </c>
      <c r="E74" s="113">
        <f t="shared" si="9"/>
        <v>6354</v>
      </c>
      <c r="F74" s="114">
        <f t="shared" si="10"/>
        <v>4.0444288851405108E-2</v>
      </c>
    </row>
    <row r="75" spans="1:6" x14ac:dyDescent="0.2">
      <c r="A75" s="115">
        <v>6</v>
      </c>
      <c r="B75" s="116" t="s">
        <v>118</v>
      </c>
      <c r="C75" s="113">
        <v>2113427</v>
      </c>
      <c r="D75" s="113">
        <v>2656520</v>
      </c>
      <c r="E75" s="113">
        <f t="shared" si="9"/>
        <v>543093</v>
      </c>
      <c r="F75" s="114">
        <f t="shared" si="10"/>
        <v>0.25697267991749895</v>
      </c>
    </row>
    <row r="76" spans="1:6" x14ac:dyDescent="0.2">
      <c r="A76" s="115">
        <v>7</v>
      </c>
      <c r="B76" s="116" t="s">
        <v>119</v>
      </c>
      <c r="C76" s="113">
        <v>38004442</v>
      </c>
      <c r="D76" s="113">
        <v>41501265</v>
      </c>
      <c r="E76" s="113">
        <f t="shared" si="9"/>
        <v>3496823</v>
      </c>
      <c r="F76" s="114">
        <f t="shared" si="10"/>
        <v>9.2010902304525355E-2</v>
      </c>
    </row>
    <row r="77" spans="1:6" x14ac:dyDescent="0.2">
      <c r="A77" s="115">
        <v>8</v>
      </c>
      <c r="B77" s="116" t="s">
        <v>120</v>
      </c>
      <c r="C77" s="113">
        <v>5485228</v>
      </c>
      <c r="D77" s="113">
        <v>5477881</v>
      </c>
      <c r="E77" s="113">
        <f t="shared" si="9"/>
        <v>-7347</v>
      </c>
      <c r="F77" s="114">
        <f t="shared" si="10"/>
        <v>-1.3394156086128052E-3</v>
      </c>
    </row>
    <row r="78" spans="1:6" x14ac:dyDescent="0.2">
      <c r="A78" s="115">
        <v>9</v>
      </c>
      <c r="B78" s="116" t="s">
        <v>121</v>
      </c>
      <c r="C78" s="113">
        <v>208733</v>
      </c>
      <c r="D78" s="113">
        <v>383242</v>
      </c>
      <c r="E78" s="113">
        <f t="shared" si="9"/>
        <v>174509</v>
      </c>
      <c r="F78" s="114">
        <f t="shared" si="10"/>
        <v>0.83603934212606534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92076023</v>
      </c>
      <c r="D81" s="119">
        <f>SUM(D70:D80)</f>
        <v>101369196</v>
      </c>
      <c r="E81" s="119">
        <f t="shared" si="9"/>
        <v>9293173</v>
      </c>
      <c r="F81" s="120">
        <f t="shared" si="10"/>
        <v>0.10092934834946118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66625192</v>
      </c>
      <c r="D84" s="119">
        <f t="shared" si="11"/>
        <v>70146397</v>
      </c>
      <c r="E84" s="119">
        <f t="shared" ref="E84:E95" si="12">D84-C84</f>
        <v>3521205</v>
      </c>
      <c r="F84" s="120">
        <f t="shared" ref="F84:F95" si="13">IF(C84=0,0,E84/C84)</f>
        <v>5.2850954635898083E-2</v>
      </c>
    </row>
    <row r="85" spans="1:6" ht="15.75" x14ac:dyDescent="0.25">
      <c r="A85" s="130">
        <v>2</v>
      </c>
      <c r="B85" s="122" t="s">
        <v>114</v>
      </c>
      <c r="C85" s="119">
        <f t="shared" si="11"/>
        <v>16505486</v>
      </c>
      <c r="D85" s="119">
        <f t="shared" si="11"/>
        <v>19872865</v>
      </c>
      <c r="E85" s="119">
        <f t="shared" si="12"/>
        <v>3367379</v>
      </c>
      <c r="F85" s="120">
        <f t="shared" si="13"/>
        <v>0.20401574361397173</v>
      </c>
    </row>
    <row r="86" spans="1:6" ht="15.75" x14ac:dyDescent="0.25">
      <c r="A86" s="130">
        <v>3</v>
      </c>
      <c r="B86" s="122" t="s">
        <v>115</v>
      </c>
      <c r="C86" s="119">
        <f t="shared" si="11"/>
        <v>48093069</v>
      </c>
      <c r="D86" s="119">
        <f t="shared" si="11"/>
        <v>50013341</v>
      </c>
      <c r="E86" s="119">
        <f t="shared" si="12"/>
        <v>1920272</v>
      </c>
      <c r="F86" s="120">
        <f t="shared" si="13"/>
        <v>3.9928248288750301E-2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253826</v>
      </c>
      <c r="D88" s="119">
        <f t="shared" si="11"/>
        <v>226220</v>
      </c>
      <c r="E88" s="119">
        <f t="shared" si="12"/>
        <v>-27606</v>
      </c>
      <c r="F88" s="120">
        <f t="shared" si="13"/>
        <v>-0.10875954393954913</v>
      </c>
    </row>
    <row r="89" spans="1:6" ht="15.75" x14ac:dyDescent="0.25">
      <c r="A89" s="130">
        <v>6</v>
      </c>
      <c r="B89" s="122" t="s">
        <v>118</v>
      </c>
      <c r="C89" s="119">
        <f t="shared" si="11"/>
        <v>3536788</v>
      </c>
      <c r="D89" s="119">
        <f t="shared" si="11"/>
        <v>4522917</v>
      </c>
      <c r="E89" s="119">
        <f t="shared" si="12"/>
        <v>986129</v>
      </c>
      <c r="F89" s="120">
        <f t="shared" si="13"/>
        <v>0.27882050040884554</v>
      </c>
    </row>
    <row r="90" spans="1:6" ht="15.75" x14ac:dyDescent="0.25">
      <c r="A90" s="130">
        <v>7</v>
      </c>
      <c r="B90" s="122" t="s">
        <v>119</v>
      </c>
      <c r="C90" s="119">
        <f t="shared" si="11"/>
        <v>65925432</v>
      </c>
      <c r="D90" s="119">
        <f t="shared" si="11"/>
        <v>73080565</v>
      </c>
      <c r="E90" s="119">
        <f t="shared" si="12"/>
        <v>7155133</v>
      </c>
      <c r="F90" s="120">
        <f t="shared" si="13"/>
        <v>0.10853372944146956</v>
      </c>
    </row>
    <row r="91" spans="1:6" ht="15.75" x14ac:dyDescent="0.25">
      <c r="A91" s="130">
        <v>8</v>
      </c>
      <c r="B91" s="122" t="s">
        <v>120</v>
      </c>
      <c r="C91" s="119">
        <f t="shared" si="11"/>
        <v>10404807</v>
      </c>
      <c r="D91" s="119">
        <f t="shared" si="11"/>
        <v>10601200</v>
      </c>
      <c r="E91" s="119">
        <f t="shared" si="12"/>
        <v>196393</v>
      </c>
      <c r="F91" s="120">
        <f t="shared" si="13"/>
        <v>1.8875217964158298E-2</v>
      </c>
    </row>
    <row r="92" spans="1:6" ht="15.75" x14ac:dyDescent="0.25">
      <c r="A92" s="130">
        <v>9</v>
      </c>
      <c r="B92" s="122" t="s">
        <v>121</v>
      </c>
      <c r="C92" s="119">
        <f t="shared" si="11"/>
        <v>246168</v>
      </c>
      <c r="D92" s="119">
        <f t="shared" si="11"/>
        <v>404836</v>
      </c>
      <c r="E92" s="119">
        <f t="shared" si="12"/>
        <v>158668</v>
      </c>
      <c r="F92" s="120">
        <f t="shared" si="13"/>
        <v>0.64455168827792397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211590768</v>
      </c>
      <c r="D95" s="128">
        <f>SUM(D84:D94)</f>
        <v>228868341</v>
      </c>
      <c r="E95" s="128">
        <f t="shared" si="12"/>
        <v>17277573</v>
      </c>
      <c r="F95" s="129">
        <f t="shared" si="13"/>
        <v>8.1655608906339425E-2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4045</v>
      </c>
      <c r="D100" s="133">
        <v>3845</v>
      </c>
      <c r="E100" s="133">
        <f t="shared" ref="E100:E111" si="14">D100-C100</f>
        <v>-200</v>
      </c>
      <c r="F100" s="114">
        <f t="shared" ref="F100:F111" si="15">IF(C100=0,0,E100/C100)</f>
        <v>-4.9443757725587144E-2</v>
      </c>
    </row>
    <row r="101" spans="1:6" x14ac:dyDescent="0.2">
      <c r="A101" s="115">
        <v>2</v>
      </c>
      <c r="B101" s="116" t="s">
        <v>114</v>
      </c>
      <c r="C101" s="133">
        <v>1008</v>
      </c>
      <c r="D101" s="133">
        <v>1224</v>
      </c>
      <c r="E101" s="133">
        <f t="shared" si="14"/>
        <v>216</v>
      </c>
      <c r="F101" s="114">
        <f t="shared" si="15"/>
        <v>0.21428571428571427</v>
      </c>
    </row>
    <row r="102" spans="1:6" x14ac:dyDescent="0.2">
      <c r="A102" s="115">
        <v>3</v>
      </c>
      <c r="B102" s="116" t="s">
        <v>115</v>
      </c>
      <c r="C102" s="133">
        <v>3345</v>
      </c>
      <c r="D102" s="133">
        <v>3568</v>
      </c>
      <c r="E102" s="133">
        <f t="shared" si="14"/>
        <v>223</v>
      </c>
      <c r="F102" s="114">
        <f t="shared" si="15"/>
        <v>6.6666666666666666E-2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25</v>
      </c>
      <c r="D104" s="133">
        <v>21</v>
      </c>
      <c r="E104" s="133">
        <f t="shared" si="14"/>
        <v>-4</v>
      </c>
      <c r="F104" s="114">
        <f t="shared" si="15"/>
        <v>-0.16</v>
      </c>
    </row>
    <row r="105" spans="1:6" x14ac:dyDescent="0.2">
      <c r="A105" s="115">
        <v>6</v>
      </c>
      <c r="B105" s="116" t="s">
        <v>118</v>
      </c>
      <c r="C105" s="133">
        <v>175</v>
      </c>
      <c r="D105" s="133">
        <v>141</v>
      </c>
      <c r="E105" s="133">
        <f t="shared" si="14"/>
        <v>-34</v>
      </c>
      <c r="F105" s="114">
        <f t="shared" si="15"/>
        <v>-0.19428571428571428</v>
      </c>
    </row>
    <row r="106" spans="1:6" x14ac:dyDescent="0.2">
      <c r="A106" s="115">
        <v>7</v>
      </c>
      <c r="B106" s="116" t="s">
        <v>119</v>
      </c>
      <c r="C106" s="133">
        <v>2798</v>
      </c>
      <c r="D106" s="133">
        <v>2577</v>
      </c>
      <c r="E106" s="133">
        <f t="shared" si="14"/>
        <v>-221</v>
      </c>
      <c r="F106" s="114">
        <f t="shared" si="15"/>
        <v>-7.8984989278055751E-2</v>
      </c>
    </row>
    <row r="107" spans="1:6" x14ac:dyDescent="0.2">
      <c r="A107" s="115">
        <v>8</v>
      </c>
      <c r="B107" s="116" t="s">
        <v>120</v>
      </c>
      <c r="C107" s="133">
        <v>155</v>
      </c>
      <c r="D107" s="133">
        <v>151</v>
      </c>
      <c r="E107" s="133">
        <f t="shared" si="14"/>
        <v>-4</v>
      </c>
      <c r="F107" s="114">
        <f t="shared" si="15"/>
        <v>-2.5806451612903226E-2</v>
      </c>
    </row>
    <row r="108" spans="1:6" x14ac:dyDescent="0.2">
      <c r="A108" s="115">
        <v>9</v>
      </c>
      <c r="B108" s="116" t="s">
        <v>121</v>
      </c>
      <c r="C108" s="133">
        <v>178</v>
      </c>
      <c r="D108" s="133">
        <v>115</v>
      </c>
      <c r="E108" s="133">
        <f t="shared" si="14"/>
        <v>-63</v>
      </c>
      <c r="F108" s="114">
        <f t="shared" si="15"/>
        <v>-0.3539325842696629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11729</v>
      </c>
      <c r="D111" s="134">
        <f>SUM(D100:D110)</f>
        <v>11642</v>
      </c>
      <c r="E111" s="134">
        <f t="shared" si="14"/>
        <v>-87</v>
      </c>
      <c r="F111" s="120">
        <f t="shared" si="15"/>
        <v>-7.4175121493733481E-3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21351</v>
      </c>
      <c r="D113" s="133">
        <v>20159</v>
      </c>
      <c r="E113" s="133">
        <f t="shared" ref="E113:E124" si="16">D113-C113</f>
        <v>-1192</v>
      </c>
      <c r="F113" s="114">
        <f t="shared" ref="F113:F124" si="17">IF(C113=0,0,E113/C113)</f>
        <v>-5.5828766802491686E-2</v>
      </c>
    </row>
    <row r="114" spans="1:6" x14ac:dyDescent="0.2">
      <c r="A114" s="115">
        <v>2</v>
      </c>
      <c r="B114" s="116" t="s">
        <v>114</v>
      </c>
      <c r="C114" s="133">
        <v>5259</v>
      </c>
      <c r="D114" s="133">
        <v>6077</v>
      </c>
      <c r="E114" s="133">
        <f t="shared" si="16"/>
        <v>818</v>
      </c>
      <c r="F114" s="114">
        <f t="shared" si="17"/>
        <v>0.1555428788743107</v>
      </c>
    </row>
    <row r="115" spans="1:6" x14ac:dyDescent="0.2">
      <c r="A115" s="115">
        <v>3</v>
      </c>
      <c r="B115" s="116" t="s">
        <v>115</v>
      </c>
      <c r="C115" s="133">
        <v>12946</v>
      </c>
      <c r="D115" s="133">
        <v>13442</v>
      </c>
      <c r="E115" s="133">
        <f t="shared" si="16"/>
        <v>496</v>
      </c>
      <c r="F115" s="114">
        <f t="shared" si="17"/>
        <v>3.8312992430094235E-2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72</v>
      </c>
      <c r="D117" s="133">
        <v>49</v>
      </c>
      <c r="E117" s="133">
        <f t="shared" si="16"/>
        <v>-23</v>
      </c>
      <c r="F117" s="114">
        <f t="shared" si="17"/>
        <v>-0.31944444444444442</v>
      </c>
    </row>
    <row r="118" spans="1:6" x14ac:dyDescent="0.2">
      <c r="A118" s="115">
        <v>6</v>
      </c>
      <c r="B118" s="116" t="s">
        <v>118</v>
      </c>
      <c r="C118" s="133">
        <v>601</v>
      </c>
      <c r="D118" s="133">
        <v>652</v>
      </c>
      <c r="E118" s="133">
        <f t="shared" si="16"/>
        <v>51</v>
      </c>
      <c r="F118" s="114">
        <f t="shared" si="17"/>
        <v>8.4858569051580693E-2</v>
      </c>
    </row>
    <row r="119" spans="1:6" x14ac:dyDescent="0.2">
      <c r="A119" s="115">
        <v>7</v>
      </c>
      <c r="B119" s="116" t="s">
        <v>119</v>
      </c>
      <c r="C119" s="133">
        <v>10630</v>
      </c>
      <c r="D119" s="133">
        <v>9771</v>
      </c>
      <c r="E119" s="133">
        <f t="shared" si="16"/>
        <v>-859</v>
      </c>
      <c r="F119" s="114">
        <f t="shared" si="17"/>
        <v>-8.0809031044214483E-2</v>
      </c>
    </row>
    <row r="120" spans="1:6" x14ac:dyDescent="0.2">
      <c r="A120" s="115">
        <v>8</v>
      </c>
      <c r="B120" s="116" t="s">
        <v>120</v>
      </c>
      <c r="C120" s="133">
        <v>445</v>
      </c>
      <c r="D120" s="133">
        <v>385</v>
      </c>
      <c r="E120" s="133">
        <f t="shared" si="16"/>
        <v>-60</v>
      </c>
      <c r="F120" s="114">
        <f t="shared" si="17"/>
        <v>-0.1348314606741573</v>
      </c>
    </row>
    <row r="121" spans="1:6" x14ac:dyDescent="0.2">
      <c r="A121" s="115">
        <v>9</v>
      </c>
      <c r="B121" s="116" t="s">
        <v>121</v>
      </c>
      <c r="C121" s="133">
        <v>529</v>
      </c>
      <c r="D121" s="133">
        <v>389</v>
      </c>
      <c r="E121" s="133">
        <f t="shared" si="16"/>
        <v>-140</v>
      </c>
      <c r="F121" s="114">
        <f t="shared" si="17"/>
        <v>-0.26465028355387521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51833</v>
      </c>
      <c r="D124" s="134">
        <f>SUM(D113:D123)</f>
        <v>50924</v>
      </c>
      <c r="E124" s="134">
        <f t="shared" si="16"/>
        <v>-909</v>
      </c>
      <c r="F124" s="120">
        <f t="shared" si="17"/>
        <v>-1.7537090270676983E-2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45771</v>
      </c>
      <c r="D126" s="133">
        <v>47214</v>
      </c>
      <c r="E126" s="133">
        <f t="shared" ref="E126:E137" si="18">D126-C126</f>
        <v>1443</v>
      </c>
      <c r="F126" s="114">
        <f t="shared" ref="F126:F137" si="19">IF(C126=0,0,E126/C126)</f>
        <v>3.1526512420528285E-2</v>
      </c>
    </row>
    <row r="127" spans="1:6" x14ac:dyDescent="0.2">
      <c r="A127" s="115">
        <v>2</v>
      </c>
      <c r="B127" s="116" t="s">
        <v>114</v>
      </c>
      <c r="C127" s="133">
        <v>16485</v>
      </c>
      <c r="D127" s="133">
        <v>18330</v>
      </c>
      <c r="E127" s="133">
        <f t="shared" si="18"/>
        <v>1845</v>
      </c>
      <c r="F127" s="114">
        <f t="shared" si="19"/>
        <v>0.11191992720655142</v>
      </c>
    </row>
    <row r="128" spans="1:6" x14ac:dyDescent="0.2">
      <c r="A128" s="115">
        <v>3</v>
      </c>
      <c r="B128" s="116" t="s">
        <v>115</v>
      </c>
      <c r="C128" s="133">
        <v>63839</v>
      </c>
      <c r="D128" s="133">
        <v>68805</v>
      </c>
      <c r="E128" s="133">
        <f t="shared" si="18"/>
        <v>4966</v>
      </c>
      <c r="F128" s="114">
        <f t="shared" si="19"/>
        <v>7.7789439057629348E-2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436</v>
      </c>
      <c r="D130" s="133">
        <v>410</v>
      </c>
      <c r="E130" s="133">
        <f t="shared" si="18"/>
        <v>-26</v>
      </c>
      <c r="F130" s="114">
        <f t="shared" si="19"/>
        <v>-5.9633027522935783E-2</v>
      </c>
    </row>
    <row r="131" spans="1:6" x14ac:dyDescent="0.2">
      <c r="A131" s="115">
        <v>6</v>
      </c>
      <c r="B131" s="116" t="s">
        <v>118</v>
      </c>
      <c r="C131" s="133">
        <v>5218</v>
      </c>
      <c r="D131" s="133">
        <v>4974</v>
      </c>
      <c r="E131" s="133">
        <f t="shared" si="18"/>
        <v>-244</v>
      </c>
      <c r="F131" s="114">
        <f t="shared" si="19"/>
        <v>-4.6761211192027599E-2</v>
      </c>
    </row>
    <row r="132" spans="1:6" x14ac:dyDescent="0.2">
      <c r="A132" s="115">
        <v>7</v>
      </c>
      <c r="B132" s="116" t="s">
        <v>119</v>
      </c>
      <c r="C132" s="133">
        <v>73998</v>
      </c>
      <c r="D132" s="133">
        <v>72743</v>
      </c>
      <c r="E132" s="133">
        <f t="shared" si="18"/>
        <v>-1255</v>
      </c>
      <c r="F132" s="114">
        <f t="shared" si="19"/>
        <v>-1.6959917835617178E-2</v>
      </c>
    </row>
    <row r="133" spans="1:6" x14ac:dyDescent="0.2">
      <c r="A133" s="115">
        <v>8</v>
      </c>
      <c r="B133" s="116" t="s">
        <v>120</v>
      </c>
      <c r="C133" s="133">
        <v>2941</v>
      </c>
      <c r="D133" s="133">
        <v>2775</v>
      </c>
      <c r="E133" s="133">
        <f t="shared" si="18"/>
        <v>-166</v>
      </c>
      <c r="F133" s="114">
        <f t="shared" si="19"/>
        <v>-5.6443386603196193E-2</v>
      </c>
    </row>
    <row r="134" spans="1:6" x14ac:dyDescent="0.2">
      <c r="A134" s="115">
        <v>9</v>
      </c>
      <c r="B134" s="116" t="s">
        <v>121</v>
      </c>
      <c r="C134" s="133">
        <v>9232</v>
      </c>
      <c r="D134" s="133">
        <v>6487</v>
      </c>
      <c r="E134" s="133">
        <f t="shared" si="18"/>
        <v>-2745</v>
      </c>
      <c r="F134" s="114">
        <f t="shared" si="19"/>
        <v>-0.29733535528596189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217920</v>
      </c>
      <c r="D137" s="134">
        <f>SUM(D126:D136)</f>
        <v>221738</v>
      </c>
      <c r="E137" s="134">
        <f t="shared" si="18"/>
        <v>3818</v>
      </c>
      <c r="F137" s="120">
        <f t="shared" si="19"/>
        <v>1.7520190895741555E-2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16040513</v>
      </c>
      <c r="D142" s="113">
        <v>18030000</v>
      </c>
      <c r="E142" s="113">
        <f t="shared" ref="E142:E153" si="20">D142-C142</f>
        <v>1989487</v>
      </c>
      <c r="F142" s="114">
        <f t="shared" ref="F142:F153" si="21">IF(C142=0,0,E142/C142)</f>
        <v>0.12402888860225356</v>
      </c>
    </row>
    <row r="143" spans="1:6" x14ac:dyDescent="0.2">
      <c r="A143" s="115">
        <v>2</v>
      </c>
      <c r="B143" s="116" t="s">
        <v>114</v>
      </c>
      <c r="C143" s="113">
        <v>4385560</v>
      </c>
      <c r="D143" s="113">
        <v>5400000</v>
      </c>
      <c r="E143" s="113">
        <f t="shared" si="20"/>
        <v>1014440</v>
      </c>
      <c r="F143" s="114">
        <f t="shared" si="21"/>
        <v>0.23131367487846477</v>
      </c>
    </row>
    <row r="144" spans="1:6" x14ac:dyDescent="0.2">
      <c r="A144" s="115">
        <v>3</v>
      </c>
      <c r="B144" s="116" t="s">
        <v>115</v>
      </c>
      <c r="C144" s="113">
        <v>57819476</v>
      </c>
      <c r="D144" s="113">
        <v>70550000</v>
      </c>
      <c r="E144" s="113">
        <f t="shared" si="20"/>
        <v>12730524</v>
      </c>
      <c r="F144" s="114">
        <f t="shared" si="21"/>
        <v>0.22017709050147738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232413</v>
      </c>
      <c r="D146" s="113">
        <v>230000</v>
      </c>
      <c r="E146" s="113">
        <f t="shared" si="20"/>
        <v>-2413</v>
      </c>
      <c r="F146" s="114">
        <f t="shared" si="21"/>
        <v>-1.038237964313528E-2</v>
      </c>
    </row>
    <row r="147" spans="1:6" x14ac:dyDescent="0.2">
      <c r="A147" s="115">
        <v>6</v>
      </c>
      <c r="B147" s="116" t="s">
        <v>118</v>
      </c>
      <c r="C147" s="113">
        <v>3691450</v>
      </c>
      <c r="D147" s="113">
        <v>2480000</v>
      </c>
      <c r="E147" s="113">
        <f t="shared" si="20"/>
        <v>-1211450</v>
      </c>
      <c r="F147" s="114">
        <f t="shared" si="21"/>
        <v>-0.32817727451272533</v>
      </c>
    </row>
    <row r="148" spans="1:6" x14ac:dyDescent="0.2">
      <c r="A148" s="115">
        <v>7</v>
      </c>
      <c r="B148" s="116" t="s">
        <v>119</v>
      </c>
      <c r="C148" s="113">
        <v>20540384</v>
      </c>
      <c r="D148" s="113">
        <v>22400000</v>
      </c>
      <c r="E148" s="113">
        <f t="shared" si="20"/>
        <v>1859616</v>
      </c>
      <c r="F148" s="114">
        <f t="shared" si="21"/>
        <v>9.0534626811261176E-2</v>
      </c>
    </row>
    <row r="149" spans="1:6" x14ac:dyDescent="0.2">
      <c r="A149" s="115">
        <v>8</v>
      </c>
      <c r="B149" s="116" t="s">
        <v>120</v>
      </c>
      <c r="C149" s="113">
        <v>1315491</v>
      </c>
      <c r="D149" s="113">
        <v>1440000</v>
      </c>
      <c r="E149" s="113">
        <f t="shared" si="20"/>
        <v>124509</v>
      </c>
      <c r="F149" s="114">
        <f t="shared" si="21"/>
        <v>9.4648310022645538E-2</v>
      </c>
    </row>
    <row r="150" spans="1:6" x14ac:dyDescent="0.2">
      <c r="A150" s="115">
        <v>9</v>
      </c>
      <c r="B150" s="116" t="s">
        <v>121</v>
      </c>
      <c r="C150" s="113">
        <v>8759076</v>
      </c>
      <c r="D150" s="113">
        <v>6900000</v>
      </c>
      <c r="E150" s="113">
        <f t="shared" si="20"/>
        <v>-1859076</v>
      </c>
      <c r="F150" s="114">
        <f t="shared" si="21"/>
        <v>-0.21224567522875701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112784363</v>
      </c>
      <c r="D153" s="119">
        <f>SUM(D142:D152)</f>
        <v>127430000</v>
      </c>
      <c r="E153" s="119">
        <f t="shared" si="20"/>
        <v>14645637</v>
      </c>
      <c r="F153" s="120">
        <f t="shared" si="21"/>
        <v>0.12985520874023998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2516398</v>
      </c>
      <c r="D155" s="113">
        <v>2940000</v>
      </c>
      <c r="E155" s="113">
        <f t="shared" ref="E155:E166" si="22">D155-C155</f>
        <v>423602</v>
      </c>
      <c r="F155" s="114">
        <f t="shared" ref="F155:F166" si="23">IF(C155=0,0,E155/C155)</f>
        <v>0.1683366462697872</v>
      </c>
    </row>
    <row r="156" spans="1:6" x14ac:dyDescent="0.2">
      <c r="A156" s="115">
        <v>2</v>
      </c>
      <c r="B156" s="116" t="s">
        <v>114</v>
      </c>
      <c r="C156" s="113">
        <v>784045</v>
      </c>
      <c r="D156" s="113">
        <v>975000</v>
      </c>
      <c r="E156" s="113">
        <f t="shared" si="22"/>
        <v>190955</v>
      </c>
      <c r="F156" s="114">
        <f t="shared" si="23"/>
        <v>0.2435510716859364</v>
      </c>
    </row>
    <row r="157" spans="1:6" x14ac:dyDescent="0.2">
      <c r="A157" s="115">
        <v>3</v>
      </c>
      <c r="B157" s="116" t="s">
        <v>115</v>
      </c>
      <c r="C157" s="113">
        <v>9182305</v>
      </c>
      <c r="D157" s="113">
        <v>10200000</v>
      </c>
      <c r="E157" s="113">
        <f t="shared" si="22"/>
        <v>1017695</v>
      </c>
      <c r="F157" s="114">
        <f t="shared" si="23"/>
        <v>0.11083219300600448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38427</v>
      </c>
      <c r="D159" s="113">
        <v>35000</v>
      </c>
      <c r="E159" s="113">
        <f t="shared" si="22"/>
        <v>-3427</v>
      </c>
      <c r="F159" s="114">
        <f t="shared" si="23"/>
        <v>-8.9182085512790485E-2</v>
      </c>
    </row>
    <row r="160" spans="1:6" x14ac:dyDescent="0.2">
      <c r="A160" s="115">
        <v>6</v>
      </c>
      <c r="B160" s="116" t="s">
        <v>118</v>
      </c>
      <c r="C160" s="113">
        <v>679023</v>
      </c>
      <c r="D160" s="113">
        <v>700000</v>
      </c>
      <c r="E160" s="113">
        <f t="shared" si="22"/>
        <v>20977</v>
      </c>
      <c r="F160" s="114">
        <f t="shared" si="23"/>
        <v>3.089291526207507E-2</v>
      </c>
    </row>
    <row r="161" spans="1:6" x14ac:dyDescent="0.2">
      <c r="A161" s="115">
        <v>7</v>
      </c>
      <c r="B161" s="116" t="s">
        <v>119</v>
      </c>
      <c r="C161" s="113">
        <v>6265200</v>
      </c>
      <c r="D161" s="113">
        <v>6575000</v>
      </c>
      <c r="E161" s="113">
        <f t="shared" si="22"/>
        <v>309800</v>
      </c>
      <c r="F161" s="114">
        <f t="shared" si="23"/>
        <v>4.9447743088808019E-2</v>
      </c>
    </row>
    <row r="162" spans="1:6" x14ac:dyDescent="0.2">
      <c r="A162" s="115">
        <v>8</v>
      </c>
      <c r="B162" s="116" t="s">
        <v>120</v>
      </c>
      <c r="C162" s="113">
        <v>725944</v>
      </c>
      <c r="D162" s="113">
        <v>880000</v>
      </c>
      <c r="E162" s="113">
        <f t="shared" si="22"/>
        <v>154056</v>
      </c>
      <c r="F162" s="114">
        <f t="shared" si="23"/>
        <v>0.21221471628665572</v>
      </c>
    </row>
    <row r="163" spans="1:6" x14ac:dyDescent="0.2">
      <c r="A163" s="115">
        <v>9</v>
      </c>
      <c r="B163" s="116" t="s">
        <v>121</v>
      </c>
      <c r="C163" s="113">
        <v>105459</v>
      </c>
      <c r="D163" s="113">
        <v>75000</v>
      </c>
      <c r="E163" s="113">
        <f t="shared" si="22"/>
        <v>-30459</v>
      </c>
      <c r="F163" s="114">
        <f t="shared" si="23"/>
        <v>-0.28882314453958413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20296801</v>
      </c>
      <c r="D166" s="119">
        <f>SUM(D155:D165)</f>
        <v>22380000</v>
      </c>
      <c r="E166" s="119">
        <f t="shared" si="22"/>
        <v>2083199</v>
      </c>
      <c r="F166" s="120">
        <f t="shared" si="23"/>
        <v>0.10263681454038004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7325</v>
      </c>
      <c r="D168" s="133">
        <v>7194</v>
      </c>
      <c r="E168" s="133">
        <f t="shared" ref="E168:E179" si="24">D168-C168</f>
        <v>-131</v>
      </c>
      <c r="F168" s="114">
        <f t="shared" ref="F168:F179" si="25">IF(C168=0,0,E168/C168)</f>
        <v>-1.78839590443686E-2</v>
      </c>
    </row>
    <row r="169" spans="1:6" x14ac:dyDescent="0.2">
      <c r="A169" s="115">
        <v>2</v>
      </c>
      <c r="B169" s="116" t="s">
        <v>114</v>
      </c>
      <c r="C169" s="133">
        <v>1903</v>
      </c>
      <c r="D169" s="133">
        <v>2198</v>
      </c>
      <c r="E169" s="133">
        <f t="shared" si="24"/>
        <v>295</v>
      </c>
      <c r="F169" s="114">
        <f t="shared" si="25"/>
        <v>0.15501839201261167</v>
      </c>
    </row>
    <row r="170" spans="1:6" x14ac:dyDescent="0.2">
      <c r="A170" s="115">
        <v>3</v>
      </c>
      <c r="B170" s="116" t="s">
        <v>115</v>
      </c>
      <c r="C170" s="133">
        <v>34306</v>
      </c>
      <c r="D170" s="133">
        <v>36469</v>
      </c>
      <c r="E170" s="133">
        <f t="shared" si="24"/>
        <v>2163</v>
      </c>
      <c r="F170" s="114">
        <f t="shared" si="25"/>
        <v>6.3050195301113512E-2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140</v>
      </c>
      <c r="D172" s="133">
        <v>131</v>
      </c>
      <c r="E172" s="133">
        <f t="shared" si="24"/>
        <v>-9</v>
      </c>
      <c r="F172" s="114">
        <f t="shared" si="25"/>
        <v>-6.4285714285714279E-2</v>
      </c>
    </row>
    <row r="173" spans="1:6" x14ac:dyDescent="0.2">
      <c r="A173" s="115">
        <v>6</v>
      </c>
      <c r="B173" s="116" t="s">
        <v>118</v>
      </c>
      <c r="C173" s="133">
        <v>1807</v>
      </c>
      <c r="D173" s="133">
        <v>1539</v>
      </c>
      <c r="E173" s="133">
        <f t="shared" si="24"/>
        <v>-268</v>
      </c>
      <c r="F173" s="114">
        <f t="shared" si="25"/>
        <v>-0.14831211953514112</v>
      </c>
    </row>
    <row r="174" spans="1:6" x14ac:dyDescent="0.2">
      <c r="A174" s="115">
        <v>7</v>
      </c>
      <c r="B174" s="116" t="s">
        <v>119</v>
      </c>
      <c r="C174" s="133">
        <v>10376</v>
      </c>
      <c r="D174" s="133">
        <v>10222</v>
      </c>
      <c r="E174" s="133">
        <f t="shared" si="24"/>
        <v>-154</v>
      </c>
      <c r="F174" s="114">
        <f t="shared" si="25"/>
        <v>-1.4841942945258289E-2</v>
      </c>
    </row>
    <row r="175" spans="1:6" x14ac:dyDescent="0.2">
      <c r="A175" s="115">
        <v>8</v>
      </c>
      <c r="B175" s="116" t="s">
        <v>120</v>
      </c>
      <c r="C175" s="133">
        <v>864</v>
      </c>
      <c r="D175" s="133">
        <v>849</v>
      </c>
      <c r="E175" s="133">
        <f t="shared" si="24"/>
        <v>-15</v>
      </c>
      <c r="F175" s="114">
        <f t="shared" si="25"/>
        <v>-1.7361111111111112E-2</v>
      </c>
    </row>
    <row r="176" spans="1:6" x14ac:dyDescent="0.2">
      <c r="A176" s="115">
        <v>9</v>
      </c>
      <c r="B176" s="116" t="s">
        <v>121</v>
      </c>
      <c r="C176" s="133">
        <v>5282</v>
      </c>
      <c r="D176" s="133">
        <v>3733</v>
      </c>
      <c r="E176" s="133">
        <f t="shared" si="24"/>
        <v>-1549</v>
      </c>
      <c r="F176" s="114">
        <f t="shared" si="25"/>
        <v>-0.29326012873911395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62003</v>
      </c>
      <c r="D179" s="134">
        <f>SUM(D168:D178)</f>
        <v>62335</v>
      </c>
      <c r="E179" s="134">
        <f t="shared" si="24"/>
        <v>332</v>
      </c>
      <c r="F179" s="120">
        <f t="shared" si="25"/>
        <v>5.3545796171153006E-3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FILING&amp;RSAINT MARY`S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28956807</v>
      </c>
      <c r="D15" s="157">
        <v>32118192</v>
      </c>
      <c r="E15" s="157">
        <f>+D15-C15</f>
        <v>3161385</v>
      </c>
      <c r="F15" s="161">
        <f>IF(C15=0,0,E15/C15)</f>
        <v>0.10917588392946778</v>
      </c>
    </row>
    <row r="16" spans="1:6" ht="15" customHeight="1" x14ac:dyDescent="0.2">
      <c r="A16" s="147">
        <v>2</v>
      </c>
      <c r="B16" s="160" t="s">
        <v>157</v>
      </c>
      <c r="C16" s="157">
        <v>3289143</v>
      </c>
      <c r="D16" s="157">
        <v>3880024</v>
      </c>
      <c r="E16" s="157">
        <f>+D16-C16</f>
        <v>590881</v>
      </c>
      <c r="F16" s="161">
        <f>IF(C16=0,0,E16/C16)</f>
        <v>0.17964588344137059</v>
      </c>
    </row>
    <row r="17" spans="1:6" ht="15" customHeight="1" x14ac:dyDescent="0.2">
      <c r="A17" s="147">
        <v>3</v>
      </c>
      <c r="B17" s="160" t="s">
        <v>158</v>
      </c>
      <c r="C17" s="157">
        <v>51910300</v>
      </c>
      <c r="D17" s="157">
        <v>49351637</v>
      </c>
      <c r="E17" s="157">
        <f>+D17-C17</f>
        <v>-2558663</v>
      </c>
      <c r="F17" s="161">
        <f>IF(C17=0,0,E17/C17)</f>
        <v>-4.9290083085630404E-2</v>
      </c>
    </row>
    <row r="18" spans="1:6" ht="15.75" customHeight="1" x14ac:dyDescent="0.25">
      <c r="A18" s="147"/>
      <c r="B18" s="162" t="s">
        <v>159</v>
      </c>
      <c r="C18" s="158">
        <f>SUM(C15:C17)</f>
        <v>84156250</v>
      </c>
      <c r="D18" s="158">
        <f>SUM(D15:D17)</f>
        <v>85349853</v>
      </c>
      <c r="E18" s="158">
        <f>+D18-C18</f>
        <v>1193603</v>
      </c>
      <c r="F18" s="159">
        <f>IF(C18=0,0,E18/C18)</f>
        <v>1.4183177125881916E-2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6967392</v>
      </c>
      <c r="D21" s="157">
        <v>6966676</v>
      </c>
      <c r="E21" s="157">
        <f>+D21-C21</f>
        <v>-716</v>
      </c>
      <c r="F21" s="161">
        <f>IF(C21=0,0,E21/C21)</f>
        <v>-1.0276442031681295E-4</v>
      </c>
    </row>
    <row r="22" spans="1:6" ht="15" customHeight="1" x14ac:dyDescent="0.2">
      <c r="A22" s="147">
        <v>2</v>
      </c>
      <c r="B22" s="160" t="s">
        <v>162</v>
      </c>
      <c r="C22" s="157">
        <v>1124776</v>
      </c>
      <c r="D22" s="157">
        <v>1070317</v>
      </c>
      <c r="E22" s="157">
        <f>+D22-C22</f>
        <v>-54459</v>
      </c>
      <c r="F22" s="161">
        <f>IF(C22=0,0,E22/C22)</f>
        <v>-4.8417640490195382E-2</v>
      </c>
    </row>
    <row r="23" spans="1:6" ht="15" customHeight="1" x14ac:dyDescent="0.2">
      <c r="A23" s="147">
        <v>3</v>
      </c>
      <c r="B23" s="160" t="s">
        <v>163</v>
      </c>
      <c r="C23" s="157">
        <v>19096852</v>
      </c>
      <c r="D23" s="157">
        <v>16524669</v>
      </c>
      <c r="E23" s="157">
        <f>+D23-C23</f>
        <v>-2572183</v>
      </c>
      <c r="F23" s="161">
        <f>IF(C23=0,0,E23/C23)</f>
        <v>-0.13469146642598476</v>
      </c>
    </row>
    <row r="24" spans="1:6" ht="15.75" customHeight="1" x14ac:dyDescent="0.25">
      <c r="A24" s="147"/>
      <c r="B24" s="162" t="s">
        <v>164</v>
      </c>
      <c r="C24" s="158">
        <f>SUM(C21:C23)</f>
        <v>27189020</v>
      </c>
      <c r="D24" s="158">
        <f>SUM(D21:D23)</f>
        <v>24561662</v>
      </c>
      <c r="E24" s="158">
        <f>+D24-C24</f>
        <v>-2627358</v>
      </c>
      <c r="F24" s="159">
        <f>IF(C24=0,0,E24/C24)</f>
        <v>-9.6633052607265721E-2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0</v>
      </c>
      <c r="D27" s="157">
        <v>0</v>
      </c>
      <c r="E27" s="157">
        <f>+D27-C27</f>
        <v>0</v>
      </c>
      <c r="F27" s="161">
        <f>IF(C27=0,0,E27/C27)</f>
        <v>0</v>
      </c>
    </row>
    <row r="28" spans="1:6" ht="15" customHeight="1" x14ac:dyDescent="0.2">
      <c r="A28" s="147">
        <v>2</v>
      </c>
      <c r="B28" s="160" t="s">
        <v>167</v>
      </c>
      <c r="C28" s="157">
        <v>5267664</v>
      </c>
      <c r="D28" s="157">
        <v>5874170</v>
      </c>
      <c r="E28" s="157">
        <f>+D28-C28</f>
        <v>606506</v>
      </c>
      <c r="F28" s="161">
        <f>IF(C28=0,0,E28/C28)</f>
        <v>0.11513756382335699</v>
      </c>
    </row>
    <row r="29" spans="1:6" ht="15" customHeight="1" x14ac:dyDescent="0.2">
      <c r="A29" s="147">
        <v>3</v>
      </c>
      <c r="B29" s="160" t="s">
        <v>168</v>
      </c>
      <c r="C29" s="157">
        <v>0</v>
      </c>
      <c r="D29" s="157">
        <v>0</v>
      </c>
      <c r="E29" s="157">
        <f>+D29-C29</f>
        <v>0</v>
      </c>
      <c r="F29" s="161">
        <f>IF(C29=0,0,E29/C29)</f>
        <v>0</v>
      </c>
    </row>
    <row r="30" spans="1:6" ht="15.75" customHeight="1" x14ac:dyDescent="0.25">
      <c r="A30" s="147"/>
      <c r="B30" s="162" t="s">
        <v>169</v>
      </c>
      <c r="C30" s="158">
        <f>SUM(C27:C29)</f>
        <v>5267664</v>
      </c>
      <c r="D30" s="158">
        <f>SUM(D27:D29)</f>
        <v>5874170</v>
      </c>
      <c r="E30" s="158">
        <f>+D30-C30</f>
        <v>606506</v>
      </c>
      <c r="F30" s="159">
        <f>IF(C30=0,0,E30/C30)</f>
        <v>0.11513756382335699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27775245</v>
      </c>
      <c r="D33" s="157">
        <v>27961334</v>
      </c>
      <c r="E33" s="157">
        <f>+D33-C33</f>
        <v>186089</v>
      </c>
      <c r="F33" s="161">
        <f>IF(C33=0,0,E33/C33)</f>
        <v>6.6998148891215898E-3</v>
      </c>
    </row>
    <row r="34" spans="1:6" ht="15" customHeight="1" x14ac:dyDescent="0.2">
      <c r="A34" s="147">
        <v>2</v>
      </c>
      <c r="B34" s="160" t="s">
        <v>173</v>
      </c>
      <c r="C34" s="157">
        <v>5894722</v>
      </c>
      <c r="D34" s="157">
        <v>7087645</v>
      </c>
      <c r="E34" s="157">
        <f>+D34-C34</f>
        <v>1192923</v>
      </c>
      <c r="F34" s="161">
        <f>IF(C34=0,0,E34/C34)</f>
        <v>0.20237137561364216</v>
      </c>
    </row>
    <row r="35" spans="1:6" ht="15.75" customHeight="1" x14ac:dyDescent="0.25">
      <c r="A35" s="147"/>
      <c r="B35" s="162" t="s">
        <v>174</v>
      </c>
      <c r="C35" s="158">
        <f>SUM(C33:C34)</f>
        <v>33669967</v>
      </c>
      <c r="D35" s="158">
        <f>SUM(D33:D34)</f>
        <v>35048979</v>
      </c>
      <c r="E35" s="158">
        <f>+D35-C35</f>
        <v>1379012</v>
      </c>
      <c r="F35" s="159">
        <f>IF(C35=0,0,E35/C35)</f>
        <v>4.0956737498435918E-2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3696791</v>
      </c>
      <c r="D38" s="157">
        <v>3666553</v>
      </c>
      <c r="E38" s="157">
        <f>+D38-C38</f>
        <v>-30238</v>
      </c>
      <c r="F38" s="161">
        <f>IF(C38=0,0,E38/C38)</f>
        <v>-8.1795265136709108E-3</v>
      </c>
    </row>
    <row r="39" spans="1:6" ht="15" customHeight="1" x14ac:dyDescent="0.2">
      <c r="A39" s="147">
        <v>2</v>
      </c>
      <c r="B39" s="160" t="s">
        <v>178</v>
      </c>
      <c r="C39" s="157">
        <v>5492746</v>
      </c>
      <c r="D39" s="157">
        <v>6221284</v>
      </c>
      <c r="E39" s="157">
        <f>+D39-C39</f>
        <v>728538</v>
      </c>
      <c r="F39" s="161">
        <f>IF(C39=0,0,E39/C39)</f>
        <v>0.13263638988586038</v>
      </c>
    </row>
    <row r="40" spans="1:6" ht="15" customHeight="1" x14ac:dyDescent="0.2">
      <c r="A40" s="147">
        <v>3</v>
      </c>
      <c r="B40" s="160" t="s">
        <v>179</v>
      </c>
      <c r="C40" s="157">
        <v>55616</v>
      </c>
      <c r="D40" s="157">
        <v>51285</v>
      </c>
      <c r="E40" s="157">
        <f>+D40-C40</f>
        <v>-4331</v>
      </c>
      <c r="F40" s="161">
        <f>IF(C40=0,0,E40/C40)</f>
        <v>-7.7873273878020718E-2</v>
      </c>
    </row>
    <row r="41" spans="1:6" ht="15.75" customHeight="1" x14ac:dyDescent="0.25">
      <c r="A41" s="147"/>
      <c r="B41" s="162" t="s">
        <v>180</v>
      </c>
      <c r="C41" s="158">
        <f>SUM(C38:C40)</f>
        <v>9245153</v>
      </c>
      <c r="D41" s="158">
        <f>SUM(D38:D40)</f>
        <v>9939122</v>
      </c>
      <c r="E41" s="158">
        <f>+D41-C41</f>
        <v>693969</v>
      </c>
      <c r="F41" s="159">
        <f>IF(C41=0,0,E41/C41)</f>
        <v>7.5063008692230399E-2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1471201</v>
      </c>
      <c r="D47" s="157">
        <v>1353274</v>
      </c>
      <c r="E47" s="157">
        <f>+D47-C47</f>
        <v>-117927</v>
      </c>
      <c r="F47" s="161">
        <f>IF(C47=0,0,E47/C47)</f>
        <v>-8.015696019782477E-2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12792515</v>
      </c>
      <c r="D50" s="157">
        <v>5454971</v>
      </c>
      <c r="E50" s="157">
        <f>+D50-C50</f>
        <v>-7337544</v>
      </c>
      <c r="F50" s="161">
        <f>IF(C50=0,0,E50/C50)</f>
        <v>-0.57358103547269634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167012</v>
      </c>
      <c r="D53" s="157">
        <v>196260</v>
      </c>
      <c r="E53" s="157">
        <f t="shared" ref="E53:E59" si="0">+D53-C53</f>
        <v>29248</v>
      </c>
      <c r="F53" s="161">
        <f t="shared" ref="F53:F59" si="1">IF(C53=0,0,E53/C53)</f>
        <v>0.17512514070845209</v>
      </c>
    </row>
    <row r="54" spans="1:6" ht="15" customHeight="1" x14ac:dyDescent="0.2">
      <c r="A54" s="147">
        <v>2</v>
      </c>
      <c r="B54" s="160" t="s">
        <v>189</v>
      </c>
      <c r="C54" s="157">
        <v>962237</v>
      </c>
      <c r="D54" s="157">
        <v>1267431</v>
      </c>
      <c r="E54" s="157">
        <f t="shared" si="0"/>
        <v>305194</v>
      </c>
      <c r="F54" s="161">
        <f t="shared" si="1"/>
        <v>0.31717134136392594</v>
      </c>
    </row>
    <row r="55" spans="1:6" ht="15" customHeight="1" x14ac:dyDescent="0.2">
      <c r="A55" s="147">
        <v>3</v>
      </c>
      <c r="B55" s="160" t="s">
        <v>190</v>
      </c>
      <c r="C55" s="157">
        <v>0</v>
      </c>
      <c r="D55" s="157">
        <v>0</v>
      </c>
      <c r="E55" s="157">
        <f t="shared" si="0"/>
        <v>0</v>
      </c>
      <c r="F55" s="161">
        <f t="shared" si="1"/>
        <v>0</v>
      </c>
    </row>
    <row r="56" spans="1:6" ht="15" customHeight="1" x14ac:dyDescent="0.2">
      <c r="A56" s="147">
        <v>4</v>
      </c>
      <c r="B56" s="160" t="s">
        <v>191</v>
      </c>
      <c r="C56" s="157">
        <v>1830517</v>
      </c>
      <c r="D56" s="157">
        <v>1730197</v>
      </c>
      <c r="E56" s="157">
        <f t="shared" si="0"/>
        <v>-100320</v>
      </c>
      <c r="F56" s="161">
        <f t="shared" si="1"/>
        <v>-5.4804189199007709E-2</v>
      </c>
    </row>
    <row r="57" spans="1:6" ht="15" customHeight="1" x14ac:dyDescent="0.2">
      <c r="A57" s="147">
        <v>5</v>
      </c>
      <c r="B57" s="160" t="s">
        <v>192</v>
      </c>
      <c r="C57" s="157">
        <v>635194</v>
      </c>
      <c r="D57" s="157">
        <v>731330</v>
      </c>
      <c r="E57" s="157">
        <f t="shared" si="0"/>
        <v>96136</v>
      </c>
      <c r="F57" s="161">
        <f t="shared" si="1"/>
        <v>0.15134903667226077</v>
      </c>
    </row>
    <row r="58" spans="1:6" ht="15" customHeight="1" x14ac:dyDescent="0.2">
      <c r="A58" s="147">
        <v>6</v>
      </c>
      <c r="B58" s="160" t="s">
        <v>193</v>
      </c>
      <c r="C58" s="157">
        <v>162365</v>
      </c>
      <c r="D58" s="157">
        <v>180209</v>
      </c>
      <c r="E58" s="157">
        <f t="shared" si="0"/>
        <v>17844</v>
      </c>
      <c r="F58" s="161">
        <f t="shared" si="1"/>
        <v>0.10990053275028486</v>
      </c>
    </row>
    <row r="59" spans="1:6" ht="15.75" customHeight="1" x14ac:dyDescent="0.25">
      <c r="A59" s="147"/>
      <c r="B59" s="162" t="s">
        <v>194</v>
      </c>
      <c r="C59" s="158">
        <f>SUM(C53:C58)</f>
        <v>3757325</v>
      </c>
      <c r="D59" s="158">
        <f>SUM(D53:D58)</f>
        <v>4105427</v>
      </c>
      <c r="E59" s="158">
        <f t="shared" si="0"/>
        <v>348102</v>
      </c>
      <c r="F59" s="159">
        <f t="shared" si="1"/>
        <v>9.2646231028723894E-2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237442</v>
      </c>
      <c r="D62" s="157">
        <v>270562</v>
      </c>
      <c r="E62" s="157">
        <f t="shared" ref="E62:E90" si="2">+D62-C62</f>
        <v>33120</v>
      </c>
      <c r="F62" s="161">
        <f t="shared" ref="F62:F90" si="3">IF(C62=0,0,E62/C62)</f>
        <v>0.1394866956983179</v>
      </c>
    </row>
    <row r="63" spans="1:6" ht="15" customHeight="1" x14ac:dyDescent="0.2">
      <c r="A63" s="147">
        <v>2</v>
      </c>
      <c r="B63" s="160" t="s">
        <v>198</v>
      </c>
      <c r="C63" s="157">
        <v>1488530</v>
      </c>
      <c r="D63" s="157">
        <v>1588789</v>
      </c>
      <c r="E63" s="157">
        <f t="shared" si="2"/>
        <v>100259</v>
      </c>
      <c r="F63" s="161">
        <f t="shared" si="3"/>
        <v>6.7354369747334622E-2</v>
      </c>
    </row>
    <row r="64" spans="1:6" ht="15" customHeight="1" x14ac:dyDescent="0.2">
      <c r="A64" s="147">
        <v>3</v>
      </c>
      <c r="B64" s="160" t="s">
        <v>199</v>
      </c>
      <c r="C64" s="157">
        <v>3757021</v>
      </c>
      <c r="D64" s="157">
        <v>2295360</v>
      </c>
      <c r="E64" s="157">
        <f t="shared" si="2"/>
        <v>-1461661</v>
      </c>
      <c r="F64" s="161">
        <f t="shared" si="3"/>
        <v>-0.38904786531669638</v>
      </c>
    </row>
    <row r="65" spans="1:6" ht="15" customHeight="1" x14ac:dyDescent="0.2">
      <c r="A65" s="147">
        <v>4</v>
      </c>
      <c r="B65" s="160" t="s">
        <v>200</v>
      </c>
      <c r="C65" s="157">
        <v>757083</v>
      </c>
      <c r="D65" s="157">
        <v>829595</v>
      </c>
      <c r="E65" s="157">
        <f t="shared" si="2"/>
        <v>72512</v>
      </c>
      <c r="F65" s="161">
        <f t="shared" si="3"/>
        <v>9.5778137932036517E-2</v>
      </c>
    </row>
    <row r="66" spans="1:6" ht="15" customHeight="1" x14ac:dyDescent="0.2">
      <c r="A66" s="147">
        <v>5</v>
      </c>
      <c r="B66" s="160" t="s">
        <v>201</v>
      </c>
      <c r="C66" s="157">
        <v>0</v>
      </c>
      <c r="D66" s="157">
        <v>0</v>
      </c>
      <c r="E66" s="157">
        <f t="shared" si="2"/>
        <v>0</v>
      </c>
      <c r="F66" s="161">
        <f t="shared" si="3"/>
        <v>0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6083065</v>
      </c>
      <c r="D68" s="157">
        <v>7170538</v>
      </c>
      <c r="E68" s="157">
        <f t="shared" si="2"/>
        <v>1087473</v>
      </c>
      <c r="F68" s="161">
        <f t="shared" si="3"/>
        <v>0.17877057042790107</v>
      </c>
    </row>
    <row r="69" spans="1:6" ht="15" customHeight="1" x14ac:dyDescent="0.2">
      <c r="A69" s="147">
        <v>8</v>
      </c>
      <c r="B69" s="160" t="s">
        <v>204</v>
      </c>
      <c r="C69" s="157">
        <v>447002</v>
      </c>
      <c r="D69" s="157">
        <v>423585</v>
      </c>
      <c r="E69" s="157">
        <f t="shared" si="2"/>
        <v>-23417</v>
      </c>
      <c r="F69" s="161">
        <f t="shared" si="3"/>
        <v>-5.2386790215703735E-2</v>
      </c>
    </row>
    <row r="70" spans="1:6" ht="15" customHeight="1" x14ac:dyDescent="0.2">
      <c r="A70" s="147">
        <v>9</v>
      </c>
      <c r="B70" s="160" t="s">
        <v>205</v>
      </c>
      <c r="C70" s="157">
        <v>286217</v>
      </c>
      <c r="D70" s="157">
        <v>198186</v>
      </c>
      <c r="E70" s="157">
        <f t="shared" si="2"/>
        <v>-88031</v>
      </c>
      <c r="F70" s="161">
        <f t="shared" si="3"/>
        <v>-0.30756733527358615</v>
      </c>
    </row>
    <row r="71" spans="1:6" ht="15" customHeight="1" x14ac:dyDescent="0.2">
      <c r="A71" s="147">
        <v>10</v>
      </c>
      <c r="B71" s="160" t="s">
        <v>206</v>
      </c>
      <c r="C71" s="157">
        <v>0</v>
      </c>
      <c r="D71" s="157">
        <v>0</v>
      </c>
      <c r="E71" s="157">
        <f t="shared" si="2"/>
        <v>0</v>
      </c>
      <c r="F71" s="161">
        <f t="shared" si="3"/>
        <v>0</v>
      </c>
    </row>
    <row r="72" spans="1:6" ht="15" customHeight="1" x14ac:dyDescent="0.2">
      <c r="A72" s="147">
        <v>11</v>
      </c>
      <c r="B72" s="160" t="s">
        <v>207</v>
      </c>
      <c r="C72" s="157">
        <v>0</v>
      </c>
      <c r="D72" s="157">
        <v>0</v>
      </c>
      <c r="E72" s="157">
        <f t="shared" si="2"/>
        <v>0</v>
      </c>
      <c r="F72" s="161">
        <f t="shared" si="3"/>
        <v>0</v>
      </c>
    </row>
    <row r="73" spans="1:6" ht="15" customHeight="1" x14ac:dyDescent="0.2">
      <c r="A73" s="147">
        <v>12</v>
      </c>
      <c r="B73" s="160" t="s">
        <v>208</v>
      </c>
      <c r="C73" s="157">
        <v>2868764</v>
      </c>
      <c r="D73" s="157">
        <v>2883823</v>
      </c>
      <c r="E73" s="157">
        <f t="shared" si="2"/>
        <v>15059</v>
      </c>
      <c r="F73" s="161">
        <f t="shared" si="3"/>
        <v>5.2492990012423472E-3</v>
      </c>
    </row>
    <row r="74" spans="1:6" ht="15" customHeight="1" x14ac:dyDescent="0.2">
      <c r="A74" s="147">
        <v>13</v>
      </c>
      <c r="B74" s="160" t="s">
        <v>209</v>
      </c>
      <c r="C74" s="157">
        <v>0</v>
      </c>
      <c r="D74" s="157">
        <v>0</v>
      </c>
      <c r="E74" s="157">
        <f t="shared" si="2"/>
        <v>0</v>
      </c>
      <c r="F74" s="161">
        <f t="shared" si="3"/>
        <v>0</v>
      </c>
    </row>
    <row r="75" spans="1:6" ht="15" customHeight="1" x14ac:dyDescent="0.2">
      <c r="A75" s="147">
        <v>14</v>
      </c>
      <c r="B75" s="160" t="s">
        <v>210</v>
      </c>
      <c r="C75" s="157">
        <v>142514</v>
      </c>
      <c r="D75" s="157">
        <v>136878</v>
      </c>
      <c r="E75" s="157">
        <f t="shared" si="2"/>
        <v>-5636</v>
      </c>
      <c r="F75" s="161">
        <f t="shared" si="3"/>
        <v>-3.9546991874482504E-2</v>
      </c>
    </row>
    <row r="76" spans="1:6" ht="15" customHeight="1" x14ac:dyDescent="0.2">
      <c r="A76" s="147">
        <v>15</v>
      </c>
      <c r="B76" s="160" t="s">
        <v>211</v>
      </c>
      <c r="C76" s="157">
        <v>452307</v>
      </c>
      <c r="D76" s="157">
        <v>383161</v>
      </c>
      <c r="E76" s="157">
        <f t="shared" si="2"/>
        <v>-69146</v>
      </c>
      <c r="F76" s="161">
        <f t="shared" si="3"/>
        <v>-0.15287404351469244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743559</v>
      </c>
      <c r="D78" s="157">
        <v>1454802</v>
      </c>
      <c r="E78" s="157">
        <f t="shared" si="2"/>
        <v>711243</v>
      </c>
      <c r="F78" s="161">
        <f t="shared" si="3"/>
        <v>0.95653875482644957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0</v>
      </c>
      <c r="D80" s="157">
        <v>0</v>
      </c>
      <c r="E80" s="157">
        <f t="shared" si="2"/>
        <v>0</v>
      </c>
      <c r="F80" s="161">
        <f t="shared" si="3"/>
        <v>0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0</v>
      </c>
      <c r="D82" s="157">
        <v>0</v>
      </c>
      <c r="E82" s="157">
        <f t="shared" si="2"/>
        <v>0</v>
      </c>
      <c r="F82" s="161">
        <f t="shared" si="3"/>
        <v>0</v>
      </c>
    </row>
    <row r="83" spans="1:6" ht="15" customHeight="1" x14ac:dyDescent="0.2">
      <c r="A83" s="147">
        <v>22</v>
      </c>
      <c r="B83" s="160" t="s">
        <v>218</v>
      </c>
      <c r="C83" s="157">
        <v>0</v>
      </c>
      <c r="D83" s="157">
        <v>0</v>
      </c>
      <c r="E83" s="157">
        <f t="shared" si="2"/>
        <v>0</v>
      </c>
      <c r="F83" s="161">
        <f t="shared" si="3"/>
        <v>0</v>
      </c>
    </row>
    <row r="84" spans="1:6" ht="15" customHeight="1" x14ac:dyDescent="0.2">
      <c r="A84" s="147">
        <v>23</v>
      </c>
      <c r="B84" s="160" t="s">
        <v>219</v>
      </c>
      <c r="C84" s="157">
        <v>394010</v>
      </c>
      <c r="D84" s="157">
        <v>312531</v>
      </c>
      <c r="E84" s="157">
        <f t="shared" si="2"/>
        <v>-81479</v>
      </c>
      <c r="F84" s="161">
        <f t="shared" si="3"/>
        <v>-0.20679424380091876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0</v>
      </c>
      <c r="D87" s="157">
        <v>0</v>
      </c>
      <c r="E87" s="157">
        <f t="shared" si="2"/>
        <v>0</v>
      </c>
      <c r="F87" s="161">
        <f t="shared" si="3"/>
        <v>0</v>
      </c>
    </row>
    <row r="88" spans="1:6" ht="15" customHeight="1" x14ac:dyDescent="0.2">
      <c r="A88" s="147">
        <v>27</v>
      </c>
      <c r="B88" s="160" t="s">
        <v>223</v>
      </c>
      <c r="C88" s="157">
        <v>16540910</v>
      </c>
      <c r="D88" s="157">
        <v>24508122</v>
      </c>
      <c r="E88" s="157">
        <f t="shared" si="2"/>
        <v>7967212</v>
      </c>
      <c r="F88" s="161">
        <f t="shared" si="3"/>
        <v>0.48166709086743109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34198424</v>
      </c>
      <c r="D90" s="158">
        <f>SUM(D62:D89)</f>
        <v>42455932</v>
      </c>
      <c r="E90" s="158">
        <f t="shared" si="2"/>
        <v>8257508</v>
      </c>
      <c r="F90" s="159">
        <f t="shared" si="3"/>
        <v>0.24145872920927583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10167858</v>
      </c>
      <c r="D93" s="157">
        <v>13083348</v>
      </c>
      <c r="E93" s="157">
        <f>+D93-C93</f>
        <v>2915490</v>
      </c>
      <c r="F93" s="161">
        <f>IF(C93=0,0,E93/C93)</f>
        <v>0.28673590838896451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221915377</v>
      </c>
      <c r="D95" s="158">
        <f>+D93+D90+D59+D50+D47+D44+D41+D35+D30+D24+D18</f>
        <v>227226738</v>
      </c>
      <c r="E95" s="158">
        <f>+D95-C95</f>
        <v>5311361</v>
      </c>
      <c r="F95" s="159">
        <f>IF(C95=0,0,E95/C95)</f>
        <v>2.3934172889695696E-2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29266914</v>
      </c>
      <c r="D103" s="157">
        <v>23445911</v>
      </c>
      <c r="E103" s="157">
        <f t="shared" ref="E103:E121" si="4">D103-C103</f>
        <v>-5821003</v>
      </c>
      <c r="F103" s="161">
        <f t="shared" ref="F103:F121" si="5">IF(C103=0,0,E103/C103)</f>
        <v>-0.19889363805148708</v>
      </c>
    </row>
    <row r="104" spans="1:6" ht="15" customHeight="1" x14ac:dyDescent="0.2">
      <c r="A104" s="147">
        <v>2</v>
      </c>
      <c r="B104" s="169" t="s">
        <v>234</v>
      </c>
      <c r="C104" s="157">
        <v>1029566</v>
      </c>
      <c r="D104" s="157">
        <v>1133502</v>
      </c>
      <c r="E104" s="157">
        <f t="shared" si="4"/>
        <v>103936</v>
      </c>
      <c r="F104" s="161">
        <f t="shared" si="5"/>
        <v>0.10095127461474059</v>
      </c>
    </row>
    <row r="105" spans="1:6" ht="15" customHeight="1" x14ac:dyDescent="0.2">
      <c r="A105" s="147">
        <v>3</v>
      </c>
      <c r="B105" s="169" t="s">
        <v>235</v>
      </c>
      <c r="C105" s="157">
        <v>2485993</v>
      </c>
      <c r="D105" s="157">
        <v>4911176</v>
      </c>
      <c r="E105" s="157">
        <f t="shared" si="4"/>
        <v>2425183</v>
      </c>
      <c r="F105" s="161">
        <f t="shared" si="5"/>
        <v>0.97553894962696996</v>
      </c>
    </row>
    <row r="106" spans="1:6" ht="15" customHeight="1" x14ac:dyDescent="0.2">
      <c r="A106" s="147">
        <v>4</v>
      </c>
      <c r="B106" s="169" t="s">
        <v>236</v>
      </c>
      <c r="C106" s="157">
        <v>1647774</v>
      </c>
      <c r="D106" s="157">
        <v>2129187</v>
      </c>
      <c r="E106" s="157">
        <f t="shared" si="4"/>
        <v>481413</v>
      </c>
      <c r="F106" s="161">
        <f t="shared" si="5"/>
        <v>0.29215960441177008</v>
      </c>
    </row>
    <row r="107" spans="1:6" ht="15" customHeight="1" x14ac:dyDescent="0.2">
      <c r="A107" s="147">
        <v>5</v>
      </c>
      <c r="B107" s="169" t="s">
        <v>237</v>
      </c>
      <c r="C107" s="157">
        <v>8487861</v>
      </c>
      <c r="D107" s="157">
        <v>10439903</v>
      </c>
      <c r="E107" s="157">
        <f t="shared" si="4"/>
        <v>1952042</v>
      </c>
      <c r="F107" s="161">
        <f t="shared" si="5"/>
        <v>0.22998043912359073</v>
      </c>
    </row>
    <row r="108" spans="1:6" ht="15" customHeight="1" x14ac:dyDescent="0.2">
      <c r="A108" s="147">
        <v>6</v>
      </c>
      <c r="B108" s="169" t="s">
        <v>238</v>
      </c>
      <c r="C108" s="157">
        <v>676302</v>
      </c>
      <c r="D108" s="157">
        <v>543419</v>
      </c>
      <c r="E108" s="157">
        <f t="shared" si="4"/>
        <v>-132883</v>
      </c>
      <c r="F108" s="161">
        <f t="shared" si="5"/>
        <v>-0.19648470653642899</v>
      </c>
    </row>
    <row r="109" spans="1:6" ht="15" customHeight="1" x14ac:dyDescent="0.2">
      <c r="A109" s="147">
        <v>7</v>
      </c>
      <c r="B109" s="169" t="s">
        <v>239</v>
      </c>
      <c r="C109" s="157">
        <v>0</v>
      </c>
      <c r="D109" s="157">
        <v>0</v>
      </c>
      <c r="E109" s="157">
        <f t="shared" si="4"/>
        <v>0</v>
      </c>
      <c r="F109" s="161">
        <f t="shared" si="5"/>
        <v>0</v>
      </c>
    </row>
    <row r="110" spans="1:6" ht="15" customHeight="1" x14ac:dyDescent="0.2">
      <c r="A110" s="147">
        <v>8</v>
      </c>
      <c r="B110" s="169" t="s">
        <v>240</v>
      </c>
      <c r="C110" s="157">
        <v>1244437</v>
      </c>
      <c r="D110" s="157">
        <v>1384586</v>
      </c>
      <c r="E110" s="157">
        <f t="shared" si="4"/>
        <v>140149</v>
      </c>
      <c r="F110" s="161">
        <f t="shared" si="5"/>
        <v>0.1126204058542136</v>
      </c>
    </row>
    <row r="111" spans="1:6" ht="15" customHeight="1" x14ac:dyDescent="0.2">
      <c r="A111" s="147">
        <v>9</v>
      </c>
      <c r="B111" s="169" t="s">
        <v>241</v>
      </c>
      <c r="C111" s="157">
        <v>2750842</v>
      </c>
      <c r="D111" s="157">
        <v>2772404</v>
      </c>
      <c r="E111" s="157">
        <f t="shared" si="4"/>
        <v>21562</v>
      </c>
      <c r="F111" s="161">
        <f t="shared" si="5"/>
        <v>7.8383273194171099E-3</v>
      </c>
    </row>
    <row r="112" spans="1:6" ht="15" customHeight="1" x14ac:dyDescent="0.2">
      <c r="A112" s="147">
        <v>10</v>
      </c>
      <c r="B112" s="169" t="s">
        <v>242</v>
      </c>
      <c r="C112" s="157">
        <v>3745523</v>
      </c>
      <c r="D112" s="157">
        <v>3851800</v>
      </c>
      <c r="E112" s="157">
        <f t="shared" si="4"/>
        <v>106277</v>
      </c>
      <c r="F112" s="161">
        <f t="shared" si="5"/>
        <v>2.8374408593940019E-2</v>
      </c>
    </row>
    <row r="113" spans="1:6" ht="15" customHeight="1" x14ac:dyDescent="0.2">
      <c r="A113" s="147">
        <v>11</v>
      </c>
      <c r="B113" s="169" t="s">
        <v>243</v>
      </c>
      <c r="C113" s="157">
        <v>2469753</v>
      </c>
      <c r="D113" s="157">
        <v>2592221</v>
      </c>
      <c r="E113" s="157">
        <f t="shared" si="4"/>
        <v>122468</v>
      </c>
      <c r="F113" s="161">
        <f t="shared" si="5"/>
        <v>4.9587144949312746E-2</v>
      </c>
    </row>
    <row r="114" spans="1:6" ht="15" customHeight="1" x14ac:dyDescent="0.2">
      <c r="A114" s="147">
        <v>12</v>
      </c>
      <c r="B114" s="169" t="s">
        <v>244</v>
      </c>
      <c r="C114" s="157">
        <v>3802980</v>
      </c>
      <c r="D114" s="157">
        <v>3984269</v>
      </c>
      <c r="E114" s="157">
        <f t="shared" si="4"/>
        <v>181289</v>
      </c>
      <c r="F114" s="161">
        <f t="shared" si="5"/>
        <v>4.7670248068619872E-2</v>
      </c>
    </row>
    <row r="115" spans="1:6" ht="15" customHeight="1" x14ac:dyDescent="0.2">
      <c r="A115" s="147">
        <v>13</v>
      </c>
      <c r="B115" s="169" t="s">
        <v>245</v>
      </c>
      <c r="C115" s="157">
        <v>5690632</v>
      </c>
      <c r="D115" s="157">
        <v>5803090</v>
      </c>
      <c r="E115" s="157">
        <f t="shared" si="4"/>
        <v>112458</v>
      </c>
      <c r="F115" s="161">
        <f t="shared" si="5"/>
        <v>1.9761952626702974E-2</v>
      </c>
    </row>
    <row r="116" spans="1:6" ht="15" customHeight="1" x14ac:dyDescent="0.2">
      <c r="A116" s="147">
        <v>14</v>
      </c>
      <c r="B116" s="169" t="s">
        <v>246</v>
      </c>
      <c r="C116" s="157">
        <v>0</v>
      </c>
      <c r="D116" s="157">
        <v>0</v>
      </c>
      <c r="E116" s="157">
        <f t="shared" si="4"/>
        <v>0</v>
      </c>
      <c r="F116" s="161">
        <f t="shared" si="5"/>
        <v>0</v>
      </c>
    </row>
    <row r="117" spans="1:6" ht="15" customHeight="1" x14ac:dyDescent="0.2">
      <c r="A117" s="147">
        <v>15</v>
      </c>
      <c r="B117" s="169" t="s">
        <v>203</v>
      </c>
      <c r="C117" s="157">
        <v>2343646</v>
      </c>
      <c r="D117" s="157">
        <v>2900434</v>
      </c>
      <c r="E117" s="157">
        <f t="shared" si="4"/>
        <v>556788</v>
      </c>
      <c r="F117" s="161">
        <f t="shared" si="5"/>
        <v>0.2375734219246422</v>
      </c>
    </row>
    <row r="118" spans="1:6" ht="15" customHeight="1" x14ac:dyDescent="0.2">
      <c r="A118" s="147">
        <v>16</v>
      </c>
      <c r="B118" s="169" t="s">
        <v>247</v>
      </c>
      <c r="C118" s="157">
        <v>538810</v>
      </c>
      <c r="D118" s="157">
        <v>567362</v>
      </c>
      <c r="E118" s="157">
        <f t="shared" si="4"/>
        <v>28552</v>
      </c>
      <c r="F118" s="161">
        <f t="shared" si="5"/>
        <v>5.2990850206937508E-2</v>
      </c>
    </row>
    <row r="119" spans="1:6" ht="15" customHeight="1" x14ac:dyDescent="0.2">
      <c r="A119" s="147">
        <v>17</v>
      </c>
      <c r="B119" s="169" t="s">
        <v>248</v>
      </c>
      <c r="C119" s="157">
        <v>7244776</v>
      </c>
      <c r="D119" s="157">
        <v>7789076</v>
      </c>
      <c r="E119" s="157">
        <f t="shared" si="4"/>
        <v>544300</v>
      </c>
      <c r="F119" s="161">
        <f t="shared" si="5"/>
        <v>7.5129997117923314E-2</v>
      </c>
    </row>
    <row r="120" spans="1:6" ht="15" customHeight="1" x14ac:dyDescent="0.2">
      <c r="A120" s="147">
        <v>18</v>
      </c>
      <c r="B120" s="169" t="s">
        <v>249</v>
      </c>
      <c r="C120" s="157">
        <v>39115048</v>
      </c>
      <c r="D120" s="157">
        <v>37631451</v>
      </c>
      <c r="E120" s="157">
        <f t="shared" si="4"/>
        <v>-1483597</v>
      </c>
      <c r="F120" s="161">
        <f t="shared" si="5"/>
        <v>-3.7929059936216876E-2</v>
      </c>
    </row>
    <row r="121" spans="1:6" ht="15.75" customHeight="1" x14ac:dyDescent="0.25">
      <c r="A121" s="147"/>
      <c r="B121" s="165" t="s">
        <v>250</v>
      </c>
      <c r="C121" s="158">
        <f>SUM(C103:C120)</f>
        <v>112540857</v>
      </c>
      <c r="D121" s="158">
        <f>SUM(D103:D120)</f>
        <v>111879791</v>
      </c>
      <c r="E121" s="158">
        <f t="shared" si="4"/>
        <v>-661066</v>
      </c>
      <c r="F121" s="159">
        <f t="shared" si="5"/>
        <v>-5.8740089388158827E-3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4748379</v>
      </c>
      <c r="D125" s="157">
        <v>5553277</v>
      </c>
      <c r="E125" s="157">
        <f t="shared" si="6"/>
        <v>804898</v>
      </c>
      <c r="F125" s="161">
        <f t="shared" si="7"/>
        <v>0.16951005806402564</v>
      </c>
    </row>
    <row r="126" spans="1:6" ht="15" customHeight="1" x14ac:dyDescent="0.2">
      <c r="A126" s="147">
        <v>3</v>
      </c>
      <c r="B126" s="169" t="s">
        <v>254</v>
      </c>
      <c r="C126" s="157">
        <v>1459508</v>
      </c>
      <c r="D126" s="157">
        <v>1163716</v>
      </c>
      <c r="E126" s="157">
        <f t="shared" si="6"/>
        <v>-295792</v>
      </c>
      <c r="F126" s="161">
        <f t="shared" si="7"/>
        <v>-0.20266555579003334</v>
      </c>
    </row>
    <row r="127" spans="1:6" ht="15" customHeight="1" x14ac:dyDescent="0.2">
      <c r="A127" s="147">
        <v>4</v>
      </c>
      <c r="B127" s="169" t="s">
        <v>255</v>
      </c>
      <c r="C127" s="157">
        <v>2560203</v>
      </c>
      <c r="D127" s="157">
        <v>4722684</v>
      </c>
      <c r="E127" s="157">
        <f t="shared" si="6"/>
        <v>2162481</v>
      </c>
      <c r="F127" s="161">
        <f t="shared" si="7"/>
        <v>0.84465216234806384</v>
      </c>
    </row>
    <row r="128" spans="1:6" ht="15" customHeight="1" x14ac:dyDescent="0.2">
      <c r="A128" s="147">
        <v>5</v>
      </c>
      <c r="B128" s="169" t="s">
        <v>256</v>
      </c>
      <c r="C128" s="157">
        <v>0</v>
      </c>
      <c r="D128" s="157">
        <v>0</v>
      </c>
      <c r="E128" s="157">
        <f t="shared" si="6"/>
        <v>0</v>
      </c>
      <c r="F128" s="161">
        <f t="shared" si="7"/>
        <v>0</v>
      </c>
    </row>
    <row r="129" spans="1:6" ht="15" customHeight="1" x14ac:dyDescent="0.2">
      <c r="A129" s="147">
        <v>6</v>
      </c>
      <c r="B129" s="169" t="s">
        <v>257</v>
      </c>
      <c r="C129" s="157">
        <v>2482202</v>
      </c>
      <c r="D129" s="157">
        <v>2489793</v>
      </c>
      <c r="E129" s="157">
        <f t="shared" si="6"/>
        <v>7591</v>
      </c>
      <c r="F129" s="161">
        <f t="shared" si="7"/>
        <v>3.0581717362245298E-3</v>
      </c>
    </row>
    <row r="130" spans="1:6" ht="15.75" customHeight="1" x14ac:dyDescent="0.25">
      <c r="A130" s="147"/>
      <c r="B130" s="165" t="s">
        <v>258</v>
      </c>
      <c r="C130" s="158">
        <f>SUM(C124:C129)</f>
        <v>11250292</v>
      </c>
      <c r="D130" s="158">
        <f>SUM(D124:D129)</f>
        <v>13929470</v>
      </c>
      <c r="E130" s="158">
        <f t="shared" si="6"/>
        <v>2679178</v>
      </c>
      <c r="F130" s="159">
        <f t="shared" si="7"/>
        <v>0.23814297442235277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17845658</v>
      </c>
      <c r="D133" s="157">
        <v>18378395</v>
      </c>
      <c r="E133" s="157">
        <f t="shared" ref="E133:E167" si="8">D133-C133</f>
        <v>532737</v>
      </c>
      <c r="F133" s="161">
        <f t="shared" ref="F133:F167" si="9">IF(C133=0,0,E133/C133)</f>
        <v>2.9852471676863918E-2</v>
      </c>
    </row>
    <row r="134" spans="1:6" ht="15" customHeight="1" x14ac:dyDescent="0.2">
      <c r="A134" s="147">
        <v>2</v>
      </c>
      <c r="B134" s="169" t="s">
        <v>261</v>
      </c>
      <c r="C134" s="157">
        <v>720190</v>
      </c>
      <c r="D134" s="157">
        <v>721662</v>
      </c>
      <c r="E134" s="157">
        <f t="shared" si="8"/>
        <v>1472</v>
      </c>
      <c r="F134" s="161">
        <f t="shared" si="9"/>
        <v>2.0439050806037294E-3</v>
      </c>
    </row>
    <row r="135" spans="1:6" ht="15" customHeight="1" x14ac:dyDescent="0.2">
      <c r="A135" s="147">
        <v>3</v>
      </c>
      <c r="B135" s="169" t="s">
        <v>262</v>
      </c>
      <c r="C135" s="157">
        <v>1072022</v>
      </c>
      <c r="D135" s="157">
        <v>1183207</v>
      </c>
      <c r="E135" s="157">
        <f t="shared" si="8"/>
        <v>111185</v>
      </c>
      <c r="F135" s="161">
        <f t="shared" si="9"/>
        <v>0.10371522226222969</v>
      </c>
    </row>
    <row r="136" spans="1:6" ht="15" customHeight="1" x14ac:dyDescent="0.2">
      <c r="A136" s="147">
        <v>4</v>
      </c>
      <c r="B136" s="169" t="s">
        <v>263</v>
      </c>
      <c r="C136" s="157">
        <v>3538581</v>
      </c>
      <c r="D136" s="157">
        <v>3636382</v>
      </c>
      <c r="E136" s="157">
        <f t="shared" si="8"/>
        <v>97801</v>
      </c>
      <c r="F136" s="161">
        <f t="shared" si="9"/>
        <v>2.7638479944361877E-2</v>
      </c>
    </row>
    <row r="137" spans="1:6" ht="15" customHeight="1" x14ac:dyDescent="0.2">
      <c r="A137" s="147">
        <v>5</v>
      </c>
      <c r="B137" s="169" t="s">
        <v>264</v>
      </c>
      <c r="C137" s="157">
        <v>4049234</v>
      </c>
      <c r="D137" s="157">
        <v>3881563</v>
      </c>
      <c r="E137" s="157">
        <f t="shared" si="8"/>
        <v>-167671</v>
      </c>
      <c r="F137" s="161">
        <f t="shared" si="9"/>
        <v>-4.1408078663767021E-2</v>
      </c>
    </row>
    <row r="138" spans="1:6" ht="15" customHeight="1" x14ac:dyDescent="0.2">
      <c r="A138" s="147">
        <v>6</v>
      </c>
      <c r="B138" s="169" t="s">
        <v>265</v>
      </c>
      <c r="C138" s="157">
        <v>0</v>
      </c>
      <c r="D138" s="157">
        <v>0</v>
      </c>
      <c r="E138" s="157">
        <f t="shared" si="8"/>
        <v>0</v>
      </c>
      <c r="F138" s="161">
        <f t="shared" si="9"/>
        <v>0</v>
      </c>
    </row>
    <row r="139" spans="1:6" ht="15" customHeight="1" x14ac:dyDescent="0.2">
      <c r="A139" s="147">
        <v>7</v>
      </c>
      <c r="B139" s="169" t="s">
        <v>266</v>
      </c>
      <c r="C139" s="157">
        <v>1656</v>
      </c>
      <c r="D139" s="157">
        <v>0</v>
      </c>
      <c r="E139" s="157">
        <f t="shared" si="8"/>
        <v>-1656</v>
      </c>
      <c r="F139" s="161">
        <f t="shared" si="9"/>
        <v>-1</v>
      </c>
    </row>
    <row r="140" spans="1:6" ht="15" customHeight="1" x14ac:dyDescent="0.2">
      <c r="A140" s="147">
        <v>8</v>
      </c>
      <c r="B140" s="169" t="s">
        <v>267</v>
      </c>
      <c r="C140" s="157">
        <v>602204</v>
      </c>
      <c r="D140" s="157">
        <v>517861</v>
      </c>
      <c r="E140" s="157">
        <f t="shared" si="8"/>
        <v>-84343</v>
      </c>
      <c r="F140" s="161">
        <f t="shared" si="9"/>
        <v>-0.14005718992235189</v>
      </c>
    </row>
    <row r="141" spans="1:6" ht="15" customHeight="1" x14ac:dyDescent="0.2">
      <c r="A141" s="147">
        <v>9</v>
      </c>
      <c r="B141" s="169" t="s">
        <v>268</v>
      </c>
      <c r="C141" s="157">
        <v>851809</v>
      </c>
      <c r="D141" s="157">
        <v>841630</v>
      </c>
      <c r="E141" s="157">
        <f t="shared" si="8"/>
        <v>-10179</v>
      </c>
      <c r="F141" s="161">
        <f t="shared" si="9"/>
        <v>-1.1949861999579718E-2</v>
      </c>
    </row>
    <row r="142" spans="1:6" ht="15" customHeight="1" x14ac:dyDescent="0.2">
      <c r="A142" s="147">
        <v>10</v>
      </c>
      <c r="B142" s="169" t="s">
        <v>269</v>
      </c>
      <c r="C142" s="157">
        <v>9462543</v>
      </c>
      <c r="D142" s="157">
        <v>9978216</v>
      </c>
      <c r="E142" s="157">
        <f t="shared" si="8"/>
        <v>515673</v>
      </c>
      <c r="F142" s="161">
        <f t="shared" si="9"/>
        <v>5.4496238484728683E-2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4300885</v>
      </c>
      <c r="D144" s="157">
        <v>4000772</v>
      </c>
      <c r="E144" s="157">
        <f t="shared" si="8"/>
        <v>-300113</v>
      </c>
      <c r="F144" s="161">
        <f t="shared" si="9"/>
        <v>-6.9779359364409876E-2</v>
      </c>
    </row>
    <row r="145" spans="1:6" ht="15" customHeight="1" x14ac:dyDescent="0.2">
      <c r="A145" s="147">
        <v>13</v>
      </c>
      <c r="B145" s="169" t="s">
        <v>272</v>
      </c>
      <c r="C145" s="157">
        <v>1072978</v>
      </c>
      <c r="D145" s="157">
        <v>694502</v>
      </c>
      <c r="E145" s="157">
        <f t="shared" si="8"/>
        <v>-378476</v>
      </c>
      <c r="F145" s="161">
        <f t="shared" si="9"/>
        <v>-0.35273416603136321</v>
      </c>
    </row>
    <row r="146" spans="1:6" ht="15" customHeight="1" x14ac:dyDescent="0.2">
      <c r="A146" s="147">
        <v>14</v>
      </c>
      <c r="B146" s="169" t="s">
        <v>273</v>
      </c>
      <c r="C146" s="157">
        <v>778563</v>
      </c>
      <c r="D146" s="157">
        <v>704131</v>
      </c>
      <c r="E146" s="157">
        <f t="shared" si="8"/>
        <v>-74432</v>
      </c>
      <c r="F146" s="161">
        <f t="shared" si="9"/>
        <v>-9.5601768899883505E-2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1408788</v>
      </c>
      <c r="D150" s="157">
        <v>1390412</v>
      </c>
      <c r="E150" s="157">
        <f t="shared" si="8"/>
        <v>-18376</v>
      </c>
      <c r="F150" s="161">
        <f t="shared" si="9"/>
        <v>-1.3043836262091954E-2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253033</v>
      </c>
      <c r="D152" s="157">
        <v>266827</v>
      </c>
      <c r="E152" s="157">
        <f t="shared" si="8"/>
        <v>13794</v>
      </c>
      <c r="F152" s="161">
        <f t="shared" si="9"/>
        <v>5.4514628526713904E-2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0</v>
      </c>
      <c r="D154" s="157">
        <v>0</v>
      </c>
      <c r="E154" s="157">
        <f t="shared" si="8"/>
        <v>0</v>
      </c>
      <c r="F154" s="161">
        <f t="shared" si="9"/>
        <v>0</v>
      </c>
    </row>
    <row r="155" spans="1:6" ht="15" customHeight="1" x14ac:dyDescent="0.2">
      <c r="A155" s="147">
        <v>23</v>
      </c>
      <c r="B155" s="169" t="s">
        <v>282</v>
      </c>
      <c r="C155" s="157">
        <v>383198</v>
      </c>
      <c r="D155" s="157">
        <v>361844</v>
      </c>
      <c r="E155" s="157">
        <f t="shared" si="8"/>
        <v>-21354</v>
      </c>
      <c r="F155" s="161">
        <f t="shared" si="9"/>
        <v>-5.5725760572863117E-2</v>
      </c>
    </row>
    <row r="156" spans="1:6" ht="15" customHeight="1" x14ac:dyDescent="0.2">
      <c r="A156" s="147">
        <v>24</v>
      </c>
      <c r="B156" s="169" t="s">
        <v>283</v>
      </c>
      <c r="C156" s="157">
        <v>10382413</v>
      </c>
      <c r="D156" s="157">
        <v>11257986</v>
      </c>
      <c r="E156" s="157">
        <f t="shared" si="8"/>
        <v>875573</v>
      </c>
      <c r="F156" s="161">
        <f t="shared" si="9"/>
        <v>8.4332322360900117E-2</v>
      </c>
    </row>
    <row r="157" spans="1:6" ht="15" customHeight="1" x14ac:dyDescent="0.2">
      <c r="A157" s="147">
        <v>25</v>
      </c>
      <c r="B157" s="169" t="s">
        <v>284</v>
      </c>
      <c r="C157" s="157">
        <v>704851</v>
      </c>
      <c r="D157" s="157">
        <v>1120317</v>
      </c>
      <c r="E157" s="157">
        <f t="shared" si="8"/>
        <v>415466</v>
      </c>
      <c r="F157" s="161">
        <f t="shared" si="9"/>
        <v>0.5894380514463341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0</v>
      </c>
      <c r="D160" s="157">
        <v>0</v>
      </c>
      <c r="E160" s="157">
        <f t="shared" si="8"/>
        <v>0</v>
      </c>
      <c r="F160" s="161">
        <f t="shared" si="9"/>
        <v>0</v>
      </c>
    </row>
    <row r="161" spans="1:6" ht="15" customHeight="1" x14ac:dyDescent="0.2">
      <c r="A161" s="147">
        <v>29</v>
      </c>
      <c r="B161" s="169" t="s">
        <v>288</v>
      </c>
      <c r="C161" s="157">
        <v>0</v>
      </c>
      <c r="D161" s="157">
        <v>0</v>
      </c>
      <c r="E161" s="157">
        <f t="shared" si="8"/>
        <v>0</v>
      </c>
      <c r="F161" s="161">
        <f t="shared" si="9"/>
        <v>0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0</v>
      </c>
      <c r="D163" s="157">
        <v>0</v>
      </c>
      <c r="E163" s="157">
        <f t="shared" si="8"/>
        <v>0</v>
      </c>
      <c r="F163" s="161">
        <f t="shared" si="9"/>
        <v>0</v>
      </c>
    </row>
    <row r="164" spans="1:6" ht="15" customHeight="1" x14ac:dyDescent="0.2">
      <c r="A164" s="147">
        <v>32</v>
      </c>
      <c r="B164" s="169" t="s">
        <v>291</v>
      </c>
      <c r="C164" s="157">
        <v>1691911</v>
      </c>
      <c r="D164" s="157">
        <v>1755562</v>
      </c>
      <c r="E164" s="157">
        <f t="shared" si="8"/>
        <v>63651</v>
      </c>
      <c r="F164" s="161">
        <f t="shared" si="9"/>
        <v>3.7620773196698883E-2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0</v>
      </c>
      <c r="D166" s="157">
        <v>0</v>
      </c>
      <c r="E166" s="157">
        <f t="shared" si="8"/>
        <v>0</v>
      </c>
      <c r="F166" s="161">
        <f t="shared" si="9"/>
        <v>0</v>
      </c>
    </row>
    <row r="167" spans="1:6" ht="15.75" customHeight="1" x14ac:dyDescent="0.25">
      <c r="A167" s="147"/>
      <c r="B167" s="165" t="s">
        <v>294</v>
      </c>
      <c r="C167" s="158">
        <f>SUM(C133:C166)</f>
        <v>59120517</v>
      </c>
      <c r="D167" s="158">
        <f>SUM(D133:D166)</f>
        <v>60691269</v>
      </c>
      <c r="E167" s="158">
        <f t="shared" si="8"/>
        <v>1570752</v>
      </c>
      <c r="F167" s="159">
        <f t="shared" si="9"/>
        <v>2.6568644519803505E-2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16888053</v>
      </c>
      <c r="D170" s="157">
        <v>17042160</v>
      </c>
      <c r="E170" s="157">
        <f t="shared" ref="E170:E183" si="10">D170-C170</f>
        <v>154107</v>
      </c>
      <c r="F170" s="161">
        <f t="shared" ref="F170:F183" si="11">IF(C170=0,0,E170/C170)</f>
        <v>9.1252082167198323E-3</v>
      </c>
    </row>
    <row r="171" spans="1:6" ht="15" customHeight="1" x14ac:dyDescent="0.2">
      <c r="A171" s="147">
        <v>2</v>
      </c>
      <c r="B171" s="169" t="s">
        <v>297</v>
      </c>
      <c r="C171" s="157">
        <v>3797540</v>
      </c>
      <c r="D171" s="157">
        <v>3691234</v>
      </c>
      <c r="E171" s="157">
        <f t="shared" si="10"/>
        <v>-106306</v>
      </c>
      <c r="F171" s="161">
        <f t="shared" si="11"/>
        <v>-2.7993385191466054E-2</v>
      </c>
    </row>
    <row r="172" spans="1:6" ht="15" customHeight="1" x14ac:dyDescent="0.2">
      <c r="A172" s="147">
        <v>3</v>
      </c>
      <c r="B172" s="169" t="s">
        <v>298</v>
      </c>
      <c r="C172" s="157">
        <v>1266963</v>
      </c>
      <c r="D172" s="157">
        <v>1210821</v>
      </c>
      <c r="E172" s="157">
        <f t="shared" si="10"/>
        <v>-56142</v>
      </c>
      <c r="F172" s="161">
        <f t="shared" si="11"/>
        <v>-4.4312264841198996E-2</v>
      </c>
    </row>
    <row r="173" spans="1:6" ht="15" customHeight="1" x14ac:dyDescent="0.2">
      <c r="A173" s="147">
        <v>4</v>
      </c>
      <c r="B173" s="169" t="s">
        <v>299</v>
      </c>
      <c r="C173" s="157">
        <v>1393935</v>
      </c>
      <c r="D173" s="157">
        <v>1498094</v>
      </c>
      <c r="E173" s="157">
        <f t="shared" si="10"/>
        <v>104159</v>
      </c>
      <c r="F173" s="161">
        <f t="shared" si="11"/>
        <v>7.47229964094452E-2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0</v>
      </c>
      <c r="D175" s="157">
        <v>0</v>
      </c>
      <c r="E175" s="157">
        <f t="shared" si="10"/>
        <v>0</v>
      </c>
      <c r="F175" s="161">
        <f t="shared" si="11"/>
        <v>0</v>
      </c>
    </row>
    <row r="176" spans="1:6" ht="15" customHeight="1" x14ac:dyDescent="0.2">
      <c r="A176" s="147">
        <v>7</v>
      </c>
      <c r="B176" s="169" t="s">
        <v>302</v>
      </c>
      <c r="C176" s="157">
        <v>1444546</v>
      </c>
      <c r="D176" s="157">
        <v>1526434</v>
      </c>
      <c r="E176" s="157">
        <f t="shared" si="10"/>
        <v>81888</v>
      </c>
      <c r="F176" s="161">
        <f t="shared" si="11"/>
        <v>5.6687706725850197E-2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9985986</v>
      </c>
      <c r="D179" s="157">
        <v>9715470</v>
      </c>
      <c r="E179" s="157">
        <f t="shared" si="10"/>
        <v>-270516</v>
      </c>
      <c r="F179" s="161">
        <f t="shared" si="11"/>
        <v>-2.708956331402828E-2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3441631</v>
      </c>
      <c r="D181" s="157">
        <v>4924121</v>
      </c>
      <c r="E181" s="157">
        <f t="shared" si="10"/>
        <v>1482490</v>
      </c>
      <c r="F181" s="161">
        <f t="shared" si="11"/>
        <v>0.43075216372702363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38218654</v>
      </c>
      <c r="D183" s="158">
        <f>SUM(D170:D182)</f>
        <v>39608334</v>
      </c>
      <c r="E183" s="158">
        <f t="shared" si="10"/>
        <v>1389680</v>
      </c>
      <c r="F183" s="159">
        <f t="shared" si="11"/>
        <v>3.6361301473359059E-2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785057</v>
      </c>
      <c r="D186" s="157">
        <v>1117874</v>
      </c>
      <c r="E186" s="157">
        <f>D186-C186</f>
        <v>332817</v>
      </c>
      <c r="F186" s="161">
        <f>IF(C186=0,0,E186/C186)</f>
        <v>0.42393991773845718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221915377</v>
      </c>
      <c r="D188" s="158">
        <f>+D186+D183+D167+D130+D121</f>
        <v>227226738</v>
      </c>
      <c r="E188" s="158">
        <f>D188-C188</f>
        <v>5311361</v>
      </c>
      <c r="F188" s="159">
        <f>IF(C188=0,0,E188/C188)</f>
        <v>2.3934172889695696E-2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MARY`S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225742944</v>
      </c>
      <c r="D11" s="183">
        <v>227491163</v>
      </c>
      <c r="E11" s="76">
        <v>238729196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5263891</v>
      </c>
      <c r="D12" s="185">
        <v>5912911</v>
      </c>
      <c r="E12" s="185">
        <v>8705634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231006835</v>
      </c>
      <c r="D13" s="76">
        <f>+D11+D12</f>
        <v>233404074</v>
      </c>
      <c r="E13" s="76">
        <f>+E11+E12</f>
        <v>247434830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218384632</v>
      </c>
      <c r="D14" s="185">
        <v>221915377</v>
      </c>
      <c r="E14" s="185">
        <v>227226738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12622203</v>
      </c>
      <c r="D15" s="76">
        <f>+D13-D14</f>
        <v>11488697</v>
      </c>
      <c r="E15" s="76">
        <f>+E13-E14</f>
        <v>20208092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2413724</v>
      </c>
      <c r="D16" s="185">
        <v>6947833</v>
      </c>
      <c r="E16" s="185">
        <v>5016722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15035927</v>
      </c>
      <c r="D17" s="76">
        <f>D15+D16</f>
        <v>18436530</v>
      </c>
      <c r="E17" s="76">
        <f>E15+E16</f>
        <v>25224814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5.4074941188021058E-2</v>
      </c>
      <c r="D20" s="189">
        <f>IF(+D27=0,0,+D24/+D27)</f>
        <v>4.7799483446578188E-2</v>
      </c>
      <c r="E20" s="189">
        <f>IF(+E27=0,0,+E24/+E27)</f>
        <v>8.0047406482175246E-2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1.034066583655127E-2</v>
      </c>
      <c r="D21" s="189">
        <f>IF(D27=0,0,+D26/D27)</f>
        <v>2.8906918554218088E-2</v>
      </c>
      <c r="E21" s="189">
        <f>IF(E27=0,0,+E26/E27)</f>
        <v>1.9872018849779145E-2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6.441560702457233E-2</v>
      </c>
      <c r="D22" s="189">
        <f>IF(D27=0,0,+D28/D27)</f>
        <v>7.6706402000796273E-2</v>
      </c>
      <c r="E22" s="189">
        <f>IF(E27=0,0,+E28/E27)</f>
        <v>9.9919425331954387E-2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12622203</v>
      </c>
      <c r="D24" s="76">
        <f>+D15</f>
        <v>11488697</v>
      </c>
      <c r="E24" s="76">
        <f>+E15</f>
        <v>20208092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231006835</v>
      </c>
      <c r="D25" s="76">
        <f>+D13</f>
        <v>233404074</v>
      </c>
      <c r="E25" s="76">
        <f>+E13</f>
        <v>247434830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2413724</v>
      </c>
      <c r="D26" s="76">
        <f>+D16</f>
        <v>6947833</v>
      </c>
      <c r="E26" s="76">
        <f>+E16</f>
        <v>5016722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233420559</v>
      </c>
      <c r="D27" s="76">
        <f>+D25+D26</f>
        <v>240351907</v>
      </c>
      <c r="E27" s="76">
        <f>+E25+E26</f>
        <v>252451552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15035927</v>
      </c>
      <c r="D28" s="76">
        <f>+D17</f>
        <v>18436530</v>
      </c>
      <c r="E28" s="76">
        <f>+E17</f>
        <v>25224814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72000</v>
      </c>
      <c r="D31" s="76">
        <v>31173000</v>
      </c>
      <c r="E31" s="76">
        <v>27668000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17924000</v>
      </c>
      <c r="D32" s="76">
        <v>49697000</v>
      </c>
      <c r="E32" s="76">
        <v>46764000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4297829</v>
      </c>
      <c r="D33" s="76">
        <f>+D32-C32</f>
        <v>31773000</v>
      </c>
      <c r="E33" s="76">
        <f>+E32-D32</f>
        <v>-2933000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1.3153999999999999</v>
      </c>
      <c r="D34" s="193">
        <f>IF(C32=0,0,+D33/C32)</f>
        <v>1.7726511939299263</v>
      </c>
      <c r="E34" s="193">
        <f>IF(D32=0,0,+E33/D32)</f>
        <v>-5.9017646940459183E-2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0.37905134337508223</v>
      </c>
      <c r="D38" s="195">
        <f>IF((D40+D41)=0,0,+D39/(D40+D41))</f>
        <v>0.36709622545342924</v>
      </c>
      <c r="E38" s="195">
        <f>IF((E40+E41)=0,0,+E39/(E40+E41))</f>
        <v>0.33779606200965079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218384632</v>
      </c>
      <c r="D39" s="76">
        <v>221915377</v>
      </c>
      <c r="E39" s="196">
        <v>227226738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568562940</v>
      </c>
      <c r="D40" s="76">
        <v>598602640</v>
      </c>
      <c r="E40" s="196">
        <v>663968691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7571760</v>
      </c>
      <c r="D41" s="76">
        <v>5912911</v>
      </c>
      <c r="E41" s="196">
        <v>8705634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1.1268617293685561</v>
      </c>
      <c r="D43" s="197">
        <f>IF(D38=0,0,IF((D46-D47)=0,0,((+D44-D45)/(D46-D47)/D38)))</f>
        <v>1.0956907194037737</v>
      </c>
      <c r="E43" s="197">
        <f>IF(E38=0,0,IF((E46-E47)=0,0,((+E44-E45)/(E46-E47)/E38)))</f>
        <v>1.2119182725546811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85486463</v>
      </c>
      <c r="D44" s="76">
        <v>80113195</v>
      </c>
      <c r="E44" s="196">
        <v>88609518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520059</v>
      </c>
      <c r="D45" s="76">
        <v>246168</v>
      </c>
      <c r="E45" s="196">
        <v>404836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210325531</v>
      </c>
      <c r="D46" s="76">
        <v>211127757</v>
      </c>
      <c r="E46" s="196">
        <v>226835968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11405477</v>
      </c>
      <c r="D47" s="76">
        <v>12564167</v>
      </c>
      <c r="E47" s="76">
        <v>11377423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1.0034091973964543</v>
      </c>
      <c r="D49" s="198">
        <f>IF(D38=0,0,IF(D51=0,0,(D50/D51)/D38))</f>
        <v>0.98379889244915608</v>
      </c>
      <c r="E49" s="198">
        <f>IF(E38=0,0,IF(E51=0,0,(E50/E51)/E38))</f>
        <v>1.0374883639212447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85079847</v>
      </c>
      <c r="D50" s="199">
        <v>83130678</v>
      </c>
      <c r="E50" s="199">
        <v>90019262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223692067</v>
      </c>
      <c r="D51" s="199">
        <v>230183969</v>
      </c>
      <c r="E51" s="199">
        <v>256860682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0.76344259583209284</v>
      </c>
      <c r="D53" s="198">
        <f>IF(D38=0,0,IF(D55=0,0,(D54/D55)/D38))</f>
        <v>0.83811883229170303</v>
      </c>
      <c r="E53" s="198">
        <f>IF(E38=0,0,IF(E55=0,0,(E54/E55)/E38))</f>
        <v>0.82575397105874981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38705516</v>
      </c>
      <c r="D54" s="199">
        <v>48093069</v>
      </c>
      <c r="E54" s="199">
        <v>50013341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133751430</v>
      </c>
      <c r="D55" s="199">
        <v>156313675</v>
      </c>
      <c r="E55" s="199">
        <v>179300134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4126132.316099301</v>
      </c>
      <c r="D57" s="88">
        <f>+D60*D38</f>
        <v>4521846.8864920614</v>
      </c>
      <c r="E57" s="88">
        <f>+E60*E38</f>
        <v>3706496.678658288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384059</v>
      </c>
      <c r="D58" s="199">
        <v>248631</v>
      </c>
      <c r="E58" s="199">
        <v>894442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10501359</v>
      </c>
      <c r="D59" s="199">
        <v>12069248</v>
      </c>
      <c r="E59" s="199">
        <v>10078145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10885418</v>
      </c>
      <c r="D60" s="76">
        <v>12317879</v>
      </c>
      <c r="E60" s="201">
        <v>10972587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1.8893876727091773E-2</v>
      </c>
      <c r="D62" s="202">
        <f>IF(D63=0,0,+D57/D63)</f>
        <v>2.0376446858353856E-2</v>
      </c>
      <c r="E62" s="202">
        <f>IF(E63=0,0,+E57/E63)</f>
        <v>1.6311886141930569E-2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218384632</v>
      </c>
      <c r="D63" s="199">
        <v>221915377</v>
      </c>
      <c r="E63" s="199">
        <v>227226738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1.5800873727993303</v>
      </c>
      <c r="D67" s="203">
        <f>IF(D69=0,0,D68/D69)</f>
        <v>1.3634924473956158</v>
      </c>
      <c r="E67" s="203">
        <f>IF(E69=0,0,E68/E69)</f>
        <v>1.5591149361170877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60402000</v>
      </c>
      <c r="D68" s="204">
        <v>62013000</v>
      </c>
      <c r="E68" s="204">
        <v>58696000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38227000</v>
      </c>
      <c r="D69" s="204">
        <v>45481000</v>
      </c>
      <c r="E69" s="204">
        <v>37647000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38.016223094798193</v>
      </c>
      <c r="D71" s="203">
        <f>IF((D77/365)=0,0,+D74/(D77/365))</f>
        <v>48.367984038987991</v>
      </c>
      <c r="E71" s="203">
        <f>IF((E77/365)=0,0,+E74/(E77/365))</f>
        <v>41.368464367522904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21808000</v>
      </c>
      <c r="D72" s="183">
        <v>28153000</v>
      </c>
      <c r="E72" s="183">
        <v>24610000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38000</v>
      </c>
      <c r="D73" s="206">
        <v>29000</v>
      </c>
      <c r="E73" s="206">
        <v>17000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21846000</v>
      </c>
      <c r="D74" s="204">
        <f>+D72+D73</f>
        <v>28182000</v>
      </c>
      <c r="E74" s="204">
        <f>+E72+E73</f>
        <v>24627000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218384632</v>
      </c>
      <c r="D75" s="204">
        <f>+D14</f>
        <v>221915377</v>
      </c>
      <c r="E75" s="204">
        <f>+E14</f>
        <v>227226738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8637599</v>
      </c>
      <c r="D76" s="204">
        <v>9245153</v>
      </c>
      <c r="E76" s="204">
        <v>9939122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209747033</v>
      </c>
      <c r="D77" s="204">
        <f>+D75-D76</f>
        <v>212670224</v>
      </c>
      <c r="E77" s="204">
        <f>+E75-E76</f>
        <v>217287616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40.069602352665342</v>
      </c>
      <c r="D79" s="203">
        <f>IF((D84/365)=0,0,+D83/(D84/365))</f>
        <v>36.488582196047766</v>
      </c>
      <c r="E79" s="203">
        <f>IF((E84/365)=0,0,+E83/(E84/365))</f>
        <v>39.802609648130343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31789000</v>
      </c>
      <c r="D80" s="212">
        <v>28777000</v>
      </c>
      <c r="E80" s="212">
        <v>26816000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7007000</v>
      </c>
      <c r="D82" s="212">
        <v>6035000</v>
      </c>
      <c r="E82" s="212">
        <v>783000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24782000</v>
      </c>
      <c r="D83" s="212">
        <f>+D80+D81-D82</f>
        <v>22742000</v>
      </c>
      <c r="E83" s="212">
        <f>+E80+E81-E82</f>
        <v>26033000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225742944</v>
      </c>
      <c r="D84" s="204">
        <f>+D11</f>
        <v>227491163</v>
      </c>
      <c r="E84" s="204">
        <f>+E11</f>
        <v>238729196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66.522299745713198</v>
      </c>
      <c r="D86" s="203">
        <f>IF((D90/365)=0,0,+D87/(D90/365))</f>
        <v>78.057777378369622</v>
      </c>
      <c r="E86" s="203">
        <f>IF((E90/365)=0,0,+E87/(E90/365))</f>
        <v>63.239476105255804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38227000</v>
      </c>
      <c r="D87" s="76">
        <f>+D69</f>
        <v>45481000</v>
      </c>
      <c r="E87" s="76">
        <f>+E69</f>
        <v>37647000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218384632</v>
      </c>
      <c r="D88" s="76">
        <f t="shared" si="0"/>
        <v>221915377</v>
      </c>
      <c r="E88" s="76">
        <f t="shared" si="0"/>
        <v>227226738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8637599</v>
      </c>
      <c r="D89" s="201">
        <f t="shared" si="0"/>
        <v>9245153</v>
      </c>
      <c r="E89" s="201">
        <f t="shared" si="0"/>
        <v>9939122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209747033</v>
      </c>
      <c r="D90" s="76">
        <f>+D88-D89</f>
        <v>212670224</v>
      </c>
      <c r="E90" s="76">
        <f>+E88-E89</f>
        <v>217287616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10.529716900771341</v>
      </c>
      <c r="D94" s="214">
        <f>IF(D96=0,0,(D95/D96)*100)</f>
        <v>26.538611471566725</v>
      </c>
      <c r="E94" s="214">
        <f>IF(E96=0,0,(E95/E96)*100)</f>
        <v>24.987042686999406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17924000</v>
      </c>
      <c r="D95" s="76">
        <f>+D32</f>
        <v>49697000</v>
      </c>
      <c r="E95" s="76">
        <f>+E32</f>
        <v>46764000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170223000</v>
      </c>
      <c r="D96" s="76">
        <v>187263000</v>
      </c>
      <c r="E96" s="76">
        <v>187153000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39.742019204942252</v>
      </c>
      <c r="D98" s="214">
        <f>IF(D104=0,0,(D101/D104)*100)</f>
        <v>42.344213972129168</v>
      </c>
      <c r="E98" s="214">
        <f>IF(E104=0,0,(E101/E104)*100)</f>
        <v>63.398424231497344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15035927</v>
      </c>
      <c r="D99" s="76">
        <f>+D28</f>
        <v>18436530</v>
      </c>
      <c r="E99" s="76">
        <f>+E28</f>
        <v>25224814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8637599</v>
      </c>
      <c r="D100" s="201">
        <f>+D76</f>
        <v>9245153</v>
      </c>
      <c r="E100" s="201">
        <f>+E76</f>
        <v>9939122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23673526</v>
      </c>
      <c r="D101" s="76">
        <f>+D99+D100</f>
        <v>27681683</v>
      </c>
      <c r="E101" s="76">
        <f>+E99+E100</f>
        <v>35163936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38227000</v>
      </c>
      <c r="D102" s="204">
        <f>+D69</f>
        <v>45481000</v>
      </c>
      <c r="E102" s="204">
        <f>+E69</f>
        <v>37647000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21341000</v>
      </c>
      <c r="D103" s="216">
        <v>19892000</v>
      </c>
      <c r="E103" s="216">
        <v>17818000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59568000</v>
      </c>
      <c r="D104" s="204">
        <f>+D102+D103</f>
        <v>65373000</v>
      </c>
      <c r="E104" s="204">
        <f>+E102+E103</f>
        <v>55465000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54.351203361772569</v>
      </c>
      <c r="D106" s="214">
        <f>IF(D109=0,0,(D107/D109)*100)</f>
        <v>28.584977510813491</v>
      </c>
      <c r="E106" s="214">
        <f>IF(E109=0,0,(E107/E109)*100)</f>
        <v>27.589730884766656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21341000</v>
      </c>
      <c r="D107" s="204">
        <f>+D103</f>
        <v>19892000</v>
      </c>
      <c r="E107" s="204">
        <f>+E103</f>
        <v>17818000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17924000</v>
      </c>
      <c r="D108" s="204">
        <f>+D32</f>
        <v>49697000</v>
      </c>
      <c r="E108" s="204">
        <f>+E32</f>
        <v>46764000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39265000</v>
      </c>
      <c r="D109" s="204">
        <f>+D107+D108</f>
        <v>69589000</v>
      </c>
      <c r="E109" s="204">
        <f>+E107+E108</f>
        <v>64582000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6.4407962829399086</v>
      </c>
      <c r="D111" s="214">
        <f>IF((+D113+D115)=0,0,((+D112+D113+D114)/(+D113+D115)))</f>
        <v>9.1785387637621163</v>
      </c>
      <c r="E111" s="214">
        <f>IF((+E113+E115)=0,0,((+E112+E113+E114)/(+E113+E115)))</f>
        <v>9.5015890097869686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15035927</v>
      </c>
      <c r="D112" s="76">
        <f>+D17</f>
        <v>18436530</v>
      </c>
      <c r="E112" s="76">
        <f>+E17</f>
        <v>25224814</v>
      </c>
    </row>
    <row r="113" spans="1:8" ht="24" customHeight="1" x14ac:dyDescent="0.2">
      <c r="A113" s="85">
        <v>17</v>
      </c>
      <c r="B113" s="75" t="s">
        <v>88</v>
      </c>
      <c r="C113" s="218">
        <v>1616544</v>
      </c>
      <c r="D113" s="76">
        <v>1471201</v>
      </c>
      <c r="E113" s="76">
        <v>1353274</v>
      </c>
    </row>
    <row r="114" spans="1:8" ht="24" customHeight="1" x14ac:dyDescent="0.2">
      <c r="A114" s="85">
        <v>18</v>
      </c>
      <c r="B114" s="75" t="s">
        <v>374</v>
      </c>
      <c r="C114" s="218">
        <v>8637599</v>
      </c>
      <c r="D114" s="76">
        <v>9245153</v>
      </c>
      <c r="E114" s="76">
        <v>9939122</v>
      </c>
    </row>
    <row r="115" spans="1:8" ht="24" customHeight="1" x14ac:dyDescent="0.2">
      <c r="A115" s="85">
        <v>19</v>
      </c>
      <c r="B115" s="75" t="s">
        <v>104</v>
      </c>
      <c r="C115" s="218">
        <v>2310000</v>
      </c>
      <c r="D115" s="76">
        <v>1705000</v>
      </c>
      <c r="E115" s="76">
        <v>2490000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12.915047341280836</v>
      </c>
      <c r="D119" s="214">
        <f>IF(+D121=0,0,(+D120)/(+D121))</f>
        <v>12.965929282078944</v>
      </c>
      <c r="E119" s="214">
        <f>IF(+E121=0,0,(+E120)/(+E121))</f>
        <v>12.999136140999175</v>
      </c>
    </row>
    <row r="120" spans="1:8" ht="24" customHeight="1" x14ac:dyDescent="0.2">
      <c r="A120" s="85">
        <v>21</v>
      </c>
      <c r="B120" s="75" t="s">
        <v>378</v>
      </c>
      <c r="C120" s="218">
        <v>111555000</v>
      </c>
      <c r="D120" s="218">
        <v>119872000</v>
      </c>
      <c r="E120" s="218">
        <v>129200000</v>
      </c>
    </row>
    <row r="121" spans="1:8" ht="24" customHeight="1" x14ac:dyDescent="0.2">
      <c r="A121" s="85">
        <v>22</v>
      </c>
      <c r="B121" s="75" t="s">
        <v>374</v>
      </c>
      <c r="C121" s="218">
        <v>8637599</v>
      </c>
      <c r="D121" s="218">
        <v>9245153</v>
      </c>
      <c r="E121" s="218">
        <v>9939122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51556</v>
      </c>
      <c r="D124" s="218">
        <v>51833</v>
      </c>
      <c r="E124" s="218">
        <v>50924</v>
      </c>
    </row>
    <row r="125" spans="1:8" ht="24" customHeight="1" x14ac:dyDescent="0.2">
      <c r="A125" s="85">
        <v>2</v>
      </c>
      <c r="B125" s="75" t="s">
        <v>381</v>
      </c>
      <c r="C125" s="218">
        <v>12078</v>
      </c>
      <c r="D125" s="218">
        <v>11729</v>
      </c>
      <c r="E125" s="218">
        <v>11642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4.2685875144891536</v>
      </c>
      <c r="D126" s="219">
        <f>IF(D125=0,0,D124/D125)</f>
        <v>4.4192173245801003</v>
      </c>
      <c r="E126" s="219">
        <f>IF(E125=0,0,E124/E125)</f>
        <v>4.3741625150317818</v>
      </c>
    </row>
    <row r="127" spans="1:8" ht="24" customHeight="1" x14ac:dyDescent="0.2">
      <c r="A127" s="85">
        <v>4</v>
      </c>
      <c r="B127" s="75" t="s">
        <v>383</v>
      </c>
      <c r="C127" s="218">
        <v>182</v>
      </c>
      <c r="D127" s="218">
        <v>182</v>
      </c>
      <c r="E127" s="218">
        <v>182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182</v>
      </c>
      <c r="E128" s="218">
        <v>182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182</v>
      </c>
      <c r="D129" s="218">
        <v>379</v>
      </c>
      <c r="E129" s="218">
        <v>379</v>
      </c>
    </row>
    <row r="130" spans="1:7" ht="24" customHeight="1" x14ac:dyDescent="0.2">
      <c r="A130" s="85">
        <v>7</v>
      </c>
      <c r="B130" s="75" t="s">
        <v>386</v>
      </c>
      <c r="C130" s="193">
        <v>0.77600000000000002</v>
      </c>
      <c r="D130" s="193">
        <v>0.7802</v>
      </c>
      <c r="E130" s="193">
        <v>0.76649999999999996</v>
      </c>
    </row>
    <row r="131" spans="1:7" ht="24" customHeight="1" x14ac:dyDescent="0.2">
      <c r="A131" s="85">
        <v>8</v>
      </c>
      <c r="B131" s="75" t="s">
        <v>387</v>
      </c>
      <c r="C131" s="193">
        <v>0.77600000000000002</v>
      </c>
      <c r="D131" s="193">
        <v>0.7802</v>
      </c>
      <c r="E131" s="193">
        <v>0.76649999999999996</v>
      </c>
    </row>
    <row r="132" spans="1:7" ht="24" customHeight="1" x14ac:dyDescent="0.2">
      <c r="A132" s="85">
        <v>9</v>
      </c>
      <c r="B132" s="75" t="s">
        <v>388</v>
      </c>
      <c r="C132" s="219">
        <v>1355.2</v>
      </c>
      <c r="D132" s="219">
        <v>1355.2</v>
      </c>
      <c r="E132" s="219">
        <v>1315.4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0.34986461481291764</v>
      </c>
      <c r="D135" s="227">
        <f>IF(D149=0,0,D143/D149)</f>
        <v>0.33171185145458093</v>
      </c>
      <c r="E135" s="227">
        <f>IF(E149=0,0,E143/E149)</f>
        <v>0.32450106145140512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0.39343413237591601</v>
      </c>
      <c r="D136" s="227">
        <f>IF(D149=0,0,D144/D149)</f>
        <v>0.38453550589085272</v>
      </c>
      <c r="E136" s="227">
        <f>IF(E149=0,0,E144/E149)</f>
        <v>0.38685661761120599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0.23524472066364369</v>
      </c>
      <c r="D137" s="227">
        <f>IF(D149=0,0,D145/D149)</f>
        <v>0.26113094823637933</v>
      </c>
      <c r="E137" s="227">
        <f>IF(E149=0,0,E145/E149)</f>
        <v>0.27004305538858608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2.0060183662340005E-2</v>
      </c>
      <c r="D139" s="227">
        <f>IF(D149=0,0,D147/D149)</f>
        <v>2.0989160689301338E-2</v>
      </c>
      <c r="E139" s="227">
        <f>IF(E149=0,0,E147/E149)</f>
        <v>1.7135481166837128E-2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1.3963484851826607E-3</v>
      </c>
      <c r="D140" s="227">
        <f>IF(D149=0,0,D148/D149)</f>
        <v>1.6325337288856595E-3</v>
      </c>
      <c r="E140" s="227">
        <f>IF(E149=0,0,E148/E149)</f>
        <v>1.4637843819656851E-3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198920054</v>
      </c>
      <c r="D143" s="229">
        <f>+D46-D147</f>
        <v>198563590</v>
      </c>
      <c r="E143" s="229">
        <f>+E46-E147</f>
        <v>215458545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223692067</v>
      </c>
      <c r="D144" s="229">
        <f>+D51</f>
        <v>230183969</v>
      </c>
      <c r="E144" s="229">
        <f>+E51</f>
        <v>256860682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133751430</v>
      </c>
      <c r="D145" s="229">
        <f>+D55</f>
        <v>156313675</v>
      </c>
      <c r="E145" s="229">
        <f>+E55</f>
        <v>179300134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11405477</v>
      </c>
      <c r="D147" s="229">
        <f>+D47</f>
        <v>12564167</v>
      </c>
      <c r="E147" s="229">
        <f>+E47</f>
        <v>11377423</v>
      </c>
    </row>
    <row r="148" spans="1:7" ht="20.100000000000001" customHeight="1" x14ac:dyDescent="0.2">
      <c r="A148" s="226">
        <v>13</v>
      </c>
      <c r="B148" s="224" t="s">
        <v>402</v>
      </c>
      <c r="C148" s="230">
        <v>793912</v>
      </c>
      <c r="D148" s="229">
        <v>977239</v>
      </c>
      <c r="E148" s="229">
        <v>971907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568562940</v>
      </c>
      <c r="D149" s="229">
        <f>SUM(D143:D148)</f>
        <v>598602640</v>
      </c>
      <c r="E149" s="229">
        <f>SUM(E143:E148)</f>
        <v>663968691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0.40560165850314822</v>
      </c>
      <c r="D152" s="227">
        <f>IF(D166=0,0,D160/D166)</f>
        <v>0.37745988520633378</v>
      </c>
      <c r="E152" s="227">
        <f>IF(E166=0,0,E160/E166)</f>
        <v>0.38539485895954478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0.40614319806207289</v>
      </c>
      <c r="D153" s="227">
        <f>IF(D166=0,0,D161/D166)</f>
        <v>0.39288423963752522</v>
      </c>
      <c r="E153" s="227">
        <f>IF(E166=0,0,E161/E166)</f>
        <v>0.39332334741745695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0.18476739915720267</v>
      </c>
      <c r="D154" s="227">
        <f>IF(D166=0,0,D162/D166)</f>
        <v>0.22729285145370803</v>
      </c>
      <c r="E154" s="227">
        <f>IF(E166=0,0,E162/E166)</f>
        <v>0.21852450531810338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2.4825905650836862E-3</v>
      </c>
      <c r="D156" s="227">
        <f>IF(D166=0,0,D164/D166)</f>
        <v>1.1634155985482315E-3</v>
      </c>
      <c r="E156" s="227">
        <f>IF(E166=0,0,E164/E166)</f>
        <v>1.7688597655365536E-3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1.0051537124925269E-3</v>
      </c>
      <c r="D157" s="227">
        <f>IF(D166=0,0,D165/D166)</f>
        <v>1.1996081038847593E-3</v>
      </c>
      <c r="E157" s="227">
        <f>IF(E166=0,0,E165/E166)</f>
        <v>9.8842853935835547E-4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84966404</v>
      </c>
      <c r="D160" s="229">
        <f>+D44-D164</f>
        <v>79867027</v>
      </c>
      <c r="E160" s="229">
        <f>+E44-E164</f>
        <v>88204682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85079847</v>
      </c>
      <c r="D161" s="229">
        <f>+D50</f>
        <v>83130678</v>
      </c>
      <c r="E161" s="229">
        <f>+E50</f>
        <v>90019262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38705516</v>
      </c>
      <c r="D162" s="229">
        <f>+D54</f>
        <v>48093069</v>
      </c>
      <c r="E162" s="229">
        <f>+E54</f>
        <v>50013341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520059</v>
      </c>
      <c r="D164" s="229">
        <f>+D45</f>
        <v>246168</v>
      </c>
      <c r="E164" s="229">
        <f>+E45</f>
        <v>404836</v>
      </c>
    </row>
    <row r="165" spans="1:6" ht="20.100000000000001" customHeight="1" x14ac:dyDescent="0.2">
      <c r="A165" s="226">
        <v>13</v>
      </c>
      <c r="B165" s="224" t="s">
        <v>417</v>
      </c>
      <c r="C165" s="230">
        <v>210562</v>
      </c>
      <c r="D165" s="229">
        <v>253826</v>
      </c>
      <c r="E165" s="229">
        <v>226220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209482388</v>
      </c>
      <c r="D166" s="229">
        <f>SUM(D160:D165)</f>
        <v>211590768</v>
      </c>
      <c r="E166" s="229">
        <f>SUM(E160:E165)</f>
        <v>228868341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3627</v>
      </c>
      <c r="D169" s="218">
        <v>3306</v>
      </c>
      <c r="E169" s="218">
        <v>2984</v>
      </c>
    </row>
    <row r="170" spans="1:6" ht="20.100000000000001" customHeight="1" x14ac:dyDescent="0.2">
      <c r="A170" s="226">
        <v>2</v>
      </c>
      <c r="B170" s="224" t="s">
        <v>420</v>
      </c>
      <c r="C170" s="218">
        <v>5198</v>
      </c>
      <c r="D170" s="218">
        <v>5053</v>
      </c>
      <c r="E170" s="218">
        <v>5069</v>
      </c>
    </row>
    <row r="171" spans="1:6" ht="20.100000000000001" customHeight="1" x14ac:dyDescent="0.2">
      <c r="A171" s="226">
        <v>3</v>
      </c>
      <c r="B171" s="224" t="s">
        <v>421</v>
      </c>
      <c r="C171" s="218">
        <v>3231</v>
      </c>
      <c r="D171" s="218">
        <v>3345</v>
      </c>
      <c r="E171" s="218">
        <v>3568</v>
      </c>
    </row>
    <row r="172" spans="1:6" ht="20.100000000000001" customHeight="1" x14ac:dyDescent="0.2">
      <c r="A172" s="226">
        <v>4</v>
      </c>
      <c r="B172" s="224" t="s">
        <v>422</v>
      </c>
      <c r="C172" s="218">
        <v>3231</v>
      </c>
      <c r="D172" s="218">
        <v>3345</v>
      </c>
      <c r="E172" s="218">
        <v>3568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22</v>
      </c>
      <c r="D174" s="218">
        <v>25</v>
      </c>
      <c r="E174" s="218">
        <v>21</v>
      </c>
    </row>
    <row r="175" spans="1:6" ht="20.100000000000001" customHeight="1" x14ac:dyDescent="0.2">
      <c r="A175" s="226">
        <v>7</v>
      </c>
      <c r="B175" s="224" t="s">
        <v>425</v>
      </c>
      <c r="C175" s="218">
        <v>170</v>
      </c>
      <c r="D175" s="218">
        <v>178</v>
      </c>
      <c r="E175" s="218">
        <v>115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12078</v>
      </c>
      <c r="D176" s="218">
        <f>+D169+D170+D171+D174</f>
        <v>11729</v>
      </c>
      <c r="E176" s="218">
        <f>+E169+E170+E171+E174</f>
        <v>11642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1.2172000000000001</v>
      </c>
      <c r="D179" s="231">
        <v>1.1974</v>
      </c>
      <c r="E179" s="231">
        <v>1.3211999999999999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1.5007999999999999</v>
      </c>
      <c r="D180" s="231">
        <v>1.49895</v>
      </c>
      <c r="E180" s="231">
        <v>1.5586</v>
      </c>
    </row>
    <row r="181" spans="1:6" ht="20.100000000000001" customHeight="1" x14ac:dyDescent="0.2">
      <c r="A181" s="226">
        <v>3</v>
      </c>
      <c r="B181" s="224" t="s">
        <v>421</v>
      </c>
      <c r="C181" s="231">
        <v>1.0064</v>
      </c>
      <c r="D181" s="231">
        <v>1.0439700000000001</v>
      </c>
      <c r="E181" s="231">
        <v>1.0233000000000001</v>
      </c>
    </row>
    <row r="182" spans="1:6" ht="20.100000000000001" customHeight="1" x14ac:dyDescent="0.2">
      <c r="A182" s="226">
        <v>4</v>
      </c>
      <c r="B182" s="224" t="s">
        <v>422</v>
      </c>
      <c r="C182" s="231">
        <v>1.0064</v>
      </c>
      <c r="D182" s="231">
        <v>1.0439700000000001</v>
      </c>
      <c r="E182" s="231">
        <v>1.0233000000000001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0.63800000000000001</v>
      </c>
      <c r="D184" s="231">
        <v>0.73607</v>
      </c>
      <c r="E184" s="231">
        <v>0.74590000000000001</v>
      </c>
    </row>
    <row r="185" spans="1:6" ht="20.100000000000001" customHeight="1" x14ac:dyDescent="0.2">
      <c r="A185" s="226">
        <v>7</v>
      </c>
      <c r="B185" s="224" t="s">
        <v>425</v>
      </c>
      <c r="C185" s="231">
        <v>1.0139</v>
      </c>
      <c r="D185" s="231">
        <v>0.93111999999999995</v>
      </c>
      <c r="E185" s="231">
        <v>1.1728000000000001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1.281806</v>
      </c>
      <c r="D186" s="231">
        <v>1.2825709999999999</v>
      </c>
      <c r="E186" s="231">
        <v>1.332228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7851</v>
      </c>
      <c r="D189" s="218">
        <v>7991</v>
      </c>
      <c r="E189" s="218">
        <v>7886</v>
      </c>
    </row>
    <row r="190" spans="1:6" ht="20.100000000000001" customHeight="1" x14ac:dyDescent="0.2">
      <c r="A190" s="226">
        <v>2</v>
      </c>
      <c r="B190" s="224" t="s">
        <v>433</v>
      </c>
      <c r="C190" s="218">
        <v>62968</v>
      </c>
      <c r="D190" s="218">
        <v>62003</v>
      </c>
      <c r="E190" s="218">
        <v>62335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70819</v>
      </c>
      <c r="D191" s="218">
        <f>+D190+D189</f>
        <v>69994</v>
      </c>
      <c r="E191" s="218">
        <f>+E190+E189</f>
        <v>70221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FILING&amp;RSAINT MARY`S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1196623</v>
      </c>
      <c r="D14" s="258">
        <v>197697</v>
      </c>
      <c r="E14" s="258">
        <f t="shared" ref="E14:E24" si="0">D14-C14</f>
        <v>-998926</v>
      </c>
      <c r="F14" s="259">
        <f t="shared" ref="F14:F24" si="1">IF(C14=0,0,E14/C14)</f>
        <v>-0.83478756467157988</v>
      </c>
    </row>
    <row r="15" spans="1:7" ht="20.25" customHeight="1" x14ac:dyDescent="0.3">
      <c r="A15" s="256">
        <v>2</v>
      </c>
      <c r="B15" s="257" t="s">
        <v>442</v>
      </c>
      <c r="C15" s="258">
        <v>442378</v>
      </c>
      <c r="D15" s="258">
        <v>98447</v>
      </c>
      <c r="E15" s="258">
        <f t="shared" si="0"/>
        <v>-343931</v>
      </c>
      <c r="F15" s="259">
        <f t="shared" si="1"/>
        <v>-0.7774595481692127</v>
      </c>
    </row>
    <row r="16" spans="1:7" ht="20.25" customHeight="1" x14ac:dyDescent="0.3">
      <c r="A16" s="256">
        <v>3</v>
      </c>
      <c r="B16" s="257" t="s">
        <v>443</v>
      </c>
      <c r="C16" s="258">
        <v>775807</v>
      </c>
      <c r="D16" s="258">
        <v>285673</v>
      </c>
      <c r="E16" s="258">
        <f t="shared" si="0"/>
        <v>-490134</v>
      </c>
      <c r="F16" s="259">
        <f t="shared" si="1"/>
        <v>-0.63177310851796908</v>
      </c>
    </row>
    <row r="17" spans="1:6" ht="20.25" customHeight="1" x14ac:dyDescent="0.3">
      <c r="A17" s="256">
        <v>4</v>
      </c>
      <c r="B17" s="257" t="s">
        <v>444</v>
      </c>
      <c r="C17" s="258">
        <v>172585</v>
      </c>
      <c r="D17" s="258">
        <v>71762</v>
      </c>
      <c r="E17" s="258">
        <f t="shared" si="0"/>
        <v>-100823</v>
      </c>
      <c r="F17" s="259">
        <f t="shared" si="1"/>
        <v>-0.58419329605701542</v>
      </c>
    </row>
    <row r="18" spans="1:6" ht="20.25" customHeight="1" x14ac:dyDescent="0.3">
      <c r="A18" s="256">
        <v>5</v>
      </c>
      <c r="B18" s="257" t="s">
        <v>381</v>
      </c>
      <c r="C18" s="260">
        <v>34</v>
      </c>
      <c r="D18" s="260">
        <v>9</v>
      </c>
      <c r="E18" s="260">
        <f t="shared" si="0"/>
        <v>-25</v>
      </c>
      <c r="F18" s="259">
        <f t="shared" si="1"/>
        <v>-0.73529411764705888</v>
      </c>
    </row>
    <row r="19" spans="1:6" ht="20.25" customHeight="1" x14ac:dyDescent="0.3">
      <c r="A19" s="256">
        <v>6</v>
      </c>
      <c r="B19" s="257" t="s">
        <v>380</v>
      </c>
      <c r="C19" s="260">
        <v>166</v>
      </c>
      <c r="D19" s="260">
        <v>27</v>
      </c>
      <c r="E19" s="260">
        <f t="shared" si="0"/>
        <v>-139</v>
      </c>
      <c r="F19" s="259">
        <f t="shared" si="1"/>
        <v>-0.83734939759036142</v>
      </c>
    </row>
    <row r="20" spans="1:6" ht="20.25" customHeight="1" x14ac:dyDescent="0.3">
      <c r="A20" s="256">
        <v>7</v>
      </c>
      <c r="B20" s="257" t="s">
        <v>445</v>
      </c>
      <c r="C20" s="260">
        <v>455</v>
      </c>
      <c r="D20" s="260">
        <v>175</v>
      </c>
      <c r="E20" s="260">
        <f t="shared" si="0"/>
        <v>-280</v>
      </c>
      <c r="F20" s="259">
        <f t="shared" si="1"/>
        <v>-0.61538461538461542</v>
      </c>
    </row>
    <row r="21" spans="1:6" ht="20.25" customHeight="1" x14ac:dyDescent="0.3">
      <c r="A21" s="256">
        <v>8</v>
      </c>
      <c r="B21" s="257" t="s">
        <v>446</v>
      </c>
      <c r="C21" s="260">
        <v>49</v>
      </c>
      <c r="D21" s="260">
        <v>9</v>
      </c>
      <c r="E21" s="260">
        <f t="shared" si="0"/>
        <v>-40</v>
      </c>
      <c r="F21" s="259">
        <f t="shared" si="1"/>
        <v>-0.81632653061224492</v>
      </c>
    </row>
    <row r="22" spans="1:6" ht="20.25" customHeight="1" x14ac:dyDescent="0.3">
      <c r="A22" s="256">
        <v>9</v>
      </c>
      <c r="B22" s="257" t="s">
        <v>447</v>
      </c>
      <c r="C22" s="260">
        <v>27</v>
      </c>
      <c r="D22" s="260">
        <v>9</v>
      </c>
      <c r="E22" s="260">
        <f t="shared" si="0"/>
        <v>-18</v>
      </c>
      <c r="F22" s="259">
        <f t="shared" si="1"/>
        <v>-0.66666666666666663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1972430</v>
      </c>
      <c r="D23" s="263">
        <f>+D14+D16</f>
        <v>483370</v>
      </c>
      <c r="E23" s="263">
        <f t="shared" si="0"/>
        <v>-1489060</v>
      </c>
      <c r="F23" s="264">
        <f t="shared" si="1"/>
        <v>-0.75493680384094741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614963</v>
      </c>
      <c r="D24" s="263">
        <f>+D15+D17</f>
        <v>170209</v>
      </c>
      <c r="E24" s="263">
        <f t="shared" si="0"/>
        <v>-444754</v>
      </c>
      <c r="F24" s="264">
        <f t="shared" si="1"/>
        <v>-0.72322074661402391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5878225</v>
      </c>
      <c r="D40" s="258">
        <v>8711983</v>
      </c>
      <c r="E40" s="258">
        <f t="shared" ref="E40:E50" si="4">D40-C40</f>
        <v>2833758</v>
      </c>
      <c r="F40" s="259">
        <f t="shared" ref="F40:F50" si="5">IF(C40=0,0,E40/C40)</f>
        <v>0.48207715764537762</v>
      </c>
    </row>
    <row r="41" spans="1:6" ht="20.25" customHeight="1" x14ac:dyDescent="0.3">
      <c r="A41" s="256">
        <v>2</v>
      </c>
      <c r="B41" s="257" t="s">
        <v>442</v>
      </c>
      <c r="C41" s="258">
        <v>2342344</v>
      </c>
      <c r="D41" s="258">
        <v>3293662</v>
      </c>
      <c r="E41" s="258">
        <f t="shared" si="4"/>
        <v>951318</v>
      </c>
      <c r="F41" s="259">
        <f t="shared" si="5"/>
        <v>0.40613932027063487</v>
      </c>
    </row>
    <row r="42" spans="1:6" ht="20.25" customHeight="1" x14ac:dyDescent="0.3">
      <c r="A42" s="256">
        <v>3</v>
      </c>
      <c r="B42" s="257" t="s">
        <v>443</v>
      </c>
      <c r="C42" s="258">
        <v>5756401</v>
      </c>
      <c r="D42" s="258">
        <v>7085666</v>
      </c>
      <c r="E42" s="258">
        <f t="shared" si="4"/>
        <v>1329265</v>
      </c>
      <c r="F42" s="259">
        <f t="shared" si="5"/>
        <v>0.23091945818229134</v>
      </c>
    </row>
    <row r="43" spans="1:6" ht="20.25" customHeight="1" x14ac:dyDescent="0.3">
      <c r="A43" s="256">
        <v>4</v>
      </c>
      <c r="B43" s="257" t="s">
        <v>444</v>
      </c>
      <c r="C43" s="258">
        <v>1377395</v>
      </c>
      <c r="D43" s="258">
        <v>1588790</v>
      </c>
      <c r="E43" s="258">
        <f t="shared" si="4"/>
        <v>211395</v>
      </c>
      <c r="F43" s="259">
        <f t="shared" si="5"/>
        <v>0.15347449351856221</v>
      </c>
    </row>
    <row r="44" spans="1:6" ht="20.25" customHeight="1" x14ac:dyDescent="0.3">
      <c r="A44" s="256">
        <v>5</v>
      </c>
      <c r="B44" s="257" t="s">
        <v>381</v>
      </c>
      <c r="C44" s="260">
        <v>202</v>
      </c>
      <c r="D44" s="260">
        <v>286</v>
      </c>
      <c r="E44" s="260">
        <f t="shared" si="4"/>
        <v>84</v>
      </c>
      <c r="F44" s="259">
        <f t="shared" si="5"/>
        <v>0.41584158415841582</v>
      </c>
    </row>
    <row r="45" spans="1:6" ht="20.25" customHeight="1" x14ac:dyDescent="0.3">
      <c r="A45" s="256">
        <v>6</v>
      </c>
      <c r="B45" s="257" t="s">
        <v>380</v>
      </c>
      <c r="C45" s="260">
        <v>1004</v>
      </c>
      <c r="D45" s="260">
        <v>1332</v>
      </c>
      <c r="E45" s="260">
        <f t="shared" si="4"/>
        <v>328</v>
      </c>
      <c r="F45" s="259">
        <f t="shared" si="5"/>
        <v>0.32669322709163345</v>
      </c>
    </row>
    <row r="46" spans="1:6" ht="20.25" customHeight="1" x14ac:dyDescent="0.3">
      <c r="A46" s="256">
        <v>7</v>
      </c>
      <c r="B46" s="257" t="s">
        <v>445</v>
      </c>
      <c r="C46" s="260">
        <v>3563</v>
      </c>
      <c r="D46" s="260">
        <v>4237</v>
      </c>
      <c r="E46" s="260">
        <f t="shared" si="4"/>
        <v>674</v>
      </c>
      <c r="F46" s="259">
        <f t="shared" si="5"/>
        <v>0.18916643278136402</v>
      </c>
    </row>
    <row r="47" spans="1:6" ht="20.25" customHeight="1" x14ac:dyDescent="0.3">
      <c r="A47" s="256">
        <v>8</v>
      </c>
      <c r="B47" s="257" t="s">
        <v>446</v>
      </c>
      <c r="C47" s="260">
        <v>318</v>
      </c>
      <c r="D47" s="260">
        <v>351</v>
      </c>
      <c r="E47" s="260">
        <f t="shared" si="4"/>
        <v>33</v>
      </c>
      <c r="F47" s="259">
        <f t="shared" si="5"/>
        <v>0.10377358490566038</v>
      </c>
    </row>
    <row r="48" spans="1:6" ht="20.25" customHeight="1" x14ac:dyDescent="0.3">
      <c r="A48" s="256">
        <v>9</v>
      </c>
      <c r="B48" s="257" t="s">
        <v>447</v>
      </c>
      <c r="C48" s="260">
        <v>170</v>
      </c>
      <c r="D48" s="260">
        <v>228</v>
      </c>
      <c r="E48" s="260">
        <f t="shared" si="4"/>
        <v>58</v>
      </c>
      <c r="F48" s="259">
        <f t="shared" si="5"/>
        <v>0.3411764705882353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11634626</v>
      </c>
      <c r="D49" s="263">
        <f>+D40+D42</f>
        <v>15797649</v>
      </c>
      <c r="E49" s="263">
        <f t="shared" si="4"/>
        <v>4163023</v>
      </c>
      <c r="F49" s="264">
        <f t="shared" si="5"/>
        <v>0.35781322063983834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3719739</v>
      </c>
      <c r="D50" s="263">
        <f>+D41+D43</f>
        <v>4882452</v>
      </c>
      <c r="E50" s="263">
        <f t="shared" si="4"/>
        <v>1162713</v>
      </c>
      <c r="F50" s="264">
        <f t="shared" si="5"/>
        <v>0.31257918902374604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9884355</v>
      </c>
      <c r="D53" s="258">
        <v>0</v>
      </c>
      <c r="E53" s="258">
        <f t="shared" ref="E53:E63" si="6">D53-C53</f>
        <v>-9884355</v>
      </c>
      <c r="F53" s="259">
        <f t="shared" ref="F53:F63" si="7">IF(C53=0,0,E53/C53)</f>
        <v>-1</v>
      </c>
    </row>
    <row r="54" spans="1:6" ht="20.25" customHeight="1" x14ac:dyDescent="0.3">
      <c r="A54" s="256">
        <v>2</v>
      </c>
      <c r="B54" s="257" t="s">
        <v>442</v>
      </c>
      <c r="C54" s="258">
        <v>4008826</v>
      </c>
      <c r="D54" s="258">
        <v>0</v>
      </c>
      <c r="E54" s="258">
        <f t="shared" si="6"/>
        <v>-4008826</v>
      </c>
      <c r="F54" s="259">
        <f t="shared" si="7"/>
        <v>-1</v>
      </c>
    </row>
    <row r="55" spans="1:6" ht="20.25" customHeight="1" x14ac:dyDescent="0.3">
      <c r="A55" s="256">
        <v>3</v>
      </c>
      <c r="B55" s="257" t="s">
        <v>443</v>
      </c>
      <c r="C55" s="258">
        <v>7681733</v>
      </c>
      <c r="D55" s="258">
        <v>0</v>
      </c>
      <c r="E55" s="258">
        <f t="shared" si="6"/>
        <v>-7681733</v>
      </c>
      <c r="F55" s="259">
        <f t="shared" si="7"/>
        <v>-1</v>
      </c>
    </row>
    <row r="56" spans="1:6" ht="20.25" customHeight="1" x14ac:dyDescent="0.3">
      <c r="A56" s="256">
        <v>4</v>
      </c>
      <c r="B56" s="257" t="s">
        <v>444</v>
      </c>
      <c r="C56" s="258">
        <v>1740468</v>
      </c>
      <c r="D56" s="258">
        <v>0</v>
      </c>
      <c r="E56" s="258">
        <f t="shared" si="6"/>
        <v>-1740468</v>
      </c>
      <c r="F56" s="259">
        <f t="shared" si="7"/>
        <v>-1</v>
      </c>
    </row>
    <row r="57" spans="1:6" ht="20.25" customHeight="1" x14ac:dyDescent="0.3">
      <c r="A57" s="256">
        <v>5</v>
      </c>
      <c r="B57" s="257" t="s">
        <v>381</v>
      </c>
      <c r="C57" s="260">
        <v>360</v>
      </c>
      <c r="D57" s="260">
        <v>0</v>
      </c>
      <c r="E57" s="260">
        <f t="shared" si="6"/>
        <v>-360</v>
      </c>
      <c r="F57" s="259">
        <f t="shared" si="7"/>
        <v>-1</v>
      </c>
    </row>
    <row r="58" spans="1:6" ht="20.25" customHeight="1" x14ac:dyDescent="0.3">
      <c r="A58" s="256">
        <v>6</v>
      </c>
      <c r="B58" s="257" t="s">
        <v>380</v>
      </c>
      <c r="C58" s="260">
        <v>1837</v>
      </c>
      <c r="D58" s="260">
        <v>0</v>
      </c>
      <c r="E58" s="260">
        <f t="shared" si="6"/>
        <v>-1837</v>
      </c>
      <c r="F58" s="259">
        <f t="shared" si="7"/>
        <v>-1</v>
      </c>
    </row>
    <row r="59" spans="1:6" ht="20.25" customHeight="1" x14ac:dyDescent="0.3">
      <c r="A59" s="256">
        <v>7</v>
      </c>
      <c r="B59" s="257" t="s">
        <v>445</v>
      </c>
      <c r="C59" s="260">
        <v>5117</v>
      </c>
      <c r="D59" s="260">
        <v>0</v>
      </c>
      <c r="E59" s="260">
        <f t="shared" si="6"/>
        <v>-5117</v>
      </c>
      <c r="F59" s="259">
        <f t="shared" si="7"/>
        <v>-1</v>
      </c>
    </row>
    <row r="60" spans="1:6" ht="20.25" customHeight="1" x14ac:dyDescent="0.3">
      <c r="A60" s="256">
        <v>8</v>
      </c>
      <c r="B60" s="257" t="s">
        <v>446</v>
      </c>
      <c r="C60" s="260">
        <v>478</v>
      </c>
      <c r="D60" s="260">
        <v>0</v>
      </c>
      <c r="E60" s="260">
        <f t="shared" si="6"/>
        <v>-478</v>
      </c>
      <c r="F60" s="259">
        <f t="shared" si="7"/>
        <v>-1</v>
      </c>
    </row>
    <row r="61" spans="1:6" ht="20.25" customHeight="1" x14ac:dyDescent="0.3">
      <c r="A61" s="256">
        <v>9</v>
      </c>
      <c r="B61" s="257" t="s">
        <v>447</v>
      </c>
      <c r="C61" s="260">
        <v>292</v>
      </c>
      <c r="D61" s="260">
        <v>0</v>
      </c>
      <c r="E61" s="260">
        <f t="shared" si="6"/>
        <v>-292</v>
      </c>
      <c r="F61" s="259">
        <f t="shared" si="7"/>
        <v>-1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17566088</v>
      </c>
      <c r="D62" s="263">
        <f>+D53+D55</f>
        <v>0</v>
      </c>
      <c r="E62" s="263">
        <f t="shared" si="6"/>
        <v>-17566088</v>
      </c>
      <c r="F62" s="264">
        <f t="shared" si="7"/>
        <v>-1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5749294</v>
      </c>
      <c r="D63" s="263">
        <f>+D54+D56</f>
        <v>0</v>
      </c>
      <c r="E63" s="263">
        <f t="shared" si="6"/>
        <v>-5749294</v>
      </c>
      <c r="F63" s="264">
        <f t="shared" si="7"/>
        <v>-1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601176</v>
      </c>
      <c r="D66" s="258">
        <v>888887</v>
      </c>
      <c r="E66" s="258">
        <f t="shared" ref="E66:E76" si="8">D66-C66</f>
        <v>287711</v>
      </c>
      <c r="F66" s="259">
        <f t="shared" ref="F66:F76" si="9">IF(C66=0,0,E66/C66)</f>
        <v>0.47858031591414163</v>
      </c>
    </row>
    <row r="67" spans="1:6" ht="20.25" customHeight="1" x14ac:dyDescent="0.3">
      <c r="A67" s="256">
        <v>2</v>
      </c>
      <c r="B67" s="257" t="s">
        <v>442</v>
      </c>
      <c r="C67" s="258">
        <v>261631</v>
      </c>
      <c r="D67" s="258">
        <v>306761</v>
      </c>
      <c r="E67" s="258">
        <f t="shared" si="8"/>
        <v>45130</v>
      </c>
      <c r="F67" s="259">
        <f t="shared" si="9"/>
        <v>0.17249484961644454</v>
      </c>
    </row>
    <row r="68" spans="1:6" ht="20.25" customHeight="1" x14ac:dyDescent="0.3">
      <c r="A68" s="256">
        <v>3</v>
      </c>
      <c r="B68" s="257" t="s">
        <v>443</v>
      </c>
      <c r="C68" s="258">
        <v>278697</v>
      </c>
      <c r="D68" s="258">
        <v>472643</v>
      </c>
      <c r="E68" s="258">
        <f t="shared" si="8"/>
        <v>193946</v>
      </c>
      <c r="F68" s="259">
        <f t="shared" si="9"/>
        <v>0.6959027187232012</v>
      </c>
    </row>
    <row r="69" spans="1:6" ht="20.25" customHeight="1" x14ac:dyDescent="0.3">
      <c r="A69" s="256">
        <v>4</v>
      </c>
      <c r="B69" s="257" t="s">
        <v>444</v>
      </c>
      <c r="C69" s="258">
        <v>65096</v>
      </c>
      <c r="D69" s="258">
        <v>92741</v>
      </c>
      <c r="E69" s="258">
        <f t="shared" si="8"/>
        <v>27645</v>
      </c>
      <c r="F69" s="259">
        <f t="shared" si="9"/>
        <v>0.42468047191839742</v>
      </c>
    </row>
    <row r="70" spans="1:6" ht="20.25" customHeight="1" x14ac:dyDescent="0.3">
      <c r="A70" s="256">
        <v>5</v>
      </c>
      <c r="B70" s="257" t="s">
        <v>381</v>
      </c>
      <c r="C70" s="260">
        <v>19</v>
      </c>
      <c r="D70" s="260">
        <v>20</v>
      </c>
      <c r="E70" s="260">
        <f t="shared" si="8"/>
        <v>1</v>
      </c>
      <c r="F70" s="259">
        <f t="shared" si="9"/>
        <v>5.2631578947368418E-2</v>
      </c>
    </row>
    <row r="71" spans="1:6" ht="20.25" customHeight="1" x14ac:dyDescent="0.3">
      <c r="A71" s="256">
        <v>6</v>
      </c>
      <c r="B71" s="257" t="s">
        <v>380</v>
      </c>
      <c r="C71" s="260">
        <v>134</v>
      </c>
      <c r="D71" s="260">
        <v>132</v>
      </c>
      <c r="E71" s="260">
        <f t="shared" si="8"/>
        <v>-2</v>
      </c>
      <c r="F71" s="259">
        <f t="shared" si="9"/>
        <v>-1.4925373134328358E-2</v>
      </c>
    </row>
    <row r="72" spans="1:6" ht="20.25" customHeight="1" x14ac:dyDescent="0.3">
      <c r="A72" s="256">
        <v>7</v>
      </c>
      <c r="B72" s="257" t="s">
        <v>445</v>
      </c>
      <c r="C72" s="260">
        <v>142</v>
      </c>
      <c r="D72" s="260">
        <v>220</v>
      </c>
      <c r="E72" s="260">
        <f t="shared" si="8"/>
        <v>78</v>
      </c>
      <c r="F72" s="259">
        <f t="shared" si="9"/>
        <v>0.54929577464788737</v>
      </c>
    </row>
    <row r="73" spans="1:6" ht="20.25" customHeight="1" x14ac:dyDescent="0.3">
      <c r="A73" s="256">
        <v>8</v>
      </c>
      <c r="B73" s="257" t="s">
        <v>446</v>
      </c>
      <c r="C73" s="260">
        <v>63</v>
      </c>
      <c r="D73" s="260">
        <v>77</v>
      </c>
      <c r="E73" s="260">
        <f t="shared" si="8"/>
        <v>14</v>
      </c>
      <c r="F73" s="259">
        <f t="shared" si="9"/>
        <v>0.22222222222222221</v>
      </c>
    </row>
    <row r="74" spans="1:6" ht="20.25" customHeight="1" x14ac:dyDescent="0.3">
      <c r="A74" s="256">
        <v>9</v>
      </c>
      <c r="B74" s="257" t="s">
        <v>447</v>
      </c>
      <c r="C74" s="260">
        <v>18</v>
      </c>
      <c r="D74" s="260">
        <v>19</v>
      </c>
      <c r="E74" s="260">
        <f t="shared" si="8"/>
        <v>1</v>
      </c>
      <c r="F74" s="259">
        <f t="shared" si="9"/>
        <v>5.5555555555555552E-2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879873</v>
      </c>
      <c r="D75" s="263">
        <f>+D66+D68</f>
        <v>1361530</v>
      </c>
      <c r="E75" s="263">
        <f t="shared" si="8"/>
        <v>481657</v>
      </c>
      <c r="F75" s="264">
        <f t="shared" si="9"/>
        <v>0.54741650215428816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326727</v>
      </c>
      <c r="D76" s="263">
        <f>+D67+D69</f>
        <v>399502</v>
      </c>
      <c r="E76" s="263">
        <f t="shared" si="8"/>
        <v>72775</v>
      </c>
      <c r="F76" s="264">
        <f t="shared" si="9"/>
        <v>0.22273947362782998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2297387</v>
      </c>
      <c r="D79" s="258">
        <v>582197</v>
      </c>
      <c r="E79" s="258">
        <f t="shared" ref="E79:E89" si="10">D79-C79</f>
        <v>-1715190</v>
      </c>
      <c r="F79" s="259">
        <f t="shared" ref="F79:F89" si="11">IF(C79=0,0,E79/C79)</f>
        <v>-0.74658296577807748</v>
      </c>
    </row>
    <row r="80" spans="1:6" ht="20.25" customHeight="1" x14ac:dyDescent="0.3">
      <c r="A80" s="256">
        <v>2</v>
      </c>
      <c r="B80" s="257" t="s">
        <v>442</v>
      </c>
      <c r="C80" s="258">
        <v>858337</v>
      </c>
      <c r="D80" s="258">
        <v>255394</v>
      </c>
      <c r="E80" s="258">
        <f t="shared" si="10"/>
        <v>-602943</v>
      </c>
      <c r="F80" s="259">
        <f t="shared" si="11"/>
        <v>-0.70245486329961304</v>
      </c>
    </row>
    <row r="81" spans="1:6" ht="20.25" customHeight="1" x14ac:dyDescent="0.3">
      <c r="A81" s="256">
        <v>3</v>
      </c>
      <c r="B81" s="257" t="s">
        <v>443</v>
      </c>
      <c r="C81" s="258">
        <v>1410423</v>
      </c>
      <c r="D81" s="258">
        <v>498244</v>
      </c>
      <c r="E81" s="258">
        <f t="shared" si="10"/>
        <v>-912179</v>
      </c>
      <c r="F81" s="259">
        <f t="shared" si="11"/>
        <v>-0.64674143856133937</v>
      </c>
    </row>
    <row r="82" spans="1:6" ht="20.25" customHeight="1" x14ac:dyDescent="0.3">
      <c r="A82" s="256">
        <v>4</v>
      </c>
      <c r="B82" s="257" t="s">
        <v>444</v>
      </c>
      <c r="C82" s="258">
        <v>269125</v>
      </c>
      <c r="D82" s="258">
        <v>83967</v>
      </c>
      <c r="E82" s="258">
        <f t="shared" si="10"/>
        <v>-185158</v>
      </c>
      <c r="F82" s="259">
        <f t="shared" si="11"/>
        <v>-0.68799999999999994</v>
      </c>
    </row>
    <row r="83" spans="1:6" ht="20.25" customHeight="1" x14ac:dyDescent="0.3">
      <c r="A83" s="256">
        <v>5</v>
      </c>
      <c r="B83" s="257" t="s">
        <v>381</v>
      </c>
      <c r="C83" s="260">
        <v>74</v>
      </c>
      <c r="D83" s="260">
        <v>27</v>
      </c>
      <c r="E83" s="260">
        <f t="shared" si="10"/>
        <v>-47</v>
      </c>
      <c r="F83" s="259">
        <f t="shared" si="11"/>
        <v>-0.63513513513513509</v>
      </c>
    </row>
    <row r="84" spans="1:6" ht="20.25" customHeight="1" x14ac:dyDescent="0.3">
      <c r="A84" s="256">
        <v>6</v>
      </c>
      <c r="B84" s="257" t="s">
        <v>380</v>
      </c>
      <c r="C84" s="260">
        <v>376</v>
      </c>
      <c r="D84" s="260">
        <v>120</v>
      </c>
      <c r="E84" s="260">
        <f t="shared" si="10"/>
        <v>-256</v>
      </c>
      <c r="F84" s="259">
        <f t="shared" si="11"/>
        <v>-0.68085106382978722</v>
      </c>
    </row>
    <row r="85" spans="1:6" ht="20.25" customHeight="1" x14ac:dyDescent="0.3">
      <c r="A85" s="256">
        <v>7</v>
      </c>
      <c r="B85" s="257" t="s">
        <v>445</v>
      </c>
      <c r="C85" s="260">
        <v>1084</v>
      </c>
      <c r="D85" s="260">
        <v>418</v>
      </c>
      <c r="E85" s="260">
        <f t="shared" si="10"/>
        <v>-666</v>
      </c>
      <c r="F85" s="259">
        <f t="shared" si="11"/>
        <v>-0.61439114391143912</v>
      </c>
    </row>
    <row r="86" spans="1:6" ht="20.25" customHeight="1" x14ac:dyDescent="0.3">
      <c r="A86" s="256">
        <v>8</v>
      </c>
      <c r="B86" s="257" t="s">
        <v>446</v>
      </c>
      <c r="C86" s="260">
        <v>131</v>
      </c>
      <c r="D86" s="260">
        <v>53</v>
      </c>
      <c r="E86" s="260">
        <f t="shared" si="10"/>
        <v>-78</v>
      </c>
      <c r="F86" s="259">
        <f t="shared" si="11"/>
        <v>-0.59541984732824427</v>
      </c>
    </row>
    <row r="87" spans="1:6" ht="20.25" customHeight="1" x14ac:dyDescent="0.3">
      <c r="A87" s="256">
        <v>9</v>
      </c>
      <c r="B87" s="257" t="s">
        <v>447</v>
      </c>
      <c r="C87" s="260">
        <v>69</v>
      </c>
      <c r="D87" s="260">
        <v>23</v>
      </c>
      <c r="E87" s="260">
        <f t="shared" si="10"/>
        <v>-46</v>
      </c>
      <c r="F87" s="259">
        <f t="shared" si="11"/>
        <v>-0.66666666666666663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3707810</v>
      </c>
      <c r="D88" s="263">
        <f>+D79+D81</f>
        <v>1080441</v>
      </c>
      <c r="E88" s="263">
        <f t="shared" si="10"/>
        <v>-2627369</v>
      </c>
      <c r="F88" s="264">
        <f t="shared" si="11"/>
        <v>-0.70860400074437468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1127462</v>
      </c>
      <c r="D89" s="263">
        <f>+D80+D82</f>
        <v>339361</v>
      </c>
      <c r="E89" s="263">
        <f t="shared" si="10"/>
        <v>-788101</v>
      </c>
      <c r="F89" s="264">
        <f t="shared" si="11"/>
        <v>-0.69900448973003082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1133227</v>
      </c>
      <c r="D92" s="258">
        <v>11267765</v>
      </c>
      <c r="E92" s="258">
        <f t="shared" ref="E92:E102" si="12">D92-C92</f>
        <v>10134538</v>
      </c>
      <c r="F92" s="259">
        <f t="shared" ref="F92:F102" si="13">IF(C92=0,0,E92/C92)</f>
        <v>8.9430784829517833</v>
      </c>
    </row>
    <row r="93" spans="1:6" ht="20.25" customHeight="1" x14ac:dyDescent="0.3">
      <c r="A93" s="256">
        <v>2</v>
      </c>
      <c r="B93" s="257" t="s">
        <v>442</v>
      </c>
      <c r="C93" s="258">
        <v>430019</v>
      </c>
      <c r="D93" s="258">
        <v>4396905</v>
      </c>
      <c r="E93" s="258">
        <f t="shared" si="12"/>
        <v>3966886</v>
      </c>
      <c r="F93" s="259">
        <f t="shared" si="13"/>
        <v>9.2249086668263498</v>
      </c>
    </row>
    <row r="94" spans="1:6" ht="20.25" customHeight="1" x14ac:dyDescent="0.3">
      <c r="A94" s="256">
        <v>3</v>
      </c>
      <c r="B94" s="257" t="s">
        <v>443</v>
      </c>
      <c r="C94" s="258">
        <v>848009</v>
      </c>
      <c r="D94" s="258">
        <v>8472117</v>
      </c>
      <c r="E94" s="258">
        <f t="shared" si="12"/>
        <v>7624108</v>
      </c>
      <c r="F94" s="259">
        <f t="shared" si="13"/>
        <v>8.9905979771441107</v>
      </c>
    </row>
    <row r="95" spans="1:6" ht="20.25" customHeight="1" x14ac:dyDescent="0.3">
      <c r="A95" s="256">
        <v>4</v>
      </c>
      <c r="B95" s="257" t="s">
        <v>444</v>
      </c>
      <c r="C95" s="258">
        <v>165729</v>
      </c>
      <c r="D95" s="258">
        <v>1691660</v>
      </c>
      <c r="E95" s="258">
        <f t="shared" si="12"/>
        <v>1525931</v>
      </c>
      <c r="F95" s="259">
        <f t="shared" si="13"/>
        <v>9.2073867578999451</v>
      </c>
    </row>
    <row r="96" spans="1:6" ht="20.25" customHeight="1" x14ac:dyDescent="0.3">
      <c r="A96" s="256">
        <v>5</v>
      </c>
      <c r="B96" s="257" t="s">
        <v>381</v>
      </c>
      <c r="C96" s="260">
        <v>37</v>
      </c>
      <c r="D96" s="260">
        <v>397</v>
      </c>
      <c r="E96" s="260">
        <f t="shared" si="12"/>
        <v>360</v>
      </c>
      <c r="F96" s="259">
        <f t="shared" si="13"/>
        <v>9.7297297297297298</v>
      </c>
    </row>
    <row r="97" spans="1:6" ht="20.25" customHeight="1" x14ac:dyDescent="0.3">
      <c r="A97" s="256">
        <v>6</v>
      </c>
      <c r="B97" s="257" t="s">
        <v>380</v>
      </c>
      <c r="C97" s="260">
        <v>188</v>
      </c>
      <c r="D97" s="260">
        <v>2003</v>
      </c>
      <c r="E97" s="260">
        <f t="shared" si="12"/>
        <v>1815</v>
      </c>
      <c r="F97" s="259">
        <f t="shared" si="13"/>
        <v>9.6542553191489358</v>
      </c>
    </row>
    <row r="98" spans="1:6" ht="20.25" customHeight="1" x14ac:dyDescent="0.3">
      <c r="A98" s="256">
        <v>7</v>
      </c>
      <c r="B98" s="257" t="s">
        <v>445</v>
      </c>
      <c r="C98" s="260">
        <v>507</v>
      </c>
      <c r="D98" s="260">
        <v>4941</v>
      </c>
      <c r="E98" s="260">
        <f t="shared" si="12"/>
        <v>4434</v>
      </c>
      <c r="F98" s="259">
        <f t="shared" si="13"/>
        <v>8.7455621301775146</v>
      </c>
    </row>
    <row r="99" spans="1:6" ht="20.25" customHeight="1" x14ac:dyDescent="0.3">
      <c r="A99" s="256">
        <v>8</v>
      </c>
      <c r="B99" s="257" t="s">
        <v>446</v>
      </c>
      <c r="C99" s="260">
        <v>113</v>
      </c>
      <c r="D99" s="260">
        <v>578</v>
      </c>
      <c r="E99" s="260">
        <f t="shared" si="12"/>
        <v>465</v>
      </c>
      <c r="F99" s="259">
        <f t="shared" si="13"/>
        <v>4.115044247787611</v>
      </c>
    </row>
    <row r="100" spans="1:6" ht="20.25" customHeight="1" x14ac:dyDescent="0.3">
      <c r="A100" s="256">
        <v>9</v>
      </c>
      <c r="B100" s="257" t="s">
        <v>447</v>
      </c>
      <c r="C100" s="260">
        <v>29</v>
      </c>
      <c r="D100" s="260">
        <v>359</v>
      </c>
      <c r="E100" s="260">
        <f t="shared" si="12"/>
        <v>330</v>
      </c>
      <c r="F100" s="259">
        <f t="shared" si="13"/>
        <v>11.379310344827585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1981236</v>
      </c>
      <c r="D101" s="263">
        <f>+D92+D94</f>
        <v>19739882</v>
      </c>
      <c r="E101" s="263">
        <f t="shared" si="12"/>
        <v>17758646</v>
      </c>
      <c r="F101" s="264">
        <f t="shared" si="13"/>
        <v>8.9634177856651096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595748</v>
      </c>
      <c r="D102" s="263">
        <f>+D93+D95</f>
        <v>6088565</v>
      </c>
      <c r="E102" s="263">
        <f t="shared" si="12"/>
        <v>5492817</v>
      </c>
      <c r="F102" s="264">
        <f t="shared" si="13"/>
        <v>9.2200343098088453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3554052</v>
      </c>
      <c r="D105" s="258">
        <v>6306361</v>
      </c>
      <c r="E105" s="258">
        <f t="shared" ref="E105:E115" si="14">D105-C105</f>
        <v>2752309</v>
      </c>
      <c r="F105" s="259">
        <f t="shared" ref="F105:F115" si="15">IF(C105=0,0,E105/C105)</f>
        <v>0.77441438673379004</v>
      </c>
    </row>
    <row r="106" spans="1:6" ht="20.25" customHeight="1" x14ac:dyDescent="0.3">
      <c r="A106" s="256">
        <v>2</v>
      </c>
      <c r="B106" s="257" t="s">
        <v>442</v>
      </c>
      <c r="C106" s="258">
        <v>1564012</v>
      </c>
      <c r="D106" s="258">
        <v>2339564</v>
      </c>
      <c r="E106" s="258">
        <f t="shared" si="14"/>
        <v>775552</v>
      </c>
      <c r="F106" s="259">
        <f t="shared" si="15"/>
        <v>0.49587343319616473</v>
      </c>
    </row>
    <row r="107" spans="1:6" ht="20.25" customHeight="1" x14ac:dyDescent="0.3">
      <c r="A107" s="256">
        <v>3</v>
      </c>
      <c r="B107" s="257" t="s">
        <v>443</v>
      </c>
      <c r="C107" s="258">
        <v>3742606</v>
      </c>
      <c r="D107" s="258">
        <v>4779676</v>
      </c>
      <c r="E107" s="258">
        <f t="shared" si="14"/>
        <v>1037070</v>
      </c>
      <c r="F107" s="259">
        <f t="shared" si="15"/>
        <v>0.2770983640810708</v>
      </c>
    </row>
    <row r="108" spans="1:6" ht="20.25" customHeight="1" x14ac:dyDescent="0.3">
      <c r="A108" s="256">
        <v>4</v>
      </c>
      <c r="B108" s="257" t="s">
        <v>444</v>
      </c>
      <c r="C108" s="258">
        <v>719617</v>
      </c>
      <c r="D108" s="258">
        <v>884696</v>
      </c>
      <c r="E108" s="258">
        <f t="shared" si="14"/>
        <v>165079</v>
      </c>
      <c r="F108" s="259">
        <f t="shared" si="15"/>
        <v>0.22939841610189865</v>
      </c>
    </row>
    <row r="109" spans="1:6" ht="20.25" customHeight="1" x14ac:dyDescent="0.3">
      <c r="A109" s="256">
        <v>5</v>
      </c>
      <c r="B109" s="257" t="s">
        <v>381</v>
      </c>
      <c r="C109" s="260">
        <v>150</v>
      </c>
      <c r="D109" s="260">
        <v>212</v>
      </c>
      <c r="E109" s="260">
        <f t="shared" si="14"/>
        <v>62</v>
      </c>
      <c r="F109" s="259">
        <f t="shared" si="15"/>
        <v>0.41333333333333333</v>
      </c>
    </row>
    <row r="110" spans="1:6" ht="20.25" customHeight="1" x14ac:dyDescent="0.3">
      <c r="A110" s="256">
        <v>6</v>
      </c>
      <c r="B110" s="257" t="s">
        <v>380</v>
      </c>
      <c r="C110" s="260">
        <v>798</v>
      </c>
      <c r="D110" s="260">
        <v>1076</v>
      </c>
      <c r="E110" s="260">
        <f t="shared" si="14"/>
        <v>278</v>
      </c>
      <c r="F110" s="259">
        <f t="shared" si="15"/>
        <v>0.34837092731829572</v>
      </c>
    </row>
    <row r="111" spans="1:6" ht="20.25" customHeight="1" x14ac:dyDescent="0.3">
      <c r="A111" s="256">
        <v>7</v>
      </c>
      <c r="B111" s="257" t="s">
        <v>445</v>
      </c>
      <c r="C111" s="260">
        <v>1806</v>
      </c>
      <c r="D111" s="260">
        <v>2199</v>
      </c>
      <c r="E111" s="260">
        <f t="shared" si="14"/>
        <v>393</v>
      </c>
      <c r="F111" s="259">
        <f t="shared" si="15"/>
        <v>0.21760797342192692</v>
      </c>
    </row>
    <row r="112" spans="1:6" ht="20.25" customHeight="1" x14ac:dyDescent="0.3">
      <c r="A112" s="256">
        <v>8</v>
      </c>
      <c r="B112" s="257" t="s">
        <v>446</v>
      </c>
      <c r="C112" s="260">
        <v>589</v>
      </c>
      <c r="D112" s="260">
        <v>766</v>
      </c>
      <c r="E112" s="260">
        <f t="shared" si="14"/>
        <v>177</v>
      </c>
      <c r="F112" s="259">
        <f t="shared" si="15"/>
        <v>0.30050933786078099</v>
      </c>
    </row>
    <row r="113" spans="1:6" ht="20.25" customHeight="1" x14ac:dyDescent="0.3">
      <c r="A113" s="256">
        <v>9</v>
      </c>
      <c r="B113" s="257" t="s">
        <v>447</v>
      </c>
      <c r="C113" s="260">
        <v>145</v>
      </c>
      <c r="D113" s="260">
        <v>191</v>
      </c>
      <c r="E113" s="260">
        <f t="shared" si="14"/>
        <v>46</v>
      </c>
      <c r="F113" s="259">
        <f t="shared" si="15"/>
        <v>0.31724137931034485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7296658</v>
      </c>
      <c r="D114" s="263">
        <f>+D105+D107</f>
        <v>11086037</v>
      </c>
      <c r="E114" s="263">
        <f t="shared" si="14"/>
        <v>3789379</v>
      </c>
      <c r="F114" s="264">
        <f t="shared" si="15"/>
        <v>0.51933076759250607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2283629</v>
      </c>
      <c r="D115" s="263">
        <f>+D106+D108</f>
        <v>3224260</v>
      </c>
      <c r="E115" s="263">
        <f t="shared" si="14"/>
        <v>940631</v>
      </c>
      <c r="F115" s="264">
        <f t="shared" si="15"/>
        <v>0.41190184570260757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3477867</v>
      </c>
      <c r="D118" s="258">
        <v>8538005</v>
      </c>
      <c r="E118" s="258">
        <f t="shared" ref="E118:E128" si="16">D118-C118</f>
        <v>5060138</v>
      </c>
      <c r="F118" s="259">
        <f t="shared" ref="F118:F128" si="17">IF(C118=0,0,E118/C118)</f>
        <v>1.4549544304023128</v>
      </c>
    </row>
    <row r="119" spans="1:6" ht="20.25" customHeight="1" x14ac:dyDescent="0.3">
      <c r="A119" s="256">
        <v>2</v>
      </c>
      <c r="B119" s="257" t="s">
        <v>442</v>
      </c>
      <c r="C119" s="258">
        <v>1367513</v>
      </c>
      <c r="D119" s="258">
        <v>3226509</v>
      </c>
      <c r="E119" s="258">
        <f t="shared" si="16"/>
        <v>1858996</v>
      </c>
      <c r="F119" s="259">
        <f t="shared" si="17"/>
        <v>1.359399142823505</v>
      </c>
    </row>
    <row r="120" spans="1:6" ht="20.25" customHeight="1" x14ac:dyDescent="0.3">
      <c r="A120" s="256">
        <v>3</v>
      </c>
      <c r="B120" s="257" t="s">
        <v>443</v>
      </c>
      <c r="C120" s="258">
        <v>2879132</v>
      </c>
      <c r="D120" s="258">
        <v>7116072</v>
      </c>
      <c r="E120" s="258">
        <f t="shared" si="16"/>
        <v>4236940</v>
      </c>
      <c r="F120" s="259">
        <f t="shared" si="17"/>
        <v>1.471603247089748</v>
      </c>
    </row>
    <row r="121" spans="1:6" ht="20.25" customHeight="1" x14ac:dyDescent="0.3">
      <c r="A121" s="256">
        <v>4</v>
      </c>
      <c r="B121" s="257" t="s">
        <v>444</v>
      </c>
      <c r="C121" s="258">
        <v>720411</v>
      </c>
      <c r="D121" s="258">
        <v>1542007</v>
      </c>
      <c r="E121" s="258">
        <f t="shared" si="16"/>
        <v>821596</v>
      </c>
      <c r="F121" s="259">
        <f t="shared" si="17"/>
        <v>1.1404545460854985</v>
      </c>
    </row>
    <row r="122" spans="1:6" ht="20.25" customHeight="1" x14ac:dyDescent="0.3">
      <c r="A122" s="256">
        <v>5</v>
      </c>
      <c r="B122" s="257" t="s">
        <v>381</v>
      </c>
      <c r="C122" s="260">
        <v>132</v>
      </c>
      <c r="D122" s="260">
        <v>273</v>
      </c>
      <c r="E122" s="260">
        <f t="shared" si="16"/>
        <v>141</v>
      </c>
      <c r="F122" s="259">
        <f t="shared" si="17"/>
        <v>1.0681818181818181</v>
      </c>
    </row>
    <row r="123" spans="1:6" ht="20.25" customHeight="1" x14ac:dyDescent="0.3">
      <c r="A123" s="256">
        <v>6</v>
      </c>
      <c r="B123" s="257" t="s">
        <v>380</v>
      </c>
      <c r="C123" s="260">
        <v>756</v>
      </c>
      <c r="D123" s="260">
        <v>1387</v>
      </c>
      <c r="E123" s="260">
        <f t="shared" si="16"/>
        <v>631</v>
      </c>
      <c r="F123" s="259">
        <f t="shared" si="17"/>
        <v>0.83465608465608465</v>
      </c>
    </row>
    <row r="124" spans="1:6" ht="20.25" customHeight="1" x14ac:dyDescent="0.3">
      <c r="A124" s="256">
        <v>7</v>
      </c>
      <c r="B124" s="257" t="s">
        <v>445</v>
      </c>
      <c r="C124" s="260">
        <v>1908</v>
      </c>
      <c r="D124" s="260">
        <v>3942</v>
      </c>
      <c r="E124" s="260">
        <f t="shared" si="16"/>
        <v>2034</v>
      </c>
      <c r="F124" s="259">
        <f t="shared" si="17"/>
        <v>1.0660377358490567</v>
      </c>
    </row>
    <row r="125" spans="1:6" ht="20.25" customHeight="1" x14ac:dyDescent="0.3">
      <c r="A125" s="256">
        <v>8</v>
      </c>
      <c r="B125" s="257" t="s">
        <v>446</v>
      </c>
      <c r="C125" s="260">
        <v>162</v>
      </c>
      <c r="D125" s="260">
        <v>364</v>
      </c>
      <c r="E125" s="260">
        <f t="shared" si="16"/>
        <v>202</v>
      </c>
      <c r="F125" s="259">
        <f t="shared" si="17"/>
        <v>1.2469135802469136</v>
      </c>
    </row>
    <row r="126" spans="1:6" ht="20.25" customHeight="1" x14ac:dyDescent="0.3">
      <c r="A126" s="256">
        <v>9</v>
      </c>
      <c r="B126" s="257" t="s">
        <v>447</v>
      </c>
      <c r="C126" s="260">
        <v>108</v>
      </c>
      <c r="D126" s="260">
        <v>231</v>
      </c>
      <c r="E126" s="260">
        <f t="shared" si="16"/>
        <v>123</v>
      </c>
      <c r="F126" s="259">
        <f t="shared" si="17"/>
        <v>1.1388888888888888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6356999</v>
      </c>
      <c r="D127" s="263">
        <f>+D118+D120</f>
        <v>15654077</v>
      </c>
      <c r="E127" s="263">
        <f t="shared" si="16"/>
        <v>9297078</v>
      </c>
      <c r="F127" s="264">
        <f t="shared" si="17"/>
        <v>1.4624948029722831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2087924</v>
      </c>
      <c r="D128" s="263">
        <f>+D119+D121</f>
        <v>4768516</v>
      </c>
      <c r="E128" s="263">
        <f t="shared" si="16"/>
        <v>2680592</v>
      </c>
      <c r="F128" s="264">
        <f t="shared" si="17"/>
        <v>1.2838551594789849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28022912</v>
      </c>
      <c r="D198" s="263">
        <f t="shared" si="28"/>
        <v>36492895</v>
      </c>
      <c r="E198" s="263">
        <f t="shared" ref="E198:E208" si="29">D198-C198</f>
        <v>8469983</v>
      </c>
      <c r="F198" s="273">
        <f t="shared" ref="F198:F208" si="30">IF(C198=0,0,E198/C198)</f>
        <v>0.30225206431080398</v>
      </c>
    </row>
    <row r="199" spans="1:9" ht="20.25" customHeight="1" x14ac:dyDescent="0.3">
      <c r="A199" s="271"/>
      <c r="B199" s="272" t="s">
        <v>466</v>
      </c>
      <c r="C199" s="263">
        <f t="shared" si="28"/>
        <v>11275060</v>
      </c>
      <c r="D199" s="263">
        <f t="shared" si="28"/>
        <v>13917242</v>
      </c>
      <c r="E199" s="263">
        <f t="shared" si="29"/>
        <v>2642182</v>
      </c>
      <c r="F199" s="273">
        <f t="shared" si="30"/>
        <v>0.23433861992752145</v>
      </c>
    </row>
    <row r="200" spans="1:9" ht="20.25" customHeight="1" x14ac:dyDescent="0.3">
      <c r="A200" s="271"/>
      <c r="B200" s="272" t="s">
        <v>467</v>
      </c>
      <c r="C200" s="263">
        <f t="shared" si="28"/>
        <v>23372808</v>
      </c>
      <c r="D200" s="263">
        <f t="shared" si="28"/>
        <v>28710091</v>
      </c>
      <c r="E200" s="263">
        <f t="shared" si="29"/>
        <v>5337283</v>
      </c>
      <c r="F200" s="273">
        <f t="shared" si="30"/>
        <v>0.22835437659009564</v>
      </c>
    </row>
    <row r="201" spans="1:9" ht="20.25" customHeight="1" x14ac:dyDescent="0.3">
      <c r="A201" s="271"/>
      <c r="B201" s="272" t="s">
        <v>468</v>
      </c>
      <c r="C201" s="263">
        <f t="shared" si="28"/>
        <v>5230426</v>
      </c>
      <c r="D201" s="263">
        <f t="shared" si="28"/>
        <v>5955623</v>
      </c>
      <c r="E201" s="263">
        <f t="shared" si="29"/>
        <v>725197</v>
      </c>
      <c r="F201" s="273">
        <f t="shared" si="30"/>
        <v>0.13864970080830893</v>
      </c>
    </row>
    <row r="202" spans="1:9" ht="20.25" customHeight="1" x14ac:dyDescent="0.3">
      <c r="A202" s="271"/>
      <c r="B202" s="272" t="s">
        <v>138</v>
      </c>
      <c r="C202" s="274">
        <f t="shared" si="28"/>
        <v>1008</v>
      </c>
      <c r="D202" s="274">
        <f t="shared" si="28"/>
        <v>1224</v>
      </c>
      <c r="E202" s="274">
        <f t="shared" si="29"/>
        <v>216</v>
      </c>
      <c r="F202" s="273">
        <f t="shared" si="30"/>
        <v>0.21428571428571427</v>
      </c>
    </row>
    <row r="203" spans="1:9" ht="20.25" customHeight="1" x14ac:dyDescent="0.3">
      <c r="A203" s="271"/>
      <c r="B203" s="272" t="s">
        <v>140</v>
      </c>
      <c r="C203" s="274">
        <f t="shared" si="28"/>
        <v>5259</v>
      </c>
      <c r="D203" s="274">
        <f t="shared" si="28"/>
        <v>6077</v>
      </c>
      <c r="E203" s="274">
        <f t="shared" si="29"/>
        <v>818</v>
      </c>
      <c r="F203" s="273">
        <f t="shared" si="30"/>
        <v>0.1555428788743107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14582</v>
      </c>
      <c r="D204" s="274">
        <f t="shared" si="28"/>
        <v>16132</v>
      </c>
      <c r="E204" s="274">
        <f t="shared" si="29"/>
        <v>1550</v>
      </c>
      <c r="F204" s="273">
        <f t="shared" si="30"/>
        <v>0.10629543272527774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1903</v>
      </c>
      <c r="D205" s="274">
        <f t="shared" si="28"/>
        <v>2198</v>
      </c>
      <c r="E205" s="274">
        <f t="shared" si="29"/>
        <v>295</v>
      </c>
      <c r="F205" s="273">
        <f t="shared" si="30"/>
        <v>0.15501839201261167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858</v>
      </c>
      <c r="D206" s="274">
        <f t="shared" si="28"/>
        <v>1060</v>
      </c>
      <c r="E206" s="274">
        <f t="shared" si="29"/>
        <v>202</v>
      </c>
      <c r="F206" s="273">
        <f t="shared" si="30"/>
        <v>0.23543123543123542</v>
      </c>
    </row>
    <row r="207" spans="1:9" ht="20.25" customHeight="1" x14ac:dyDescent="0.3">
      <c r="A207" s="271"/>
      <c r="B207" s="262" t="s">
        <v>471</v>
      </c>
      <c r="C207" s="263">
        <f>+C198+C200</f>
        <v>51395720</v>
      </c>
      <c r="D207" s="263">
        <f>+D198+D200</f>
        <v>65202986</v>
      </c>
      <c r="E207" s="263">
        <f t="shared" si="29"/>
        <v>13807266</v>
      </c>
      <c r="F207" s="273">
        <f t="shared" si="30"/>
        <v>0.26864622190330245</v>
      </c>
    </row>
    <row r="208" spans="1:9" ht="20.25" customHeight="1" x14ac:dyDescent="0.3">
      <c r="A208" s="271"/>
      <c r="B208" s="262" t="s">
        <v>472</v>
      </c>
      <c r="C208" s="263">
        <f>+C199+C201</f>
        <v>16505486</v>
      </c>
      <c r="D208" s="263">
        <f>+D199+D201</f>
        <v>19872865</v>
      </c>
      <c r="E208" s="263">
        <f t="shared" si="29"/>
        <v>3367379</v>
      </c>
      <c r="F208" s="273">
        <f t="shared" si="30"/>
        <v>0.20401574361397173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FILING&amp;RSAINT MARY`S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FILING&amp;RSAINT MARY`S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29939000</v>
      </c>
      <c r="D13" s="22">
        <v>26866000</v>
      </c>
      <c r="E13" s="22">
        <f t="shared" ref="E13:E22" si="0">D13-C13</f>
        <v>-3073000</v>
      </c>
      <c r="F13" s="306">
        <f t="shared" ref="F13:F22" si="1">IF(C13=0,0,E13/C13)</f>
        <v>-0.10264203881225158</v>
      </c>
    </row>
    <row r="14" spans="1:8" ht="24" customHeight="1" x14ac:dyDescent="0.2">
      <c r="A14" s="304">
        <v>2</v>
      </c>
      <c r="B14" s="305" t="s">
        <v>17</v>
      </c>
      <c r="C14" s="22">
        <v>29000</v>
      </c>
      <c r="D14" s="22">
        <v>17000</v>
      </c>
      <c r="E14" s="22">
        <f t="shared" si="0"/>
        <v>-12000</v>
      </c>
      <c r="F14" s="306">
        <f t="shared" si="1"/>
        <v>-0.41379310344827586</v>
      </c>
    </row>
    <row r="15" spans="1:8" ht="35.1" customHeight="1" x14ac:dyDescent="0.2">
      <c r="A15" s="304">
        <v>3</v>
      </c>
      <c r="B15" s="305" t="s">
        <v>18</v>
      </c>
      <c r="C15" s="22">
        <v>30768000</v>
      </c>
      <c r="D15" s="22">
        <v>30238000</v>
      </c>
      <c r="E15" s="22">
        <f t="shared" si="0"/>
        <v>-530000</v>
      </c>
      <c r="F15" s="306">
        <f t="shared" si="1"/>
        <v>-1.7225689027561102E-2</v>
      </c>
    </row>
    <row r="16" spans="1:8" ht="35.1" customHeight="1" x14ac:dyDescent="0.2">
      <c r="A16" s="304">
        <v>4</v>
      </c>
      <c r="B16" s="305" t="s">
        <v>19</v>
      </c>
      <c r="C16" s="22">
        <v>8039000</v>
      </c>
      <c r="D16" s="22">
        <v>5948000</v>
      </c>
      <c r="E16" s="22">
        <f t="shared" si="0"/>
        <v>-2091000</v>
      </c>
      <c r="F16" s="306">
        <f t="shared" si="1"/>
        <v>-0.26010697847991043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2461000</v>
      </c>
      <c r="D19" s="22">
        <v>3886000</v>
      </c>
      <c r="E19" s="22">
        <f t="shared" si="0"/>
        <v>1425000</v>
      </c>
      <c r="F19" s="306">
        <f t="shared" si="1"/>
        <v>0.57903291344981711</v>
      </c>
    </row>
    <row r="20" spans="1:11" ht="24" customHeight="1" x14ac:dyDescent="0.2">
      <c r="A20" s="304">
        <v>8</v>
      </c>
      <c r="B20" s="305" t="s">
        <v>23</v>
      </c>
      <c r="C20" s="22">
        <v>1813000</v>
      </c>
      <c r="D20" s="22">
        <v>2383000</v>
      </c>
      <c r="E20" s="22">
        <f t="shared" si="0"/>
        <v>570000</v>
      </c>
      <c r="F20" s="306">
        <f t="shared" si="1"/>
        <v>0.31439602868174299</v>
      </c>
    </row>
    <row r="21" spans="1:11" ht="24" customHeight="1" x14ac:dyDescent="0.2">
      <c r="A21" s="304">
        <v>9</v>
      </c>
      <c r="B21" s="305" t="s">
        <v>24</v>
      </c>
      <c r="C21" s="22">
        <v>560000</v>
      </c>
      <c r="D21" s="22">
        <v>854000</v>
      </c>
      <c r="E21" s="22">
        <f t="shared" si="0"/>
        <v>294000</v>
      </c>
      <c r="F21" s="306">
        <f t="shared" si="1"/>
        <v>0.52500000000000002</v>
      </c>
    </row>
    <row r="22" spans="1:11" ht="24" customHeight="1" x14ac:dyDescent="0.25">
      <c r="A22" s="307"/>
      <c r="B22" s="308" t="s">
        <v>25</v>
      </c>
      <c r="C22" s="309">
        <f>SUM(C13:C21)</f>
        <v>73609000</v>
      </c>
      <c r="D22" s="309">
        <f>SUM(D13:D21)</f>
        <v>70192000</v>
      </c>
      <c r="E22" s="309">
        <f t="shared" si="0"/>
        <v>-3417000</v>
      </c>
      <c r="F22" s="310">
        <f t="shared" si="1"/>
        <v>-4.6420953959434311E-2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15258000</v>
      </c>
      <c r="D25" s="22">
        <v>15696000</v>
      </c>
      <c r="E25" s="22">
        <f>D25-C25</f>
        <v>438000</v>
      </c>
      <c r="F25" s="306">
        <f>IF(C25=0,0,E25/C25)</f>
        <v>2.8706252457727094E-2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27926000</v>
      </c>
      <c r="D28" s="22">
        <v>39417000</v>
      </c>
      <c r="E28" s="22">
        <f>D28-C28</f>
        <v>11491000</v>
      </c>
      <c r="F28" s="306">
        <f>IF(C28=0,0,E28/C28)</f>
        <v>0.41148034090095253</v>
      </c>
    </row>
    <row r="29" spans="1:11" ht="35.1" customHeight="1" x14ac:dyDescent="0.25">
      <c r="A29" s="307"/>
      <c r="B29" s="308" t="s">
        <v>32</v>
      </c>
      <c r="C29" s="309">
        <f>SUM(C25:C28)</f>
        <v>43184000</v>
      </c>
      <c r="D29" s="309">
        <f>SUM(D25:D28)</f>
        <v>55113000</v>
      </c>
      <c r="E29" s="309">
        <f>D29-C29</f>
        <v>11929000</v>
      </c>
      <c r="F29" s="310">
        <f>IF(C29=0,0,E29/C29)</f>
        <v>0.27623656909966654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22365000</v>
      </c>
      <c r="D32" s="22">
        <v>24966000</v>
      </c>
      <c r="E32" s="22">
        <f>D32-C32</f>
        <v>2601000</v>
      </c>
      <c r="F32" s="306">
        <f>IF(C32=0,0,E32/C32)</f>
        <v>0.11629778672032193</v>
      </c>
    </row>
    <row r="33" spans="1:8" ht="24" customHeight="1" x14ac:dyDescent="0.2">
      <c r="A33" s="304">
        <v>7</v>
      </c>
      <c r="B33" s="305" t="s">
        <v>35</v>
      </c>
      <c r="C33" s="22">
        <v>10825000</v>
      </c>
      <c r="D33" s="22">
        <v>10368000</v>
      </c>
      <c r="E33" s="22">
        <f>D33-C33</f>
        <v>-457000</v>
      </c>
      <c r="F33" s="306">
        <f>IF(C33=0,0,E33/C33)</f>
        <v>-4.2217090069284063E-2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192346000</v>
      </c>
      <c r="D36" s="22">
        <v>200746000</v>
      </c>
      <c r="E36" s="22">
        <f>D36-C36</f>
        <v>8400000</v>
      </c>
      <c r="F36" s="306">
        <f>IF(C36=0,0,E36/C36)</f>
        <v>4.367130067690516E-2</v>
      </c>
    </row>
    <row r="37" spans="1:8" ht="24" customHeight="1" x14ac:dyDescent="0.2">
      <c r="A37" s="304">
        <v>2</v>
      </c>
      <c r="B37" s="305" t="s">
        <v>39</v>
      </c>
      <c r="C37" s="22">
        <v>127394000</v>
      </c>
      <c r="D37" s="22">
        <v>137372000</v>
      </c>
      <c r="E37" s="22">
        <f>D37-C37</f>
        <v>9978000</v>
      </c>
      <c r="F37" s="22">
        <f>IF(C37=0,0,E37/C37)</f>
        <v>7.832393990297816E-2</v>
      </c>
    </row>
    <row r="38" spans="1:8" ht="24" customHeight="1" x14ac:dyDescent="0.25">
      <c r="A38" s="307"/>
      <c r="B38" s="308" t="s">
        <v>40</v>
      </c>
      <c r="C38" s="309">
        <f>C36-C37</f>
        <v>64952000</v>
      </c>
      <c r="D38" s="309">
        <f>D36-D37</f>
        <v>63374000</v>
      </c>
      <c r="E38" s="309">
        <f>D38-C38</f>
        <v>-1578000</v>
      </c>
      <c r="F38" s="310">
        <f>IF(C38=0,0,E38/C38)</f>
        <v>-2.4294863899495013E-2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0</v>
      </c>
      <c r="D40" s="22">
        <v>0</v>
      </c>
      <c r="E40" s="22">
        <f>D40-C40</f>
        <v>0</v>
      </c>
      <c r="F40" s="306">
        <f>IF(C40=0,0,E40/C40)</f>
        <v>0</v>
      </c>
    </row>
    <row r="41" spans="1:8" ht="24" customHeight="1" x14ac:dyDescent="0.25">
      <c r="A41" s="307"/>
      <c r="B41" s="308" t="s">
        <v>42</v>
      </c>
      <c r="C41" s="309">
        <f>+C38+C40</f>
        <v>64952000</v>
      </c>
      <c r="D41" s="309">
        <f>+D38+D40</f>
        <v>63374000</v>
      </c>
      <c r="E41" s="309">
        <f>D41-C41</f>
        <v>-1578000</v>
      </c>
      <c r="F41" s="310">
        <f>IF(C41=0,0,E41/C41)</f>
        <v>-2.4294863899495013E-2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214935000</v>
      </c>
      <c r="D43" s="309">
        <f>D22+D29+D31+D32+D33+D41</f>
        <v>224013000</v>
      </c>
      <c r="E43" s="309">
        <f>D43-C43</f>
        <v>9078000</v>
      </c>
      <c r="F43" s="310">
        <f>IF(C43=0,0,E43/C43)</f>
        <v>4.2236024844720499E-2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20985000</v>
      </c>
      <c r="D49" s="22">
        <v>17369000</v>
      </c>
      <c r="E49" s="22">
        <f t="shared" ref="E49:E56" si="2">D49-C49</f>
        <v>-3616000</v>
      </c>
      <c r="F49" s="306">
        <f t="shared" ref="F49:F56" si="3">IF(C49=0,0,E49/C49)</f>
        <v>-0.17231355730283535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4734000</v>
      </c>
      <c r="D50" s="22">
        <v>5643000</v>
      </c>
      <c r="E50" s="22">
        <f t="shared" si="2"/>
        <v>909000</v>
      </c>
      <c r="F50" s="306">
        <f t="shared" si="3"/>
        <v>0.19201520912547529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6035000</v>
      </c>
      <c r="D51" s="22">
        <v>783000</v>
      </c>
      <c r="E51" s="22">
        <f t="shared" si="2"/>
        <v>-5252000</v>
      </c>
      <c r="F51" s="306">
        <f t="shared" si="3"/>
        <v>-0.87025683512841756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2490000</v>
      </c>
      <c r="D53" s="22">
        <v>2509000</v>
      </c>
      <c r="E53" s="22">
        <f t="shared" si="2"/>
        <v>19000</v>
      </c>
      <c r="F53" s="306">
        <f t="shared" si="3"/>
        <v>7.6305220883534138E-3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16486000</v>
      </c>
      <c r="D55" s="22">
        <v>14308000</v>
      </c>
      <c r="E55" s="22">
        <f t="shared" si="2"/>
        <v>-2178000</v>
      </c>
      <c r="F55" s="306">
        <f t="shared" si="3"/>
        <v>-0.13211209511100327</v>
      </c>
    </row>
    <row r="56" spans="1:6" ht="24" customHeight="1" x14ac:dyDescent="0.25">
      <c r="A56" s="307"/>
      <c r="B56" s="308" t="s">
        <v>54</v>
      </c>
      <c r="C56" s="309">
        <f>SUM(C49:C55)</f>
        <v>50730000</v>
      </c>
      <c r="D56" s="309">
        <f>SUM(D49:D55)</f>
        <v>40612000</v>
      </c>
      <c r="E56" s="309">
        <f t="shared" si="2"/>
        <v>-10118000</v>
      </c>
      <c r="F56" s="310">
        <f t="shared" si="3"/>
        <v>-0.19944805834811749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20374000</v>
      </c>
      <c r="D59" s="22">
        <v>17891000</v>
      </c>
      <c r="E59" s="22">
        <f>D59-C59</f>
        <v>-2483000</v>
      </c>
      <c r="F59" s="306">
        <f>IF(C59=0,0,E59/C59)</f>
        <v>-0.12187101207421223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20374000</v>
      </c>
      <c r="D61" s="309">
        <f>SUM(D59:D60)</f>
        <v>17891000</v>
      </c>
      <c r="E61" s="309">
        <f>D61-C61</f>
        <v>-2483000</v>
      </c>
      <c r="F61" s="310">
        <f>IF(C61=0,0,E61/C61)</f>
        <v>-0.12187101207421223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58823000</v>
      </c>
      <c r="D63" s="22">
        <v>72182000</v>
      </c>
      <c r="E63" s="22">
        <f>D63-C63</f>
        <v>13359000</v>
      </c>
      <c r="F63" s="306">
        <f>IF(C63=0,0,E63/C63)</f>
        <v>0.22710504394539552</v>
      </c>
    </row>
    <row r="64" spans="1:6" ht="24" customHeight="1" x14ac:dyDescent="0.2">
      <c r="A64" s="304">
        <v>4</v>
      </c>
      <c r="B64" s="305" t="s">
        <v>60</v>
      </c>
      <c r="C64" s="22">
        <v>32080000</v>
      </c>
      <c r="D64" s="22">
        <v>41337000</v>
      </c>
      <c r="E64" s="22">
        <f>D64-C64</f>
        <v>9257000</v>
      </c>
      <c r="F64" s="306">
        <f>IF(C64=0,0,E64/C64)</f>
        <v>0.28855985037406484</v>
      </c>
    </row>
    <row r="65" spans="1:6" ht="24" customHeight="1" x14ac:dyDescent="0.25">
      <c r="A65" s="307"/>
      <c r="B65" s="308" t="s">
        <v>61</v>
      </c>
      <c r="C65" s="309">
        <f>SUM(C61:C64)</f>
        <v>111277000</v>
      </c>
      <c r="D65" s="309">
        <f>SUM(D61:D64)</f>
        <v>131410000</v>
      </c>
      <c r="E65" s="309">
        <f>D65-C65</f>
        <v>20133000</v>
      </c>
      <c r="F65" s="310">
        <f>IF(C65=0,0,E65/C65)</f>
        <v>0.1809268761738724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302000</v>
      </c>
      <c r="D67" s="22">
        <v>370000</v>
      </c>
      <c r="E67" s="22">
        <f>D67-C67</f>
        <v>68000</v>
      </c>
      <c r="F67" s="321">
        <f>IF(C67=0,0,E67/C67)</f>
        <v>0.2251655629139073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34102000</v>
      </c>
      <c r="D70" s="22">
        <v>32525000</v>
      </c>
      <c r="E70" s="22">
        <f>D70-C70</f>
        <v>-1577000</v>
      </c>
      <c r="F70" s="306">
        <f>IF(C70=0,0,E70/C70)</f>
        <v>-4.6243622074951612E-2</v>
      </c>
    </row>
    <row r="71" spans="1:6" ht="24" customHeight="1" x14ac:dyDescent="0.2">
      <c r="A71" s="304">
        <v>2</v>
      </c>
      <c r="B71" s="305" t="s">
        <v>65</v>
      </c>
      <c r="C71" s="22">
        <v>2269000</v>
      </c>
      <c r="D71" s="22">
        <v>2415000</v>
      </c>
      <c r="E71" s="22">
        <f>D71-C71</f>
        <v>146000</v>
      </c>
      <c r="F71" s="306">
        <f>IF(C71=0,0,E71/C71)</f>
        <v>6.4345526663728517E-2</v>
      </c>
    </row>
    <row r="72" spans="1:6" ht="24" customHeight="1" x14ac:dyDescent="0.2">
      <c r="A72" s="304">
        <v>3</v>
      </c>
      <c r="B72" s="305" t="s">
        <v>66</v>
      </c>
      <c r="C72" s="22">
        <v>16255000</v>
      </c>
      <c r="D72" s="22">
        <v>16681000</v>
      </c>
      <c r="E72" s="22">
        <f>D72-C72</f>
        <v>426000</v>
      </c>
      <c r="F72" s="306">
        <f>IF(C72=0,0,E72/C72)</f>
        <v>2.6207320824361734E-2</v>
      </c>
    </row>
    <row r="73" spans="1:6" ht="24" customHeight="1" x14ac:dyDescent="0.25">
      <c r="A73" s="304"/>
      <c r="B73" s="308" t="s">
        <v>67</v>
      </c>
      <c r="C73" s="309">
        <f>SUM(C70:C72)</f>
        <v>52626000</v>
      </c>
      <c r="D73" s="309">
        <f>SUM(D70:D72)</f>
        <v>51621000</v>
      </c>
      <c r="E73" s="309">
        <f>D73-C73</f>
        <v>-1005000</v>
      </c>
      <c r="F73" s="310">
        <f>IF(C73=0,0,E73/C73)</f>
        <v>-1.9097024284574163E-2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214935000</v>
      </c>
      <c r="D75" s="309">
        <f>D56+D65+D67+D73</f>
        <v>224013000</v>
      </c>
      <c r="E75" s="309">
        <f>D75-C75</f>
        <v>9078000</v>
      </c>
      <c r="F75" s="310">
        <f>IF(C75=0,0,E75/C75)</f>
        <v>4.2236024844720499E-2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FILING&amp;RSAINT MARY`S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670163000</v>
      </c>
      <c r="D11" s="76">
        <v>733919000</v>
      </c>
      <c r="E11" s="76">
        <f t="shared" ref="E11:E20" si="0">D11-C11</f>
        <v>63756000</v>
      </c>
      <c r="F11" s="77">
        <f t="shared" ref="F11:F20" si="1">IF(C11=0,0,E11/C11)</f>
        <v>9.5135064156033677E-2</v>
      </c>
    </row>
    <row r="12" spans="1:7" ht="23.1" customHeight="1" x14ac:dyDescent="0.2">
      <c r="A12" s="74">
        <v>2</v>
      </c>
      <c r="B12" s="75" t="s">
        <v>72</v>
      </c>
      <c r="C12" s="76">
        <v>401170000</v>
      </c>
      <c r="D12" s="76">
        <v>454404000</v>
      </c>
      <c r="E12" s="76">
        <f t="shared" si="0"/>
        <v>53234000</v>
      </c>
      <c r="F12" s="77">
        <f t="shared" si="1"/>
        <v>0.13269686167958722</v>
      </c>
    </row>
    <row r="13" spans="1:7" ht="23.1" customHeight="1" x14ac:dyDescent="0.2">
      <c r="A13" s="74">
        <v>3</v>
      </c>
      <c r="B13" s="75" t="s">
        <v>73</v>
      </c>
      <c r="C13" s="76">
        <v>94000</v>
      </c>
      <c r="D13" s="76">
        <v>328000</v>
      </c>
      <c r="E13" s="76">
        <f t="shared" si="0"/>
        <v>234000</v>
      </c>
      <c r="F13" s="77">
        <f t="shared" si="1"/>
        <v>2.4893617021276597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268899000</v>
      </c>
      <c r="D15" s="79">
        <f>D11-D12-D13-D14</f>
        <v>279187000</v>
      </c>
      <c r="E15" s="79">
        <f t="shared" si="0"/>
        <v>10288000</v>
      </c>
      <c r="F15" s="80">
        <f t="shared" si="1"/>
        <v>3.8259718332905666E-2</v>
      </c>
    </row>
    <row r="16" spans="1:7" ht="23.1" customHeight="1" x14ac:dyDescent="0.2">
      <c r="A16" s="74">
        <v>5</v>
      </c>
      <c r="B16" s="75" t="s">
        <v>76</v>
      </c>
      <c r="C16" s="76">
        <v>12878000</v>
      </c>
      <c r="D16" s="76">
        <v>11100000</v>
      </c>
      <c r="E16" s="76">
        <f t="shared" si="0"/>
        <v>-1778000</v>
      </c>
      <c r="F16" s="77">
        <f t="shared" si="1"/>
        <v>-0.13806491691256406</v>
      </c>
      <c r="G16" s="65"/>
    </row>
    <row r="17" spans="1:7" ht="31.5" customHeight="1" x14ac:dyDescent="0.25">
      <c r="A17" s="71"/>
      <c r="B17" s="81" t="s">
        <v>77</v>
      </c>
      <c r="C17" s="79">
        <f>C15-C16</f>
        <v>256021000</v>
      </c>
      <c r="D17" s="79">
        <f>D15-D16</f>
        <v>268087000</v>
      </c>
      <c r="E17" s="79">
        <f t="shared" si="0"/>
        <v>12066000</v>
      </c>
      <c r="F17" s="80">
        <f t="shared" si="1"/>
        <v>4.712894645361123E-2</v>
      </c>
    </row>
    <row r="18" spans="1:7" ht="23.1" customHeight="1" x14ac:dyDescent="0.2">
      <c r="A18" s="74">
        <v>6</v>
      </c>
      <c r="B18" s="75" t="s">
        <v>78</v>
      </c>
      <c r="C18" s="76">
        <v>7864000</v>
      </c>
      <c r="D18" s="76">
        <v>10774000</v>
      </c>
      <c r="E18" s="76">
        <f t="shared" si="0"/>
        <v>2910000</v>
      </c>
      <c r="F18" s="77">
        <f t="shared" si="1"/>
        <v>0.37004069175991861</v>
      </c>
      <c r="G18" s="65"/>
    </row>
    <row r="19" spans="1:7" ht="33" customHeight="1" x14ac:dyDescent="0.2">
      <c r="A19" s="74">
        <v>7</v>
      </c>
      <c r="B19" s="82" t="s">
        <v>79</v>
      </c>
      <c r="C19" s="76">
        <v>0</v>
      </c>
      <c r="D19" s="76">
        <v>0</v>
      </c>
      <c r="E19" s="76">
        <f t="shared" si="0"/>
        <v>0</v>
      </c>
      <c r="F19" s="77">
        <f t="shared" si="1"/>
        <v>0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263885000</v>
      </c>
      <c r="D20" s="79">
        <f>SUM(D17:D19)</f>
        <v>278861000</v>
      </c>
      <c r="E20" s="79">
        <f t="shared" si="0"/>
        <v>14976000</v>
      </c>
      <c r="F20" s="80">
        <f t="shared" si="1"/>
        <v>5.6751994239915116E-2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108933000</v>
      </c>
      <c r="D23" s="76">
        <v>113553000</v>
      </c>
      <c r="E23" s="76">
        <f t="shared" ref="E23:E32" si="2">D23-C23</f>
        <v>4620000</v>
      </c>
      <c r="F23" s="77">
        <f t="shared" ref="F23:F32" si="3">IF(C23=0,0,E23/C23)</f>
        <v>4.2411390487730988E-2</v>
      </c>
    </row>
    <row r="24" spans="1:7" ht="23.1" customHeight="1" x14ac:dyDescent="0.2">
      <c r="A24" s="74">
        <v>2</v>
      </c>
      <c r="B24" s="75" t="s">
        <v>83</v>
      </c>
      <c r="C24" s="76">
        <v>31305000</v>
      </c>
      <c r="D24" s="76">
        <v>28631000</v>
      </c>
      <c r="E24" s="76">
        <f t="shared" si="2"/>
        <v>-2674000</v>
      </c>
      <c r="F24" s="77">
        <f t="shared" si="3"/>
        <v>-8.5417664909758828E-2</v>
      </c>
    </row>
    <row r="25" spans="1:7" ht="23.1" customHeight="1" x14ac:dyDescent="0.2">
      <c r="A25" s="74">
        <v>3</v>
      </c>
      <c r="B25" s="75" t="s">
        <v>84</v>
      </c>
      <c r="C25" s="76">
        <v>10714000</v>
      </c>
      <c r="D25" s="76">
        <v>8659000</v>
      </c>
      <c r="E25" s="76">
        <f t="shared" si="2"/>
        <v>-2055000</v>
      </c>
      <c r="F25" s="77">
        <f t="shared" si="3"/>
        <v>-0.19180511480306142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34643000</v>
      </c>
      <c r="D26" s="76">
        <v>36800000</v>
      </c>
      <c r="E26" s="76">
        <f t="shared" si="2"/>
        <v>2157000</v>
      </c>
      <c r="F26" s="77">
        <f t="shared" si="3"/>
        <v>6.2263660768409203E-2</v>
      </c>
    </row>
    <row r="27" spans="1:7" ht="23.1" customHeight="1" x14ac:dyDescent="0.2">
      <c r="A27" s="74">
        <v>5</v>
      </c>
      <c r="B27" s="75" t="s">
        <v>86</v>
      </c>
      <c r="C27" s="76">
        <v>10052000</v>
      </c>
      <c r="D27" s="76">
        <v>10529000</v>
      </c>
      <c r="E27" s="76">
        <f t="shared" si="2"/>
        <v>477000</v>
      </c>
      <c r="F27" s="77">
        <f t="shared" si="3"/>
        <v>4.7453243135694392E-2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1598000</v>
      </c>
      <c r="D29" s="76">
        <v>1438000</v>
      </c>
      <c r="E29" s="76">
        <f t="shared" si="2"/>
        <v>-160000</v>
      </c>
      <c r="F29" s="77">
        <f t="shared" si="3"/>
        <v>-0.10012515644555695</v>
      </c>
    </row>
    <row r="30" spans="1:7" ht="23.1" customHeight="1" x14ac:dyDescent="0.2">
      <c r="A30" s="74">
        <v>8</v>
      </c>
      <c r="B30" s="75" t="s">
        <v>89</v>
      </c>
      <c r="C30" s="76">
        <v>12425000</v>
      </c>
      <c r="D30" s="76">
        <v>6148000</v>
      </c>
      <c r="E30" s="76">
        <f t="shared" si="2"/>
        <v>-6277000</v>
      </c>
      <c r="F30" s="77">
        <f t="shared" si="3"/>
        <v>-0.50519114688128774</v>
      </c>
    </row>
    <row r="31" spans="1:7" ht="23.1" customHeight="1" x14ac:dyDescent="0.2">
      <c r="A31" s="74">
        <v>9</v>
      </c>
      <c r="B31" s="75" t="s">
        <v>90</v>
      </c>
      <c r="C31" s="76">
        <v>45534000</v>
      </c>
      <c r="D31" s="76">
        <v>63957000</v>
      </c>
      <c r="E31" s="76">
        <f t="shared" si="2"/>
        <v>18423000</v>
      </c>
      <c r="F31" s="77">
        <f t="shared" si="3"/>
        <v>0.40459876136513373</v>
      </c>
    </row>
    <row r="32" spans="1:7" ht="23.1" customHeight="1" x14ac:dyDescent="0.25">
      <c r="A32" s="71"/>
      <c r="B32" s="78" t="s">
        <v>91</v>
      </c>
      <c r="C32" s="79">
        <f>SUM(C23:C31)</f>
        <v>255204000</v>
      </c>
      <c r="D32" s="79">
        <f>SUM(D23:D31)</f>
        <v>269715000</v>
      </c>
      <c r="E32" s="79">
        <f t="shared" si="2"/>
        <v>14511000</v>
      </c>
      <c r="F32" s="80">
        <f t="shared" si="3"/>
        <v>5.686039403771101E-2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8681000</v>
      </c>
      <c r="D34" s="79">
        <f>+D20-D32</f>
        <v>9146000</v>
      </c>
      <c r="E34" s="79">
        <f>D34-C34</f>
        <v>465000</v>
      </c>
      <c r="F34" s="80">
        <f>IF(C34=0,0,E34/C34)</f>
        <v>5.3565257458818107E-2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2390000</v>
      </c>
      <c r="D37" s="76">
        <v>3824000</v>
      </c>
      <c r="E37" s="76">
        <f>D37-C37</f>
        <v>1434000</v>
      </c>
      <c r="F37" s="77">
        <f>IF(C37=0,0,E37/C37)</f>
        <v>0.6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-632000</v>
      </c>
      <c r="D39" s="76">
        <v>-140000</v>
      </c>
      <c r="E39" s="76">
        <f>D39-C39</f>
        <v>492000</v>
      </c>
      <c r="F39" s="77">
        <f>IF(C39=0,0,E39/C39)</f>
        <v>-0.77848101265822789</v>
      </c>
    </row>
    <row r="40" spans="1:6" ht="23.1" customHeight="1" x14ac:dyDescent="0.25">
      <c r="A40" s="83"/>
      <c r="B40" s="78" t="s">
        <v>97</v>
      </c>
      <c r="C40" s="79">
        <f>SUM(C37:C39)</f>
        <v>1758000</v>
      </c>
      <c r="D40" s="79">
        <f>SUM(D37:D39)</f>
        <v>3684000</v>
      </c>
      <c r="E40" s="79">
        <f>D40-C40</f>
        <v>1926000</v>
      </c>
      <c r="F40" s="80">
        <f>IF(C40=0,0,E40/C40)</f>
        <v>1.0955631399317407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10439000</v>
      </c>
      <c r="D42" s="79">
        <f>D34+D40</f>
        <v>12830000</v>
      </c>
      <c r="E42" s="79">
        <f>D42-C42</f>
        <v>2391000</v>
      </c>
      <c r="F42" s="80">
        <f>IF(C42=0,0,E42/C42)</f>
        <v>0.22904492767506465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10439000</v>
      </c>
      <c r="D49" s="79">
        <f>D42+D47</f>
        <v>12830000</v>
      </c>
      <c r="E49" s="79">
        <f>D49-C49</f>
        <v>2391000</v>
      </c>
      <c r="F49" s="80">
        <f>IF(C49=0,0,E49/C49)</f>
        <v>0.22904492767506465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MARY`S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2015-07-07T15:24:30Z</cp:lastPrinted>
  <dcterms:created xsi:type="dcterms:W3CDTF">2015-07-07T13:59:02Z</dcterms:created>
  <dcterms:modified xsi:type="dcterms:W3CDTF">2015-07-07T15:24:36Z</dcterms:modified>
</cp:coreProperties>
</file>